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Transportation &amp; Traffic Safety\Ridership Data\Ridership 2024-2025\Transportation Safety Net\"/>
    </mc:Choice>
  </mc:AlternateContent>
  <xr:revisionPtr revIDLastSave="0" documentId="13_ncr:1_{390AAF66-C758-450F-A7A6-AE24769C453F}" xr6:coauthVersionLast="47" xr6:coauthVersionMax="47" xr10:uidLastSave="{00000000-0000-0000-0000-000000000000}"/>
  <bookViews>
    <workbookView xWindow="28680" yWindow="-120" windowWidth="29040" windowHeight="15840" activeTab="4" xr2:uid="{3314360B-ACFB-45FE-93E9-6B864A16DEF7}"/>
  </bookViews>
  <sheets>
    <sheet name="Intro" sheetId="10" r:id="rId1"/>
    <sheet name="Template" sheetId="5" r:id="rId2"/>
    <sheet name="Final Prog 99 XS NCES List" sheetId="3" state="hidden" r:id="rId3"/>
    <sheet name="New Template" sheetId="8" state="hidden" r:id="rId4"/>
    <sheet name="Data for Model" sheetId="9" r:id="rId5"/>
    <sheet name="LEA Names" sheetId="7" state="hidden" r:id="rId6"/>
    <sheet name="Codes" sheetId="6" state="hidden" r:id="rId7"/>
    <sheet name="Prog 99 NECS Combination" sheetId="1" state="hidden" r:id="rId8"/>
    <sheet name="Program 99 Budget Matrix" sheetId="2" state="hidden" r:id="rId9"/>
  </sheets>
  <definedNames>
    <definedName name="_xlnm.Print_Area" localSheetId="1">Template!$A$1:$H$193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9" i="9" l="1"/>
  <c r="N31" i="9"/>
  <c r="N43" i="9"/>
  <c r="N55" i="9"/>
  <c r="N67" i="9"/>
  <c r="N79" i="9"/>
  <c r="N91" i="9"/>
  <c r="N103" i="9"/>
  <c r="N115" i="9"/>
  <c r="N127" i="9"/>
  <c r="N139" i="9"/>
  <c r="N151" i="9"/>
  <c r="N163" i="9"/>
  <c r="N175" i="9"/>
  <c r="N187" i="9"/>
  <c r="N199" i="9"/>
  <c r="N211" i="9"/>
  <c r="N223" i="9"/>
  <c r="N235" i="9"/>
  <c r="N247" i="9"/>
  <c r="N259" i="9"/>
  <c r="N271" i="9"/>
  <c r="M4" i="9"/>
  <c r="N4" i="9" s="1"/>
  <c r="M5" i="9"/>
  <c r="N5" i="9" s="1"/>
  <c r="M6" i="9"/>
  <c r="N6" i="9" s="1"/>
  <c r="M7" i="9"/>
  <c r="N7" i="9" s="1"/>
  <c r="M8" i="9"/>
  <c r="N8" i="9" s="1"/>
  <c r="M9" i="9"/>
  <c r="N9" i="9" s="1"/>
  <c r="M10" i="9"/>
  <c r="N10" i="9" s="1"/>
  <c r="M11" i="9"/>
  <c r="N11" i="9" s="1"/>
  <c r="M12" i="9"/>
  <c r="N12" i="9" s="1"/>
  <c r="M13" i="9"/>
  <c r="N13" i="9" s="1"/>
  <c r="M14" i="9"/>
  <c r="N14" i="9" s="1"/>
  <c r="M15" i="9"/>
  <c r="N15" i="9" s="1"/>
  <c r="M16" i="9"/>
  <c r="N16" i="9" s="1"/>
  <c r="M17" i="9"/>
  <c r="N17" i="9" s="1"/>
  <c r="M18" i="9"/>
  <c r="N18" i="9" s="1"/>
  <c r="M19" i="9"/>
  <c r="M20" i="9"/>
  <c r="N20" i="9" s="1"/>
  <c r="M21" i="9"/>
  <c r="N21" i="9" s="1"/>
  <c r="M22" i="9"/>
  <c r="N22" i="9" s="1"/>
  <c r="M23" i="9"/>
  <c r="N23" i="9" s="1"/>
  <c r="M24" i="9"/>
  <c r="N24" i="9" s="1"/>
  <c r="M25" i="9"/>
  <c r="N25" i="9" s="1"/>
  <c r="M26" i="9"/>
  <c r="N26" i="9" s="1"/>
  <c r="M27" i="9"/>
  <c r="N27" i="9" s="1"/>
  <c r="M28" i="9"/>
  <c r="N28" i="9" s="1"/>
  <c r="M29" i="9"/>
  <c r="N29" i="9" s="1"/>
  <c r="M30" i="9"/>
  <c r="N30" i="9" s="1"/>
  <c r="M31" i="9"/>
  <c r="M32" i="9"/>
  <c r="N32" i="9" s="1"/>
  <c r="M33" i="9"/>
  <c r="N33" i="9" s="1"/>
  <c r="M34" i="9"/>
  <c r="N34" i="9" s="1"/>
  <c r="M35" i="9"/>
  <c r="N35" i="9" s="1"/>
  <c r="M36" i="9"/>
  <c r="N36" i="9" s="1"/>
  <c r="M37" i="9"/>
  <c r="N37" i="9" s="1"/>
  <c r="M38" i="9"/>
  <c r="N38" i="9" s="1"/>
  <c r="M39" i="9"/>
  <c r="N39" i="9" s="1"/>
  <c r="M40" i="9"/>
  <c r="N40" i="9" s="1"/>
  <c r="M41" i="9"/>
  <c r="N41" i="9" s="1"/>
  <c r="M42" i="9"/>
  <c r="N42" i="9" s="1"/>
  <c r="M43" i="9"/>
  <c r="M44" i="9"/>
  <c r="N44" i="9" s="1"/>
  <c r="M45" i="9"/>
  <c r="N45" i="9" s="1"/>
  <c r="M46" i="9"/>
  <c r="N46" i="9" s="1"/>
  <c r="M47" i="9"/>
  <c r="N47" i="9" s="1"/>
  <c r="M48" i="9"/>
  <c r="N48" i="9" s="1"/>
  <c r="M49" i="9"/>
  <c r="N49" i="9" s="1"/>
  <c r="M50" i="9"/>
  <c r="N50" i="9" s="1"/>
  <c r="M51" i="9"/>
  <c r="N51" i="9" s="1"/>
  <c r="M52" i="9"/>
  <c r="N52" i="9" s="1"/>
  <c r="M53" i="9"/>
  <c r="N53" i="9" s="1"/>
  <c r="M54" i="9"/>
  <c r="N54" i="9" s="1"/>
  <c r="M55" i="9"/>
  <c r="M56" i="9"/>
  <c r="N56" i="9" s="1"/>
  <c r="M57" i="9"/>
  <c r="N57" i="9" s="1"/>
  <c r="M58" i="9"/>
  <c r="N58" i="9" s="1"/>
  <c r="M59" i="9"/>
  <c r="N59" i="9" s="1"/>
  <c r="M60" i="9"/>
  <c r="N60" i="9" s="1"/>
  <c r="M61" i="9"/>
  <c r="N61" i="9" s="1"/>
  <c r="M62" i="9"/>
  <c r="N62" i="9" s="1"/>
  <c r="M63" i="9"/>
  <c r="N63" i="9" s="1"/>
  <c r="M64" i="9"/>
  <c r="N64" i="9" s="1"/>
  <c r="M65" i="9"/>
  <c r="N65" i="9" s="1"/>
  <c r="M66" i="9"/>
  <c r="N66" i="9" s="1"/>
  <c r="M67" i="9"/>
  <c r="M68" i="9"/>
  <c r="N68" i="9" s="1"/>
  <c r="M69" i="9"/>
  <c r="N69" i="9" s="1"/>
  <c r="M70" i="9"/>
  <c r="N70" i="9" s="1"/>
  <c r="M71" i="9"/>
  <c r="N71" i="9" s="1"/>
  <c r="M72" i="9"/>
  <c r="N72" i="9" s="1"/>
  <c r="M73" i="9"/>
  <c r="N73" i="9" s="1"/>
  <c r="M74" i="9"/>
  <c r="N74" i="9" s="1"/>
  <c r="M75" i="9"/>
  <c r="N75" i="9" s="1"/>
  <c r="M76" i="9"/>
  <c r="N76" i="9" s="1"/>
  <c r="M77" i="9"/>
  <c r="N77" i="9" s="1"/>
  <c r="M78" i="9"/>
  <c r="N78" i="9" s="1"/>
  <c r="M79" i="9"/>
  <c r="M80" i="9"/>
  <c r="N80" i="9" s="1"/>
  <c r="M81" i="9"/>
  <c r="N81" i="9" s="1"/>
  <c r="M82" i="9"/>
  <c r="N82" i="9" s="1"/>
  <c r="M83" i="9"/>
  <c r="N83" i="9" s="1"/>
  <c r="M84" i="9"/>
  <c r="N84" i="9" s="1"/>
  <c r="M85" i="9"/>
  <c r="N85" i="9" s="1"/>
  <c r="M86" i="9"/>
  <c r="N86" i="9" s="1"/>
  <c r="M87" i="9"/>
  <c r="N87" i="9" s="1"/>
  <c r="M88" i="9"/>
  <c r="N88" i="9" s="1"/>
  <c r="M89" i="9"/>
  <c r="N89" i="9" s="1"/>
  <c r="M90" i="9"/>
  <c r="N90" i="9" s="1"/>
  <c r="M91" i="9"/>
  <c r="M92" i="9"/>
  <c r="N92" i="9" s="1"/>
  <c r="M93" i="9"/>
  <c r="N93" i="9" s="1"/>
  <c r="M94" i="9"/>
  <c r="N94" i="9" s="1"/>
  <c r="M95" i="9"/>
  <c r="N95" i="9" s="1"/>
  <c r="M96" i="9"/>
  <c r="N96" i="9" s="1"/>
  <c r="M97" i="9"/>
  <c r="N97" i="9" s="1"/>
  <c r="M98" i="9"/>
  <c r="N98" i="9" s="1"/>
  <c r="M99" i="9"/>
  <c r="N99" i="9" s="1"/>
  <c r="M100" i="9"/>
  <c r="N100" i="9" s="1"/>
  <c r="M101" i="9"/>
  <c r="N101" i="9" s="1"/>
  <c r="M102" i="9"/>
  <c r="N102" i="9" s="1"/>
  <c r="M103" i="9"/>
  <c r="M104" i="9"/>
  <c r="N104" i="9" s="1"/>
  <c r="M105" i="9"/>
  <c r="N105" i="9" s="1"/>
  <c r="M106" i="9"/>
  <c r="N106" i="9" s="1"/>
  <c r="M107" i="9"/>
  <c r="N107" i="9" s="1"/>
  <c r="M108" i="9"/>
  <c r="N108" i="9" s="1"/>
  <c r="M109" i="9"/>
  <c r="N109" i="9" s="1"/>
  <c r="M110" i="9"/>
  <c r="N110" i="9" s="1"/>
  <c r="M111" i="9"/>
  <c r="N111" i="9" s="1"/>
  <c r="M112" i="9"/>
  <c r="N112" i="9" s="1"/>
  <c r="M113" i="9"/>
  <c r="N113" i="9" s="1"/>
  <c r="M114" i="9"/>
  <c r="N114" i="9" s="1"/>
  <c r="M115" i="9"/>
  <c r="M116" i="9"/>
  <c r="N116" i="9" s="1"/>
  <c r="M117" i="9"/>
  <c r="N117" i="9" s="1"/>
  <c r="M118" i="9"/>
  <c r="N118" i="9" s="1"/>
  <c r="M119" i="9"/>
  <c r="N119" i="9" s="1"/>
  <c r="M120" i="9"/>
  <c r="N120" i="9" s="1"/>
  <c r="M121" i="9"/>
  <c r="N121" i="9" s="1"/>
  <c r="M122" i="9"/>
  <c r="N122" i="9" s="1"/>
  <c r="M123" i="9"/>
  <c r="N123" i="9" s="1"/>
  <c r="M124" i="9"/>
  <c r="N124" i="9" s="1"/>
  <c r="M125" i="9"/>
  <c r="N125" i="9" s="1"/>
  <c r="M126" i="9"/>
  <c r="N126" i="9" s="1"/>
  <c r="M127" i="9"/>
  <c r="M128" i="9"/>
  <c r="N128" i="9" s="1"/>
  <c r="M129" i="9"/>
  <c r="N129" i="9" s="1"/>
  <c r="M130" i="9"/>
  <c r="N130" i="9" s="1"/>
  <c r="M131" i="9"/>
  <c r="N131" i="9" s="1"/>
  <c r="M132" i="9"/>
  <c r="N132" i="9" s="1"/>
  <c r="M133" i="9"/>
  <c r="N133" i="9" s="1"/>
  <c r="M134" i="9"/>
  <c r="N134" i="9" s="1"/>
  <c r="M135" i="9"/>
  <c r="N135" i="9" s="1"/>
  <c r="M136" i="9"/>
  <c r="N136" i="9" s="1"/>
  <c r="M137" i="9"/>
  <c r="N137" i="9" s="1"/>
  <c r="M138" i="9"/>
  <c r="N138" i="9" s="1"/>
  <c r="M139" i="9"/>
  <c r="M140" i="9"/>
  <c r="N140" i="9" s="1"/>
  <c r="M141" i="9"/>
  <c r="N141" i="9" s="1"/>
  <c r="M142" i="9"/>
  <c r="N142" i="9" s="1"/>
  <c r="M143" i="9"/>
  <c r="N143" i="9" s="1"/>
  <c r="M144" i="9"/>
  <c r="N144" i="9" s="1"/>
  <c r="M145" i="9"/>
  <c r="N145" i="9" s="1"/>
  <c r="M146" i="9"/>
  <c r="N146" i="9" s="1"/>
  <c r="M147" i="9"/>
  <c r="N147" i="9" s="1"/>
  <c r="M148" i="9"/>
  <c r="N148" i="9" s="1"/>
  <c r="M149" i="9"/>
  <c r="N149" i="9" s="1"/>
  <c r="M150" i="9"/>
  <c r="N150" i="9" s="1"/>
  <c r="M151" i="9"/>
  <c r="M152" i="9"/>
  <c r="N152" i="9" s="1"/>
  <c r="M153" i="9"/>
  <c r="N153" i="9" s="1"/>
  <c r="M154" i="9"/>
  <c r="N154" i="9" s="1"/>
  <c r="M155" i="9"/>
  <c r="N155" i="9" s="1"/>
  <c r="M156" i="9"/>
  <c r="N156" i="9" s="1"/>
  <c r="M157" i="9"/>
  <c r="N157" i="9" s="1"/>
  <c r="M158" i="9"/>
  <c r="N158" i="9" s="1"/>
  <c r="M159" i="9"/>
  <c r="N159" i="9" s="1"/>
  <c r="M160" i="9"/>
  <c r="N160" i="9" s="1"/>
  <c r="M161" i="9"/>
  <c r="N161" i="9" s="1"/>
  <c r="M162" i="9"/>
  <c r="N162" i="9" s="1"/>
  <c r="M163" i="9"/>
  <c r="M164" i="9"/>
  <c r="N164" i="9" s="1"/>
  <c r="M165" i="9"/>
  <c r="N165" i="9" s="1"/>
  <c r="M166" i="9"/>
  <c r="N166" i="9" s="1"/>
  <c r="M167" i="9"/>
  <c r="N167" i="9" s="1"/>
  <c r="M168" i="9"/>
  <c r="N168" i="9" s="1"/>
  <c r="M169" i="9"/>
  <c r="N169" i="9" s="1"/>
  <c r="M170" i="9"/>
  <c r="N170" i="9" s="1"/>
  <c r="M171" i="9"/>
  <c r="N171" i="9" s="1"/>
  <c r="M172" i="9"/>
  <c r="N172" i="9" s="1"/>
  <c r="M173" i="9"/>
  <c r="N173" i="9" s="1"/>
  <c r="M174" i="9"/>
  <c r="N174" i="9" s="1"/>
  <c r="M175" i="9"/>
  <c r="M176" i="9"/>
  <c r="N176" i="9" s="1"/>
  <c r="M177" i="9"/>
  <c r="N177" i="9" s="1"/>
  <c r="M178" i="9"/>
  <c r="N178" i="9" s="1"/>
  <c r="M179" i="9"/>
  <c r="N179" i="9" s="1"/>
  <c r="M180" i="9"/>
  <c r="N180" i="9" s="1"/>
  <c r="M181" i="9"/>
  <c r="N181" i="9" s="1"/>
  <c r="M182" i="9"/>
  <c r="N182" i="9" s="1"/>
  <c r="M183" i="9"/>
  <c r="N183" i="9" s="1"/>
  <c r="M184" i="9"/>
  <c r="N184" i="9" s="1"/>
  <c r="M185" i="9"/>
  <c r="N185" i="9" s="1"/>
  <c r="M186" i="9"/>
  <c r="N186" i="9" s="1"/>
  <c r="M187" i="9"/>
  <c r="M188" i="9"/>
  <c r="N188" i="9" s="1"/>
  <c r="M189" i="9"/>
  <c r="N189" i="9" s="1"/>
  <c r="M190" i="9"/>
  <c r="N190" i="9" s="1"/>
  <c r="M191" i="9"/>
  <c r="N191" i="9" s="1"/>
  <c r="M192" i="9"/>
  <c r="N192" i="9" s="1"/>
  <c r="M193" i="9"/>
  <c r="N193" i="9" s="1"/>
  <c r="M194" i="9"/>
  <c r="N194" i="9" s="1"/>
  <c r="M195" i="9"/>
  <c r="N195" i="9" s="1"/>
  <c r="M196" i="9"/>
  <c r="N196" i="9" s="1"/>
  <c r="M197" i="9"/>
  <c r="N197" i="9" s="1"/>
  <c r="M198" i="9"/>
  <c r="N198" i="9" s="1"/>
  <c r="M199" i="9"/>
  <c r="M200" i="9"/>
  <c r="N200" i="9" s="1"/>
  <c r="M201" i="9"/>
  <c r="N201" i="9" s="1"/>
  <c r="M202" i="9"/>
  <c r="N202" i="9" s="1"/>
  <c r="M203" i="9"/>
  <c r="N203" i="9" s="1"/>
  <c r="M204" i="9"/>
  <c r="N204" i="9" s="1"/>
  <c r="M205" i="9"/>
  <c r="N205" i="9" s="1"/>
  <c r="M206" i="9"/>
  <c r="N206" i="9" s="1"/>
  <c r="M207" i="9"/>
  <c r="N207" i="9" s="1"/>
  <c r="M208" i="9"/>
  <c r="N208" i="9" s="1"/>
  <c r="M209" i="9"/>
  <c r="N209" i="9" s="1"/>
  <c r="M210" i="9"/>
  <c r="N210" i="9" s="1"/>
  <c r="M211" i="9"/>
  <c r="M212" i="9"/>
  <c r="N212" i="9" s="1"/>
  <c r="M213" i="9"/>
  <c r="N213" i="9" s="1"/>
  <c r="M214" i="9"/>
  <c r="N214" i="9" s="1"/>
  <c r="M215" i="9"/>
  <c r="N215" i="9" s="1"/>
  <c r="M216" i="9"/>
  <c r="N216" i="9" s="1"/>
  <c r="M217" i="9"/>
  <c r="N217" i="9" s="1"/>
  <c r="M218" i="9"/>
  <c r="N218" i="9" s="1"/>
  <c r="M219" i="9"/>
  <c r="N219" i="9" s="1"/>
  <c r="M220" i="9"/>
  <c r="N220" i="9" s="1"/>
  <c r="M221" i="9"/>
  <c r="N221" i="9" s="1"/>
  <c r="M222" i="9"/>
  <c r="N222" i="9" s="1"/>
  <c r="M223" i="9"/>
  <c r="M224" i="9"/>
  <c r="N224" i="9" s="1"/>
  <c r="M225" i="9"/>
  <c r="N225" i="9" s="1"/>
  <c r="M226" i="9"/>
  <c r="N226" i="9" s="1"/>
  <c r="M227" i="9"/>
  <c r="N227" i="9" s="1"/>
  <c r="M228" i="9"/>
  <c r="N228" i="9" s="1"/>
  <c r="M229" i="9"/>
  <c r="N229" i="9" s="1"/>
  <c r="M230" i="9"/>
  <c r="N230" i="9" s="1"/>
  <c r="M231" i="9"/>
  <c r="N231" i="9" s="1"/>
  <c r="M232" i="9"/>
  <c r="N232" i="9" s="1"/>
  <c r="M233" i="9"/>
  <c r="N233" i="9" s="1"/>
  <c r="M234" i="9"/>
  <c r="N234" i="9" s="1"/>
  <c r="M235" i="9"/>
  <c r="M236" i="9"/>
  <c r="N236" i="9" s="1"/>
  <c r="M237" i="9"/>
  <c r="N237" i="9" s="1"/>
  <c r="M238" i="9"/>
  <c r="N238" i="9" s="1"/>
  <c r="M239" i="9"/>
  <c r="N239" i="9" s="1"/>
  <c r="M240" i="9"/>
  <c r="N240" i="9" s="1"/>
  <c r="M241" i="9"/>
  <c r="N241" i="9" s="1"/>
  <c r="M242" i="9"/>
  <c r="N242" i="9" s="1"/>
  <c r="M243" i="9"/>
  <c r="N243" i="9" s="1"/>
  <c r="M244" i="9"/>
  <c r="N244" i="9" s="1"/>
  <c r="M245" i="9"/>
  <c r="N245" i="9" s="1"/>
  <c r="M246" i="9"/>
  <c r="N246" i="9" s="1"/>
  <c r="M247" i="9"/>
  <c r="M248" i="9"/>
  <c r="N248" i="9" s="1"/>
  <c r="M249" i="9"/>
  <c r="N249" i="9" s="1"/>
  <c r="M250" i="9"/>
  <c r="N250" i="9" s="1"/>
  <c r="M251" i="9"/>
  <c r="N251" i="9" s="1"/>
  <c r="M252" i="9"/>
  <c r="N252" i="9" s="1"/>
  <c r="M253" i="9"/>
  <c r="N253" i="9" s="1"/>
  <c r="M254" i="9"/>
  <c r="N254" i="9" s="1"/>
  <c r="M255" i="9"/>
  <c r="N255" i="9" s="1"/>
  <c r="M256" i="9"/>
  <c r="N256" i="9" s="1"/>
  <c r="M257" i="9"/>
  <c r="N257" i="9" s="1"/>
  <c r="M258" i="9"/>
  <c r="N258" i="9" s="1"/>
  <c r="M259" i="9"/>
  <c r="M260" i="9"/>
  <c r="N260" i="9" s="1"/>
  <c r="M261" i="9"/>
  <c r="N261" i="9" s="1"/>
  <c r="M262" i="9"/>
  <c r="N262" i="9" s="1"/>
  <c r="M263" i="9"/>
  <c r="N263" i="9" s="1"/>
  <c r="M264" i="9"/>
  <c r="N264" i="9" s="1"/>
  <c r="M265" i="9"/>
  <c r="N265" i="9" s="1"/>
  <c r="M266" i="9"/>
  <c r="N266" i="9" s="1"/>
  <c r="M267" i="9"/>
  <c r="N267" i="9" s="1"/>
  <c r="M268" i="9"/>
  <c r="N268" i="9" s="1"/>
  <c r="M269" i="9"/>
  <c r="N269" i="9" s="1"/>
  <c r="M270" i="9"/>
  <c r="N270" i="9" s="1"/>
  <c r="M271" i="9"/>
  <c r="M272" i="9"/>
  <c r="N272" i="9" s="1"/>
  <c r="M273" i="9"/>
  <c r="N273" i="9" s="1"/>
  <c r="M274" i="9"/>
  <c r="N274" i="9" s="1"/>
  <c r="M275" i="9"/>
  <c r="N275" i="9" s="1"/>
  <c r="M276" i="9"/>
  <c r="N276" i="9" s="1"/>
  <c r="M277" i="9"/>
  <c r="N277" i="9" s="1"/>
  <c r="M278" i="9"/>
  <c r="N278" i="9" s="1"/>
  <c r="M279" i="9"/>
  <c r="N279" i="9" s="1"/>
  <c r="M280" i="9"/>
  <c r="N280" i="9" s="1"/>
  <c r="M281" i="9"/>
  <c r="N281" i="9" s="1"/>
  <c r="M3" i="9"/>
  <c r="N3" i="9" s="1"/>
  <c r="L4" i="9" l="1"/>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L130" i="9"/>
  <c r="L131" i="9"/>
  <c r="L132" i="9"/>
  <c r="L133" i="9"/>
  <c r="L134" i="9"/>
  <c r="L135" i="9"/>
  <c r="L136" i="9"/>
  <c r="L137" i="9"/>
  <c r="L138" i="9"/>
  <c r="L139" i="9"/>
  <c r="L140" i="9"/>
  <c r="L141" i="9"/>
  <c r="L142" i="9"/>
  <c r="L143" i="9"/>
  <c r="L144" i="9"/>
  <c r="L145" i="9"/>
  <c r="L146" i="9"/>
  <c r="L147" i="9"/>
  <c r="L148" i="9"/>
  <c r="L149" i="9"/>
  <c r="L150" i="9"/>
  <c r="L151" i="9"/>
  <c r="L152" i="9"/>
  <c r="L153" i="9"/>
  <c r="L154" i="9"/>
  <c r="L155" i="9"/>
  <c r="L156" i="9"/>
  <c r="L157" i="9"/>
  <c r="L158" i="9"/>
  <c r="L159" i="9"/>
  <c r="L160" i="9"/>
  <c r="L161" i="9"/>
  <c r="L162" i="9"/>
  <c r="L163" i="9"/>
  <c r="L164" i="9"/>
  <c r="L165" i="9"/>
  <c r="L166" i="9"/>
  <c r="L167" i="9"/>
  <c r="L168" i="9"/>
  <c r="L169" i="9"/>
  <c r="L170" i="9"/>
  <c r="L171" i="9"/>
  <c r="L172" i="9"/>
  <c r="L173" i="9"/>
  <c r="L174" i="9"/>
  <c r="L175" i="9"/>
  <c r="L176" i="9"/>
  <c r="L177" i="9"/>
  <c r="L178" i="9"/>
  <c r="L179" i="9"/>
  <c r="L180" i="9"/>
  <c r="L181" i="9"/>
  <c r="L182" i="9"/>
  <c r="L183" i="9"/>
  <c r="L184" i="9"/>
  <c r="L185" i="9"/>
  <c r="L186" i="9"/>
  <c r="L187" i="9"/>
  <c r="L188" i="9"/>
  <c r="L189" i="9"/>
  <c r="L190" i="9"/>
  <c r="L191" i="9"/>
  <c r="L192" i="9"/>
  <c r="L193" i="9"/>
  <c r="L194" i="9"/>
  <c r="L195" i="9"/>
  <c r="L196" i="9"/>
  <c r="L197" i="9"/>
  <c r="L198" i="9"/>
  <c r="L199" i="9"/>
  <c r="L200" i="9"/>
  <c r="L201" i="9"/>
  <c r="L202" i="9"/>
  <c r="L203" i="9"/>
  <c r="L204" i="9"/>
  <c r="L205" i="9"/>
  <c r="L206" i="9"/>
  <c r="L207" i="9"/>
  <c r="L208" i="9"/>
  <c r="L209" i="9"/>
  <c r="L210" i="9"/>
  <c r="L211" i="9"/>
  <c r="L212" i="9"/>
  <c r="L213" i="9"/>
  <c r="L214" i="9"/>
  <c r="L215" i="9"/>
  <c r="L216" i="9"/>
  <c r="L217" i="9"/>
  <c r="L218" i="9"/>
  <c r="L219" i="9"/>
  <c r="L220" i="9"/>
  <c r="L221" i="9"/>
  <c r="L222" i="9"/>
  <c r="L223" i="9"/>
  <c r="L224" i="9"/>
  <c r="L225" i="9"/>
  <c r="L226" i="9"/>
  <c r="L227" i="9"/>
  <c r="L228" i="9"/>
  <c r="L229" i="9"/>
  <c r="L230" i="9"/>
  <c r="L231" i="9"/>
  <c r="L232" i="9"/>
  <c r="L233" i="9"/>
  <c r="L234" i="9"/>
  <c r="L235" i="9"/>
  <c r="L236" i="9"/>
  <c r="L237" i="9"/>
  <c r="L238" i="9"/>
  <c r="L239" i="9"/>
  <c r="L240" i="9"/>
  <c r="L241" i="9"/>
  <c r="L242" i="9"/>
  <c r="L243" i="9"/>
  <c r="L244" i="9"/>
  <c r="L245" i="9"/>
  <c r="L246" i="9"/>
  <c r="L247" i="9"/>
  <c r="L248" i="9"/>
  <c r="L249" i="9"/>
  <c r="L250" i="9"/>
  <c r="L251" i="9"/>
  <c r="L252" i="9"/>
  <c r="L253" i="9"/>
  <c r="L254" i="9"/>
  <c r="L255" i="9"/>
  <c r="L256" i="9"/>
  <c r="L257" i="9"/>
  <c r="L258" i="9"/>
  <c r="L259" i="9"/>
  <c r="L260" i="9"/>
  <c r="L261" i="9"/>
  <c r="L262" i="9"/>
  <c r="L263" i="9"/>
  <c r="L264" i="9"/>
  <c r="L265" i="9"/>
  <c r="L266" i="9"/>
  <c r="L267" i="9"/>
  <c r="L268" i="9"/>
  <c r="L269" i="9"/>
  <c r="L270" i="9"/>
  <c r="L271" i="9"/>
  <c r="L272" i="9"/>
  <c r="L273" i="9"/>
  <c r="L274" i="9"/>
  <c r="L275" i="9"/>
  <c r="L276" i="9"/>
  <c r="L277" i="9"/>
  <c r="L278" i="9"/>
  <c r="L279" i="9"/>
  <c r="L280" i="9"/>
  <c r="L281" i="9"/>
  <c r="L3"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K131" i="9"/>
  <c r="K132" i="9"/>
  <c r="K133" i="9"/>
  <c r="K134" i="9"/>
  <c r="K135" i="9"/>
  <c r="K136" i="9"/>
  <c r="K137" i="9"/>
  <c r="K138" i="9"/>
  <c r="K139" i="9"/>
  <c r="K140" i="9"/>
  <c r="K141" i="9"/>
  <c r="K142" i="9"/>
  <c r="K143" i="9"/>
  <c r="K144" i="9"/>
  <c r="K145" i="9"/>
  <c r="K146" i="9"/>
  <c r="K147" i="9"/>
  <c r="K148" i="9"/>
  <c r="K149" i="9"/>
  <c r="K150" i="9"/>
  <c r="K151" i="9"/>
  <c r="K152" i="9"/>
  <c r="K153" i="9"/>
  <c r="K154" i="9"/>
  <c r="K155" i="9"/>
  <c r="K156" i="9"/>
  <c r="K157" i="9"/>
  <c r="K158" i="9"/>
  <c r="K159" i="9"/>
  <c r="K160" i="9"/>
  <c r="K161" i="9"/>
  <c r="K162" i="9"/>
  <c r="K163" i="9"/>
  <c r="K164" i="9"/>
  <c r="K165" i="9"/>
  <c r="K166" i="9"/>
  <c r="K167" i="9"/>
  <c r="K168" i="9"/>
  <c r="K169" i="9"/>
  <c r="K170" i="9"/>
  <c r="K171" i="9"/>
  <c r="K172" i="9"/>
  <c r="K173" i="9"/>
  <c r="K174" i="9"/>
  <c r="K175" i="9"/>
  <c r="K176" i="9"/>
  <c r="K177" i="9"/>
  <c r="K178" i="9"/>
  <c r="K179" i="9"/>
  <c r="K180" i="9"/>
  <c r="K181" i="9"/>
  <c r="K182" i="9"/>
  <c r="K183" i="9"/>
  <c r="K184" i="9"/>
  <c r="K185" i="9"/>
  <c r="K186" i="9"/>
  <c r="K187" i="9"/>
  <c r="K188" i="9"/>
  <c r="K189" i="9"/>
  <c r="K190" i="9"/>
  <c r="K191" i="9"/>
  <c r="K192" i="9"/>
  <c r="K193" i="9"/>
  <c r="K194" i="9"/>
  <c r="K195" i="9"/>
  <c r="K196" i="9"/>
  <c r="K197" i="9"/>
  <c r="K198" i="9"/>
  <c r="K199" i="9"/>
  <c r="K200" i="9"/>
  <c r="K201" i="9"/>
  <c r="K202" i="9"/>
  <c r="K203" i="9"/>
  <c r="K204" i="9"/>
  <c r="K205" i="9"/>
  <c r="K206" i="9"/>
  <c r="K207" i="9"/>
  <c r="K208" i="9"/>
  <c r="K209" i="9"/>
  <c r="K210" i="9"/>
  <c r="K211" i="9"/>
  <c r="K212" i="9"/>
  <c r="K213" i="9"/>
  <c r="K214" i="9"/>
  <c r="K215" i="9"/>
  <c r="K216" i="9"/>
  <c r="K217" i="9"/>
  <c r="K218" i="9"/>
  <c r="K219" i="9"/>
  <c r="K220" i="9"/>
  <c r="K221" i="9"/>
  <c r="K222" i="9"/>
  <c r="K223" i="9"/>
  <c r="K224" i="9"/>
  <c r="K225" i="9"/>
  <c r="K226" i="9"/>
  <c r="K227" i="9"/>
  <c r="K228" i="9"/>
  <c r="K229" i="9"/>
  <c r="K230" i="9"/>
  <c r="K231" i="9"/>
  <c r="K232" i="9"/>
  <c r="K233" i="9"/>
  <c r="K234" i="9"/>
  <c r="K235" i="9"/>
  <c r="K236" i="9"/>
  <c r="K237" i="9"/>
  <c r="K238" i="9"/>
  <c r="K239" i="9"/>
  <c r="K240" i="9"/>
  <c r="K241" i="9"/>
  <c r="K242" i="9"/>
  <c r="K243" i="9"/>
  <c r="K244" i="9"/>
  <c r="K245" i="9"/>
  <c r="K246" i="9"/>
  <c r="K247" i="9"/>
  <c r="K248" i="9"/>
  <c r="K249" i="9"/>
  <c r="K250" i="9"/>
  <c r="K251" i="9"/>
  <c r="K252" i="9"/>
  <c r="K253" i="9"/>
  <c r="K254" i="9"/>
  <c r="K255" i="9"/>
  <c r="K256" i="9"/>
  <c r="K257" i="9"/>
  <c r="K258" i="9"/>
  <c r="K259" i="9"/>
  <c r="K260" i="9"/>
  <c r="K261" i="9"/>
  <c r="K262" i="9"/>
  <c r="K263" i="9"/>
  <c r="K264" i="9"/>
  <c r="K265" i="9"/>
  <c r="K266" i="9"/>
  <c r="K267" i="9"/>
  <c r="K268" i="9"/>
  <c r="K269" i="9"/>
  <c r="K270" i="9"/>
  <c r="K271" i="9"/>
  <c r="K272" i="9"/>
  <c r="K273" i="9"/>
  <c r="K274" i="9"/>
  <c r="K275" i="9"/>
  <c r="K276" i="9"/>
  <c r="K277" i="9"/>
  <c r="K278" i="9"/>
  <c r="K279" i="9"/>
  <c r="K280" i="9"/>
  <c r="K281" i="9"/>
  <c r="K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7" i="9"/>
  <c r="J178"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22" i="9"/>
  <c r="J223" i="9"/>
  <c r="J224" i="9"/>
  <c r="J225" i="9"/>
  <c r="J226" i="9"/>
  <c r="J227" i="9"/>
  <c r="J228" i="9"/>
  <c r="J229" i="9"/>
  <c r="J230" i="9"/>
  <c r="J231" i="9"/>
  <c r="J232" i="9"/>
  <c r="J233" i="9"/>
  <c r="J234" i="9"/>
  <c r="J235" i="9"/>
  <c r="J236" i="9"/>
  <c r="J237" i="9"/>
  <c r="J238" i="9"/>
  <c r="J239" i="9"/>
  <c r="J240" i="9"/>
  <c r="J241" i="9"/>
  <c r="J242" i="9"/>
  <c r="J243" i="9"/>
  <c r="J244" i="9"/>
  <c r="J245" i="9"/>
  <c r="J246" i="9"/>
  <c r="J247" i="9"/>
  <c r="J248" i="9"/>
  <c r="J249" i="9"/>
  <c r="J250" i="9"/>
  <c r="J251" i="9"/>
  <c r="J252" i="9"/>
  <c r="J253" i="9"/>
  <c r="J254" i="9"/>
  <c r="J255" i="9"/>
  <c r="J256" i="9"/>
  <c r="J257" i="9"/>
  <c r="J258" i="9"/>
  <c r="J259" i="9"/>
  <c r="J260" i="9"/>
  <c r="J261" i="9"/>
  <c r="J262" i="9"/>
  <c r="J263" i="9"/>
  <c r="J264" i="9"/>
  <c r="J265" i="9"/>
  <c r="J266" i="9"/>
  <c r="J267" i="9"/>
  <c r="J268" i="9"/>
  <c r="J269" i="9"/>
  <c r="J270" i="9"/>
  <c r="J271" i="9"/>
  <c r="J272" i="9"/>
  <c r="J273" i="9"/>
  <c r="J274" i="9"/>
  <c r="J275" i="9"/>
  <c r="J276" i="9"/>
  <c r="J277" i="9"/>
  <c r="J278" i="9"/>
  <c r="J279" i="9"/>
  <c r="J280" i="9"/>
  <c r="J281" i="9"/>
  <c r="J3" i="9"/>
  <c r="I4" i="9"/>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5" i="9"/>
  <c r="I96" i="9"/>
  <c r="I97" i="9"/>
  <c r="I98" i="9"/>
  <c r="I99" i="9"/>
  <c r="I100" i="9"/>
  <c r="I101" i="9"/>
  <c r="I102" i="9"/>
  <c r="I103" i="9"/>
  <c r="I104" i="9"/>
  <c r="I105" i="9"/>
  <c r="I106" i="9"/>
  <c r="I107" i="9"/>
  <c r="I108" i="9"/>
  <c r="I109" i="9"/>
  <c r="I110" i="9"/>
  <c r="I111" i="9"/>
  <c r="I112" i="9"/>
  <c r="I113" i="9"/>
  <c r="I114" i="9"/>
  <c r="I115" i="9"/>
  <c r="I116" i="9"/>
  <c r="I117" i="9"/>
  <c r="I118" i="9"/>
  <c r="I119" i="9"/>
  <c r="I120" i="9"/>
  <c r="I121" i="9"/>
  <c r="I122" i="9"/>
  <c r="I123" i="9"/>
  <c r="I124" i="9"/>
  <c r="I125" i="9"/>
  <c r="I126" i="9"/>
  <c r="I127" i="9"/>
  <c r="I128" i="9"/>
  <c r="I129" i="9"/>
  <c r="I130" i="9"/>
  <c r="I131" i="9"/>
  <c r="I132" i="9"/>
  <c r="I133" i="9"/>
  <c r="I134" i="9"/>
  <c r="I135" i="9"/>
  <c r="I136" i="9"/>
  <c r="I137" i="9"/>
  <c r="I138" i="9"/>
  <c r="I139" i="9"/>
  <c r="I140" i="9"/>
  <c r="I141" i="9"/>
  <c r="I142" i="9"/>
  <c r="I143" i="9"/>
  <c r="I144" i="9"/>
  <c r="I145" i="9"/>
  <c r="I146" i="9"/>
  <c r="I147" i="9"/>
  <c r="I148" i="9"/>
  <c r="I149" i="9"/>
  <c r="I150" i="9"/>
  <c r="I151" i="9"/>
  <c r="I152" i="9"/>
  <c r="I153" i="9"/>
  <c r="I154" i="9"/>
  <c r="I155" i="9"/>
  <c r="I156" i="9"/>
  <c r="I157" i="9"/>
  <c r="I158" i="9"/>
  <c r="I159" i="9"/>
  <c r="I160" i="9"/>
  <c r="I161" i="9"/>
  <c r="I162" i="9"/>
  <c r="I163" i="9"/>
  <c r="I164" i="9"/>
  <c r="I165" i="9"/>
  <c r="I166" i="9"/>
  <c r="I167" i="9"/>
  <c r="I168" i="9"/>
  <c r="I169" i="9"/>
  <c r="I170" i="9"/>
  <c r="I171" i="9"/>
  <c r="I172" i="9"/>
  <c r="I173" i="9"/>
  <c r="I174" i="9"/>
  <c r="I175" i="9"/>
  <c r="I176" i="9"/>
  <c r="I177" i="9"/>
  <c r="I178" i="9"/>
  <c r="I179" i="9"/>
  <c r="I180" i="9"/>
  <c r="I181" i="9"/>
  <c r="I182" i="9"/>
  <c r="I183" i="9"/>
  <c r="I184" i="9"/>
  <c r="I185" i="9"/>
  <c r="I186" i="9"/>
  <c r="I187" i="9"/>
  <c r="I188" i="9"/>
  <c r="I189" i="9"/>
  <c r="I190" i="9"/>
  <c r="I191" i="9"/>
  <c r="I192" i="9"/>
  <c r="I193" i="9"/>
  <c r="I194" i="9"/>
  <c r="I195" i="9"/>
  <c r="I196" i="9"/>
  <c r="I197" i="9"/>
  <c r="I198" i="9"/>
  <c r="I199" i="9"/>
  <c r="I200" i="9"/>
  <c r="I201" i="9"/>
  <c r="I202" i="9"/>
  <c r="I203" i="9"/>
  <c r="I204" i="9"/>
  <c r="I205" i="9"/>
  <c r="I206" i="9"/>
  <c r="I207" i="9"/>
  <c r="I208" i="9"/>
  <c r="I209" i="9"/>
  <c r="I210" i="9"/>
  <c r="I211" i="9"/>
  <c r="I212" i="9"/>
  <c r="I213" i="9"/>
  <c r="I214" i="9"/>
  <c r="I215" i="9"/>
  <c r="I216" i="9"/>
  <c r="I217" i="9"/>
  <c r="I218" i="9"/>
  <c r="I219" i="9"/>
  <c r="I220" i="9"/>
  <c r="I221" i="9"/>
  <c r="I222" i="9"/>
  <c r="I223" i="9"/>
  <c r="I224" i="9"/>
  <c r="I225" i="9"/>
  <c r="I226" i="9"/>
  <c r="I227" i="9"/>
  <c r="I228" i="9"/>
  <c r="I229" i="9"/>
  <c r="I230" i="9"/>
  <c r="I231" i="9"/>
  <c r="I232" i="9"/>
  <c r="I233" i="9"/>
  <c r="I234" i="9"/>
  <c r="I235" i="9"/>
  <c r="I236" i="9"/>
  <c r="I237" i="9"/>
  <c r="I238" i="9"/>
  <c r="I239" i="9"/>
  <c r="I240" i="9"/>
  <c r="I241" i="9"/>
  <c r="I242" i="9"/>
  <c r="I243" i="9"/>
  <c r="I244" i="9"/>
  <c r="I245" i="9"/>
  <c r="I246" i="9"/>
  <c r="I247" i="9"/>
  <c r="I248" i="9"/>
  <c r="I249" i="9"/>
  <c r="I250" i="9"/>
  <c r="I251" i="9"/>
  <c r="I252" i="9"/>
  <c r="I253" i="9"/>
  <c r="I254" i="9"/>
  <c r="I255" i="9"/>
  <c r="I256" i="9"/>
  <c r="I257" i="9"/>
  <c r="I258" i="9"/>
  <c r="I259" i="9"/>
  <c r="I260" i="9"/>
  <c r="I261" i="9"/>
  <c r="I262" i="9"/>
  <c r="I263" i="9"/>
  <c r="I264" i="9"/>
  <c r="I265" i="9"/>
  <c r="I266" i="9"/>
  <c r="I267" i="9"/>
  <c r="I268" i="9"/>
  <c r="I269" i="9"/>
  <c r="I270" i="9"/>
  <c r="I271" i="9"/>
  <c r="I272" i="9"/>
  <c r="I273" i="9"/>
  <c r="I274" i="9"/>
  <c r="I275" i="9"/>
  <c r="I276" i="9"/>
  <c r="I277" i="9"/>
  <c r="I278" i="9"/>
  <c r="I279" i="9"/>
  <c r="I280" i="9"/>
  <c r="I281" i="9"/>
  <c r="I3" i="9"/>
  <c r="D2" i="9" l="1"/>
  <c r="C2" i="9"/>
  <c r="N2" i="9" s="1"/>
  <c r="D76" i="5" l="1"/>
  <c r="E13" i="10" l="1"/>
  <c r="E17" i="10" s="1"/>
  <c r="G76" i="5" l="1"/>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35" i="5"/>
  <c r="G133" i="5"/>
  <c r="G74" i="5"/>
  <c r="G16" i="5"/>
  <c r="F190" i="5"/>
  <c r="G191" i="5" s="1"/>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18"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34" i="5"/>
  <c r="D33" i="5"/>
  <c r="D27" i="5"/>
  <c r="D28" i="5"/>
  <c r="D29" i="5"/>
  <c r="D30" i="5"/>
  <c r="D31" i="5"/>
  <c r="D32" i="5"/>
  <c r="G126" i="5" l="1"/>
  <c r="G185" i="5"/>
  <c r="G68" i="5"/>
  <c r="E5" i="5"/>
  <c r="J3" i="5" s="1"/>
  <c r="G43" i="8"/>
  <c r="H43" i="8" s="1"/>
  <c r="F43" i="8"/>
  <c r="F42" i="8"/>
  <c r="G42" i="8" s="1"/>
  <c r="H42" i="8" s="1"/>
  <c r="F23" i="8" s="1"/>
  <c r="F41" i="8"/>
  <c r="G41" i="8" s="1"/>
  <c r="H41" i="8" s="1"/>
  <c r="F40" i="8"/>
  <c r="G40" i="8" s="1"/>
  <c r="H40" i="8" s="1"/>
  <c r="D35" i="8"/>
  <c r="G35" i="8" s="1"/>
  <c r="G34" i="8"/>
  <c r="D34" i="8"/>
  <c r="D33" i="8"/>
  <c r="G33" i="8" s="1"/>
  <c r="G32" i="8"/>
  <c r="D32" i="8"/>
  <c r="D31" i="8"/>
  <c r="G31" i="8" s="1"/>
  <c r="G30" i="8"/>
  <c r="D30" i="8"/>
  <c r="D29" i="8"/>
  <c r="G29" i="8" s="1"/>
  <c r="G28" i="8"/>
  <c r="D28" i="8"/>
  <c r="D27" i="8"/>
  <c r="G27" i="8" s="1"/>
  <c r="G26" i="8"/>
  <c r="D26" i="8"/>
  <c r="D25" i="8"/>
  <c r="G25" i="8" s="1"/>
  <c r="G24" i="8"/>
  <c r="D24" i="8"/>
  <c r="D23" i="8"/>
  <c r="G23" i="8" s="1"/>
  <c r="D22" i="8"/>
  <c r="D19" i="5"/>
  <c r="D20" i="5"/>
  <c r="D18" i="5"/>
  <c r="D21" i="5"/>
  <c r="D22" i="5"/>
  <c r="D23" i="5"/>
  <c r="D24" i="5"/>
  <c r="D25" i="5"/>
  <c r="D2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6" i="8" l="1"/>
  <c r="E16" i="8" s="1"/>
  <c r="H44" i="8"/>
  <c r="F37" i="8" s="1"/>
  <c r="D14" i="8"/>
  <c r="F22" i="8"/>
  <c r="F36" i="8" s="1"/>
  <c r="E7" i="5" l="1"/>
  <c r="F15" i="8"/>
  <c r="F16" i="8"/>
  <c r="G16" i="8" s="1"/>
  <c r="F14" i="8"/>
  <c r="G22" i="8"/>
  <c r="E14" i="8"/>
  <c r="G69" i="5" l="1"/>
  <c r="G127" i="5"/>
  <c r="G128" i="5" s="1"/>
  <c r="G129" i="5" s="1"/>
  <c r="G186" i="5"/>
  <c r="G187" i="5" s="1"/>
  <c r="G188" i="5" s="1"/>
  <c r="G14" i="8"/>
  <c r="D15" i="8"/>
  <c r="G36" i="8"/>
  <c r="D18" i="8" s="1"/>
  <c r="G70" i="5" l="1"/>
  <c r="E15" i="8"/>
  <c r="G15" i="8" s="1"/>
  <c r="D17" i="8"/>
  <c r="G17" i="8"/>
  <c r="G71" i="5" l="1"/>
  <c r="G190" i="5" l="1"/>
  <c r="G19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tc={82FB0300-D96D-444B-9829-22AA52BE520C}</author>
  </authors>
  <commentList>
    <comment ref="B19" authorId="0" shapeId="0" xr:uid="{82FB0300-D96D-444B-9829-22AA52BE520C}">
      <text>
        <t>[Threaded comment]
Your version of Excel allows you to read this threaded comment; however, any edits to it will get removed if the file is opened in a newer version of Excel. Learn more: https://go.microsoft.com/fwlink/?linkid=870924
Comment:
    Change language to reflect QA document. Average of 2022-23 SY ridership counts (fall, winter, spring), divided by 2</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tc={6002DCCC-2EF7-4F9A-8A2D-E964896636F0}</author>
    <author>tc={936B52D2-8ADE-4410-94C9-61F304E3F77F}</author>
    <author>tc={F4B3E61D-346C-4612-BEFC-8D2BEFE87D80}</author>
    <author>tc={AAFC33F0-0B29-4D76-8D9E-DF23625C69ED}</author>
    <author>tc={38646221-5D92-47F8-929A-9DF517A7CF61}</author>
    <author>tc={8BE2E9FE-E776-4094-8B83-644CF541435B}</author>
  </authors>
  <commentList>
    <comment ref="C17" authorId="0" shapeId="0" xr:uid="{6002DCCC-2EF7-4F9A-8A2D-E964896636F0}">
      <text>
        <t>[Threaded comment]
Your version of Excel allows you to read this threaded comment; however, any edits to it will get removed if the file is opened in a newer version of Excel. Learn more: https://go.microsoft.com/fwlink/?linkid=870924
Comment:
    Select From Drop Down</t>
      </text>
    </comment>
    <comment ref="E17" authorId="1" shapeId="0" xr:uid="{936B52D2-8ADE-4410-94C9-61F304E3F77F}">
      <text>
        <t>[Threaded comment]
Your version of Excel allows you to read this threaded comment; however, any edits to it will get removed if the file is opened in a newer version of Excel. Learn more: https://go.microsoft.com/fwlink/?linkid=870924
Comment:
    Select From Dropdown</t>
      </text>
    </comment>
    <comment ref="C75" authorId="2" shapeId="0" xr:uid="{F4B3E61D-346C-4612-BEFC-8D2BEFE87D80}">
      <text>
        <t>[Threaded comment]
Your version of Excel allows you to read this threaded comment; however, any edits to it will get removed if the file is opened in a newer version of Excel. Learn more: https://go.microsoft.com/fwlink/?linkid=870924
Comment:
    Select From Drop Down</t>
      </text>
    </comment>
    <comment ref="E75" authorId="3" shapeId="0" xr:uid="{AAFC33F0-0B29-4D76-8D9E-DF23625C69ED}">
      <text>
        <t>[Threaded comment]
Your version of Excel allows you to read this threaded comment; however, any edits to it will get removed if the file is opened in a newer version of Excel. Learn more: https://go.microsoft.com/fwlink/?linkid=870924
Comment:
    Select From Dropdown</t>
      </text>
    </comment>
    <comment ref="C134" authorId="4" shapeId="0" xr:uid="{38646221-5D92-47F8-929A-9DF517A7CF61}">
      <text>
        <t>[Threaded comment]
Your version of Excel allows you to read this threaded comment; however, any edits to it will get removed if the file is opened in a newer version of Excel. Learn more: https://go.microsoft.com/fwlink/?linkid=870924
Comment:
    Select From Drop Down</t>
      </text>
    </comment>
    <comment ref="E134" authorId="5" shapeId="0" xr:uid="{8BE2E9FE-E776-4094-8B83-644CF541435B}">
      <text>
        <t>[Threaded comment]
Your version of Excel allows you to read this threaded comment; however, any edits to it will get removed if the file is opened in a newer version of Excel. Learn more: https://go.microsoft.com/fwlink/?linkid=870924
Comment:
    Select From Dropdown</t>
      </text>
    </comment>
  </commentList>
</comments>
</file>

<file path=xl/sharedStrings.xml><?xml version="1.0" encoding="utf-8"?>
<sst xmlns="http://schemas.openxmlformats.org/spreadsheetml/2006/main" count="2455" uniqueCount="1094">
  <si>
    <t>ACTIVITY 25 PUPIL MANAGEMENT AND SAFETY</t>
  </si>
  <si>
    <t xml:space="preserve">ACTIVITY 25 </t>
  </si>
  <si>
    <t>SALARIES FOR CERTIFICATED TEACHER SALARIES</t>
  </si>
  <si>
    <t>99-25-2-110</t>
  </si>
  <si>
    <t>PROGRAM 99 – PUPIL TRANSPORTATION</t>
  </si>
  <si>
    <t>Pupil Management and Safety</t>
  </si>
  <si>
    <t>Certificated</t>
  </si>
  <si>
    <t>Salaries of Regular Employee</t>
  </si>
  <si>
    <t>99-25-2-120</t>
  </si>
  <si>
    <t>Salaries of Temporary EEs &amp; Subs</t>
  </si>
  <si>
    <t>99-25-2-130</t>
  </si>
  <si>
    <t xml:space="preserve">Non contracted Salaries </t>
  </si>
  <si>
    <t>99-25-2-140</t>
  </si>
  <si>
    <t>Sabbatical Leave</t>
  </si>
  <si>
    <t>99-25-2-150</t>
  </si>
  <si>
    <t>Supplemental Contracts</t>
  </si>
  <si>
    <t>99-25-2-160</t>
  </si>
  <si>
    <t xml:space="preserve">Other Salaries </t>
  </si>
  <si>
    <t xml:space="preserve">SALARIES FOR CLASSIFIED STAFF (EAs) </t>
  </si>
  <si>
    <t>99-25-3-110</t>
  </si>
  <si>
    <t>Classified</t>
  </si>
  <si>
    <t>99-25-3-120</t>
  </si>
  <si>
    <t>99-25-3-130</t>
  </si>
  <si>
    <t>Extra Time</t>
  </si>
  <si>
    <t>99-25-3-140</t>
  </si>
  <si>
    <t>99-25-3-150</t>
  </si>
  <si>
    <t>99-25-3-160</t>
  </si>
  <si>
    <t>PAYROLL BENEFITS ASSOC. WITH SALARIES (HAVE TO LEAVE IN, IF SALARIES ARE ALLOWED</t>
  </si>
  <si>
    <t>99-25-4-212</t>
  </si>
  <si>
    <t>Taxes and Benefits</t>
  </si>
  <si>
    <t>Group Insurance–Certificate</t>
  </si>
  <si>
    <t>99-25-4-213</t>
  </si>
  <si>
    <t>Group Insurance–Classified</t>
  </si>
  <si>
    <t>99-25-4-222</t>
  </si>
  <si>
    <t>Federally Mandated Insurance–Certificate</t>
  </si>
  <si>
    <t>99-25-4-223</t>
  </si>
  <si>
    <t>Federally Mandated Insurance–Classified</t>
  </si>
  <si>
    <t>99-25-4-232</t>
  </si>
  <si>
    <t>Retirement Contribution – Certificated</t>
  </si>
  <si>
    <t>99-25-4-233</t>
  </si>
  <si>
    <t>Retirement Contribution – Classified</t>
  </si>
  <si>
    <t>99-25-4-242</t>
  </si>
  <si>
    <t>On-Behalf Payments – Certificate</t>
  </si>
  <si>
    <t>99-25-4-243</t>
  </si>
  <si>
    <t>On-Behalf Payments – Classified</t>
  </si>
  <si>
    <t>99-25-4-252</t>
  </si>
  <si>
    <t>Tuition Reimbursement – Certificated</t>
  </si>
  <si>
    <t>99-25-4-253</t>
  </si>
  <si>
    <t>Tuition Reimbursement – Classified</t>
  </si>
  <si>
    <t>99-25-4-262</t>
  </si>
  <si>
    <t>Unemployment Compensation – Certificated</t>
  </si>
  <si>
    <t>99-25-4-263</t>
  </si>
  <si>
    <t>Unemployment Compensation – Classified</t>
  </si>
  <si>
    <t>99-25-4-272</t>
  </si>
  <si>
    <t>Worker's Compensation – Certificated</t>
  </si>
  <si>
    <t>99-25-4-273</t>
  </si>
  <si>
    <t>Worker's Compensation – Classified</t>
  </si>
  <si>
    <t>99-25-4-282</t>
  </si>
  <si>
    <t>Health Benefits – Certificated</t>
  </si>
  <si>
    <t>99-25-4-283</t>
  </si>
  <si>
    <t>Health Benefits – Classified</t>
  </si>
  <si>
    <t>99-25-4-292</t>
  </si>
  <si>
    <t>Other Employee Benefits – Certificated</t>
  </si>
  <si>
    <t>99-25-4-293</t>
  </si>
  <si>
    <t>Other Employee Benefits  – Classified</t>
  </si>
  <si>
    <t>SUPPLIES</t>
  </si>
  <si>
    <t>99-25-5-610</t>
  </si>
  <si>
    <t>Supplies</t>
  </si>
  <si>
    <t>General Supplies</t>
  </si>
  <si>
    <t>99-25-5-626</t>
  </si>
  <si>
    <t>Motor Vehicle Fuel</t>
  </si>
  <si>
    <t>99-25-5-640</t>
  </si>
  <si>
    <t>Books and Periodicals</t>
  </si>
  <si>
    <t>99-25-5-650</t>
  </si>
  <si>
    <t>Supplies – Technology Related</t>
  </si>
  <si>
    <t>PURCHASED SERVICES</t>
  </si>
  <si>
    <t>99-25-7-310</t>
  </si>
  <si>
    <t>Purchased Services</t>
  </si>
  <si>
    <t>Office and Administrative Services</t>
  </si>
  <si>
    <t>99-25-7-320</t>
  </si>
  <si>
    <t>Professional Educational Services</t>
  </si>
  <si>
    <t>99-25-7-321</t>
  </si>
  <si>
    <t>Contracted Teachers</t>
  </si>
  <si>
    <t>99-25-7-322</t>
  </si>
  <si>
    <t>Contracted Educational Staff Associates</t>
  </si>
  <si>
    <t>99-25-7-330</t>
  </si>
  <si>
    <t>Employee Training and Development Services</t>
  </si>
  <si>
    <t>99-25-7-340</t>
  </si>
  <si>
    <t>Other Professional Purchased Services</t>
  </si>
  <si>
    <t>99-25-7-350</t>
  </si>
  <si>
    <t>Technical Services</t>
  </si>
  <si>
    <t>99-25-7-352</t>
  </si>
  <si>
    <t>Other Technical Services</t>
  </si>
  <si>
    <t>99-25-7-420</t>
  </si>
  <si>
    <t xml:space="preserve">Cleaning Services  </t>
  </si>
  <si>
    <t>99-25-7-431</t>
  </si>
  <si>
    <t>Non-Technology-Related Repair and Maintenance</t>
  </si>
  <si>
    <t>99-25-7-432</t>
  </si>
  <si>
    <t>Technology-Related Repair and Maintenance</t>
  </si>
  <si>
    <t>99-25-7-442</t>
  </si>
  <si>
    <t>Rentals of Equipment and Vehicles</t>
  </si>
  <si>
    <t>99-25-7-530</t>
  </si>
  <si>
    <t>Communications</t>
  </si>
  <si>
    <t>99-25-7-550</t>
  </si>
  <si>
    <t>Printing and Binding</t>
  </si>
  <si>
    <t>99-25-7-580</t>
  </si>
  <si>
    <t>Travel – Registration and Entrance</t>
  </si>
  <si>
    <t>99-25-7-810</t>
  </si>
  <si>
    <t>Dues and Fees</t>
  </si>
  <si>
    <t>99-25-7-950</t>
  </si>
  <si>
    <t>Special Items</t>
  </si>
  <si>
    <t>99-25-7-960</t>
  </si>
  <si>
    <t>Extraordinary Items</t>
  </si>
  <si>
    <t>Employee Travel and Lodging</t>
  </si>
  <si>
    <t>99-25-8-580</t>
  </si>
  <si>
    <t>Travel</t>
  </si>
  <si>
    <t xml:space="preserve">Travel, Meals and Lodging </t>
  </si>
  <si>
    <t>Capital Outlay</t>
  </si>
  <si>
    <t>99-25-9-733</t>
  </si>
  <si>
    <t>Furniture and Fixtures</t>
  </si>
  <si>
    <t>99-25-9-739</t>
  </si>
  <si>
    <t>Other Equipment</t>
  </si>
  <si>
    <t>99-25-9-950</t>
  </si>
  <si>
    <t>Special Items – Capital Outlay</t>
  </si>
  <si>
    <t>99-25-9-960</t>
  </si>
  <si>
    <t>Extraordinary Items – Capital Outlay</t>
  </si>
  <si>
    <t>DEBIT TRANSFERS (COSTS ADDED INTO THIS ACTIVITY FROM OTHER PROGRAMS)</t>
  </si>
  <si>
    <t>99-25-0-000</t>
  </si>
  <si>
    <t>0</t>
  </si>
  <si>
    <t>000</t>
  </si>
  <si>
    <t>Debit Transfers</t>
  </si>
  <si>
    <t>ACTIVITY 29 PAYMENTS TO OTHER SCHOOL DISTRICTS FOR TRANSPORTATION RELATED COST</t>
  </si>
  <si>
    <t>ACTIVITY 29</t>
  </si>
  <si>
    <t>99-29-7-320</t>
  </si>
  <si>
    <t>Payments to School Districts</t>
  </si>
  <si>
    <t>99-29-7-321</t>
  </si>
  <si>
    <t>99-29-7-322</t>
  </si>
  <si>
    <t>99-29-7-330</t>
  </si>
  <si>
    <t>99-29-7-340</t>
  </si>
  <si>
    <t>99-29-7-431</t>
  </si>
  <si>
    <t>99-29-7-432</t>
  </si>
  <si>
    <t>99-29-7-441</t>
  </si>
  <si>
    <t>Rentals of Land and Buildings</t>
  </si>
  <si>
    <t>99-29-7-442</t>
  </si>
  <si>
    <t>99-29-7-443</t>
  </si>
  <si>
    <t>Rentals of Computers and Related Equipment</t>
  </si>
  <si>
    <t>99-29-7-490</t>
  </si>
  <si>
    <t xml:space="preserve">Other Purchased Property Services </t>
  </si>
  <si>
    <t>99-29-7-511</t>
  </si>
  <si>
    <t>Student Trans Purchased from Another School District or ESD</t>
  </si>
  <si>
    <t>99-29-7-512</t>
  </si>
  <si>
    <r>
      <t xml:space="preserve">Student Transportation Purchased from another LEA or SEA </t>
    </r>
    <r>
      <rPr>
        <u/>
        <sz val="11"/>
        <rFont val="Calibri"/>
        <family val="2"/>
        <scheme val="minor"/>
      </rPr>
      <t>Out of State</t>
    </r>
  </si>
  <si>
    <t>99-29-7-519</t>
  </si>
  <si>
    <t>Student Transportation Svcs purchased from another source</t>
  </si>
  <si>
    <t>99-29-7-810</t>
  </si>
  <si>
    <t>ACTIVITY 52 TRANSPORTATION - OPERATIONS  (BUS DRIVERS)</t>
  </si>
  <si>
    <t>ACTIVITY 52</t>
  </si>
  <si>
    <t xml:space="preserve">SALARIES FOR CLASSIFIED STAFF (DRIVERS) </t>
  </si>
  <si>
    <t>99-52-3-110</t>
  </si>
  <si>
    <t>Operations-Transportation</t>
  </si>
  <si>
    <t>99-52-3-120</t>
  </si>
  <si>
    <t>99-52-3-130</t>
  </si>
  <si>
    <t>99-52-3-140</t>
  </si>
  <si>
    <t>99-52-3-150</t>
  </si>
  <si>
    <t>99-52-3-160</t>
  </si>
  <si>
    <t>99-52-4-213</t>
  </si>
  <si>
    <t>99-52-4-223</t>
  </si>
  <si>
    <t>99-52-4-233</t>
  </si>
  <si>
    <t>99-52-4-243</t>
  </si>
  <si>
    <t>99-52-4-253</t>
  </si>
  <si>
    <t>99-52-4-263</t>
  </si>
  <si>
    <t>99-52-4-273</t>
  </si>
  <si>
    <t>99-52-4-283</t>
  </si>
  <si>
    <t>99-52-4-293</t>
  </si>
  <si>
    <t>99-52-5-610</t>
  </si>
  <si>
    <t>99-52-5-626</t>
  </si>
  <si>
    <t>99-52-5-640</t>
  </si>
  <si>
    <t>99-52-5-650</t>
  </si>
  <si>
    <t>99-52-7-310</t>
  </si>
  <si>
    <t>99-52-7-330</t>
  </si>
  <si>
    <t>99-52-7-340</t>
  </si>
  <si>
    <t>99-52-7-350</t>
  </si>
  <si>
    <t>99-52-7-352</t>
  </si>
  <si>
    <t>99-52-7-420</t>
  </si>
  <si>
    <t>99-52-7-431</t>
  </si>
  <si>
    <t>99-52-7-432</t>
  </si>
  <si>
    <t>99-52-7-442</t>
  </si>
  <si>
    <t>99-52-7-450</t>
  </si>
  <si>
    <t xml:space="preserve">Contractor Services (renovating, remodeling) </t>
  </si>
  <si>
    <t>99-52-7-511</t>
  </si>
  <si>
    <t>99-52-7-512</t>
  </si>
  <si>
    <t>99-52-7-519</t>
  </si>
  <si>
    <t>99-52-7-530</t>
  </si>
  <si>
    <t>99-52-7-580</t>
  </si>
  <si>
    <t>99-52-7-591</t>
  </si>
  <si>
    <t>Services Purchased from another School District or ESD Within the State</t>
  </si>
  <si>
    <t>99-52-7-592</t>
  </si>
  <si>
    <t>Services Purchased from another School District or ESD Outside the State</t>
  </si>
  <si>
    <t>99-52-7-623</t>
  </si>
  <si>
    <t>Bottled Gas</t>
  </si>
  <si>
    <t>99-52-7-810</t>
  </si>
  <si>
    <t>99-52-8-580</t>
  </si>
  <si>
    <t>99-52-9-732</t>
  </si>
  <si>
    <t>Vehicles</t>
  </si>
  <si>
    <t>99-52-9-733</t>
  </si>
  <si>
    <t>99-52-9-739</t>
  </si>
  <si>
    <t>99-52-0-000</t>
  </si>
  <si>
    <t>ACTIVITY 53 TRANSPORTATION - MAINTENANCE</t>
  </si>
  <si>
    <t>ACTIVITY 53</t>
  </si>
  <si>
    <t xml:space="preserve">SALARIES FOR CLASSIFIED STAFF  </t>
  </si>
  <si>
    <t>99-53-3-110</t>
  </si>
  <si>
    <t>Maintenance-Transportation</t>
  </si>
  <si>
    <t>99-53-3-120</t>
  </si>
  <si>
    <t>99-53-3-130</t>
  </si>
  <si>
    <t>99-53-3-140</t>
  </si>
  <si>
    <t>99-53-3-150</t>
  </si>
  <si>
    <t>99-53-3-160</t>
  </si>
  <si>
    <t>99-53-4-213</t>
  </si>
  <si>
    <t>99-53-4-223</t>
  </si>
  <si>
    <t>99-53-4-233</t>
  </si>
  <si>
    <t>99-53-4-243</t>
  </si>
  <si>
    <t>99-53-4-253</t>
  </si>
  <si>
    <t>99-53-4-263</t>
  </si>
  <si>
    <t>99-53-4-273</t>
  </si>
  <si>
    <t>99-53-4-283</t>
  </si>
  <si>
    <t>99-53-4-293</t>
  </si>
  <si>
    <t>99-53-5-610</t>
  </si>
  <si>
    <t>99-53-5-626</t>
  </si>
  <si>
    <t>99-53-5-640</t>
  </si>
  <si>
    <t>99-53-5-650</t>
  </si>
  <si>
    <t>99-53-7-330</t>
  </si>
  <si>
    <t>99-53-7-340</t>
  </si>
  <si>
    <t>99-53-7-350</t>
  </si>
  <si>
    <t>99-53-7-352</t>
  </si>
  <si>
    <t>99-53-7-420</t>
  </si>
  <si>
    <t>99-53-7-431</t>
  </si>
  <si>
    <t>99-53-7-432</t>
  </si>
  <si>
    <t>99-53-7-441</t>
  </si>
  <si>
    <t>99-53-7-442</t>
  </si>
  <si>
    <t>99-53-7-450</t>
  </si>
  <si>
    <t>99-53-7-490</t>
  </si>
  <si>
    <t>99-53-7-580</t>
  </si>
  <si>
    <t>99-53-7-591</t>
  </si>
  <si>
    <t>99-53-7-592</t>
  </si>
  <si>
    <t>99-53-7-623</t>
  </si>
  <si>
    <t>99-53-7-810</t>
  </si>
  <si>
    <t>99-53-8-580</t>
  </si>
  <si>
    <t>99-53-9-731</t>
  </si>
  <si>
    <t>Machinery</t>
  </si>
  <si>
    <t>99-53-9-732</t>
  </si>
  <si>
    <t>99-53-9-733</t>
  </si>
  <si>
    <t>99-53-9-739</t>
  </si>
  <si>
    <t>99-53-0-000</t>
  </si>
  <si>
    <t>OBJECTS OF EXPENDITURE</t>
  </si>
  <si>
    <t>Debit</t>
  </si>
  <si>
    <t>Credit</t>
  </si>
  <si>
    <t>Cert.</t>
  </si>
  <si>
    <t>Class.</t>
  </si>
  <si>
    <t>Employee</t>
  </si>
  <si>
    <t>Purchased</t>
  </si>
  <si>
    <t>Capital</t>
  </si>
  <si>
    <t>Transfer</t>
  </si>
  <si>
    <t>Salaries</t>
  </si>
  <si>
    <t>Benefits</t>
  </si>
  <si>
    <t>Noncap</t>
  </si>
  <si>
    <t>Services</t>
  </si>
  <si>
    <t>Outlay</t>
  </si>
  <si>
    <t>ACTIVITY</t>
  </si>
  <si>
    <t>Total</t>
  </si>
  <si>
    <t>Supervision</t>
  </si>
  <si>
    <t>Operations</t>
  </si>
  <si>
    <t>Maintenance</t>
  </si>
  <si>
    <t>Insurance</t>
  </si>
  <si>
    <t>Remote Learning–Operations</t>
  </si>
  <si>
    <t>Transfers</t>
  </si>
  <si>
    <t>TOTALS</t>
  </si>
  <si>
    <t>NOT ALLOWED IN THE PROGRAM 99 MATRIX</t>
  </si>
  <si>
    <t>ADDITIONAL ACTIVITY-OBJECT COMBINATIONS NOT ALLOWED AS EXCESS COST FOR THIS EXERCISE.</t>
  </si>
  <si>
    <t xml:space="preserve">Patti,  </t>
  </si>
  <si>
    <r>
      <t xml:space="preserve">These are the account codes allowed in Program 99 in Activities 25, 29, 52, and 53. </t>
    </r>
    <r>
      <rPr>
        <b/>
        <sz val="11"/>
        <color theme="1"/>
        <rFont val="Calibri"/>
        <family val="2"/>
        <scheme val="minor"/>
      </rPr>
      <t xml:space="preserve">Revew the [Column M] NCES Object Code title of the cost. </t>
    </r>
    <r>
      <rPr>
        <sz val="11"/>
        <color theme="1"/>
        <rFont val="Calibri"/>
        <family val="2"/>
        <scheme val="minor"/>
      </rPr>
      <t xml:space="preserve"> I have already dis-allowed certain costs that should not be considered excess  costs in my opinion. Activity 25 is listed first and each activity is broken down by object codes 2, 3, 4, 5, 7, 8, 9, &amp; 0 as applicable.  Highlight what you don't like.  I am giving this to TJ and Michelle if they would like to join in on the fun.  A second excel tab shows the Program 99 Matrix.</t>
    </r>
  </si>
  <si>
    <t>NCES Object Code Title for the Expenditure</t>
  </si>
  <si>
    <t>Pupil Management &amp; Safety</t>
  </si>
  <si>
    <t>(PP-AA-O-NCES)</t>
  </si>
  <si>
    <t xml:space="preserve">PROGRAM 99 – PUPIL TRANSPORTATION </t>
  </si>
  <si>
    <t xml:space="preserve">ALLOWABLE Activity-Object Combinations  </t>
  </si>
  <si>
    <t xml:space="preserve">PUPIL TRANSPORTATION SAFETY NET FUNDING </t>
  </si>
  <si>
    <r>
      <t>ALLOWABLE Activity-Object-</t>
    </r>
    <r>
      <rPr>
        <b/>
        <sz val="10"/>
        <rFont val="Segoe UI"/>
        <family val="2"/>
      </rPr>
      <t>NCES</t>
    </r>
    <r>
      <rPr>
        <sz val="10"/>
        <rFont val="Segoe UI"/>
        <family val="2"/>
      </rPr>
      <t xml:space="preserve"> Combinations  </t>
    </r>
  </si>
  <si>
    <t xml:space="preserve">Section 1 General Information </t>
  </si>
  <si>
    <t>Row 1</t>
  </si>
  <si>
    <t>Classified Salary</t>
  </si>
  <si>
    <t>Supplies - General</t>
  </si>
  <si>
    <t>Supplies - Books</t>
  </si>
  <si>
    <t>Supplies - Tech</t>
  </si>
  <si>
    <t>Classified Salaries of Regular Employee</t>
  </si>
  <si>
    <t>Classified Salaries of Temporary EEs &amp; Subs</t>
  </si>
  <si>
    <t>Classified Salary Extra Time</t>
  </si>
  <si>
    <t>Supplies - Books and Periodicals</t>
  </si>
  <si>
    <t>Supplies - Motor Vehicle Fuel</t>
  </si>
  <si>
    <t>Capital Outlay - Machinery</t>
  </si>
  <si>
    <t>Capital Outlay - Vehicles</t>
  </si>
  <si>
    <t>Captial Outlay - Furniture and Fixtures</t>
  </si>
  <si>
    <t>Capital Outlay - Other Equipment</t>
  </si>
  <si>
    <t>Captial Outlay - Debit Transfers</t>
  </si>
  <si>
    <t>Purchased Services - Employee Training and Development Services</t>
  </si>
  <si>
    <t>Purchased Services - Other Professional Purchased Services</t>
  </si>
  <si>
    <t>Purchased Services - Technical Services</t>
  </si>
  <si>
    <t>Purchased Services - Other Technical Services</t>
  </si>
  <si>
    <t xml:space="preserve">Purhased Services - Cleaning Services  </t>
  </si>
  <si>
    <t>Puchased Services - Non-Technology-Related Repair and Maintenance</t>
  </si>
  <si>
    <t>Purchased Services - Technology-Related Repair and Maintenance</t>
  </si>
  <si>
    <t>Purchased Services from another School District or ESD Within the State</t>
  </si>
  <si>
    <t>Purchased Services from another School District or ESD Outside the State</t>
  </si>
  <si>
    <t>Purchased Services  - Bottled Gas</t>
  </si>
  <si>
    <t>Purchased Services - Contracted Educational Staff Associates</t>
  </si>
  <si>
    <t>Purchased Services - Non-Technology-Related Repair and Maintenance</t>
  </si>
  <si>
    <t>Purchased Services - Rentals of Equipment and Vehicles</t>
  </si>
  <si>
    <t xml:space="preserve">Purchased Services - Cleaning Services  </t>
  </si>
  <si>
    <t>Puchased Services -Technology-Related Repair and Maintenance</t>
  </si>
  <si>
    <t>Purchased Services - Student Trans Purchased from Another School District or ESD</t>
  </si>
  <si>
    <r>
      <t xml:space="preserve">Purchased Services - Student Transportation Purchased from another LEA or SEA </t>
    </r>
    <r>
      <rPr>
        <u/>
        <sz val="11"/>
        <rFont val="Calibri"/>
        <family val="2"/>
        <scheme val="minor"/>
      </rPr>
      <t>Out of State</t>
    </r>
  </si>
  <si>
    <t>Purchased Services - Student Transportation Svcs purchased from another source</t>
  </si>
  <si>
    <t>Perchased Services - Services Purchased from another School District or ESD Within the State</t>
  </si>
  <si>
    <t>Purchased Services - Services Purchased from another School District or ESD Outside the State</t>
  </si>
  <si>
    <t>Puchased Services - Bottled Gas</t>
  </si>
  <si>
    <t>Activity</t>
  </si>
  <si>
    <t>Row 2</t>
  </si>
  <si>
    <t>Row 3</t>
  </si>
  <si>
    <t>Row 4</t>
  </si>
  <si>
    <t>Row 5</t>
  </si>
  <si>
    <t>Row 6</t>
  </si>
  <si>
    <t>Row 7</t>
  </si>
  <si>
    <t>Row 8</t>
  </si>
  <si>
    <t>Row 9</t>
  </si>
  <si>
    <t>Row 10</t>
  </si>
  <si>
    <t>Section 3 Excess Costs for McKinney Vento Students</t>
  </si>
  <si>
    <t>Section 4 Excess Costs for Foster Care</t>
  </si>
  <si>
    <t>Section 2 Excess Costs for Students with Disabilities</t>
  </si>
  <si>
    <t>Activity Name (Auto-Fill)</t>
  </si>
  <si>
    <t>Row 11</t>
  </si>
  <si>
    <t>Row 12</t>
  </si>
  <si>
    <t>Row 13</t>
  </si>
  <si>
    <t>Row 14</t>
  </si>
  <si>
    <t>Row 15</t>
  </si>
  <si>
    <t>Row 16</t>
  </si>
  <si>
    <t>Row 17</t>
  </si>
  <si>
    <t>Row 18</t>
  </si>
  <si>
    <t>Row 19</t>
  </si>
  <si>
    <t>Row 20</t>
  </si>
  <si>
    <t>Row 21</t>
  </si>
  <si>
    <t>Row 22</t>
  </si>
  <si>
    <t>Row 23</t>
  </si>
  <si>
    <t>Row 24</t>
  </si>
  <si>
    <t>Row 25</t>
  </si>
  <si>
    <t>Row 26</t>
  </si>
  <si>
    <t>Row 27</t>
  </si>
  <si>
    <t>Row 28</t>
  </si>
  <si>
    <t>Row 29</t>
  </si>
  <si>
    <t>Row 30</t>
  </si>
  <si>
    <t>Row 31</t>
  </si>
  <si>
    <t>Row 32</t>
  </si>
  <si>
    <t>Row 33</t>
  </si>
  <si>
    <t>Row 34</t>
  </si>
  <si>
    <t>Row 35</t>
  </si>
  <si>
    <t>Row 36</t>
  </si>
  <si>
    <t>Row 37</t>
  </si>
  <si>
    <t>Row 38</t>
  </si>
  <si>
    <t>Row 39</t>
  </si>
  <si>
    <t>Row 40</t>
  </si>
  <si>
    <t>Row 41</t>
  </si>
  <si>
    <t>Row 42</t>
  </si>
  <si>
    <t>Row 43</t>
  </si>
  <si>
    <t>Row 44</t>
  </si>
  <si>
    <t>Row 45</t>
  </si>
  <si>
    <t>Row 46</t>
  </si>
  <si>
    <t>Row 47</t>
  </si>
  <si>
    <t>Row 48</t>
  </si>
  <si>
    <t>Row 49</t>
  </si>
  <si>
    <t>Row 50</t>
  </si>
  <si>
    <t>NCES Code Description--Select from Dropdown Menu</t>
  </si>
  <si>
    <t>Aberdeen School District</t>
  </si>
  <si>
    <t>Adna School District</t>
  </si>
  <si>
    <t>Almira School District</t>
  </si>
  <si>
    <t>Anacortes School District</t>
  </si>
  <si>
    <t>Arlington School District</t>
  </si>
  <si>
    <t>Asotin-Anatone School District</t>
  </si>
  <si>
    <t>Auburn School District</t>
  </si>
  <si>
    <t>Bainbridge Island School District</t>
  </si>
  <si>
    <t>Battle Ground School District</t>
  </si>
  <si>
    <t>Bellevue School District</t>
  </si>
  <si>
    <t>Bellingham School District</t>
  </si>
  <si>
    <t>Benge School District</t>
  </si>
  <si>
    <t>Bethel School District</t>
  </si>
  <si>
    <t>Bickleton School District</t>
  </si>
  <si>
    <t>Blaine School District</t>
  </si>
  <si>
    <t>Boistfort School District</t>
  </si>
  <si>
    <t>Bremerton School District</t>
  </si>
  <si>
    <t>Brewster School District</t>
  </si>
  <si>
    <t>Bridgeport School District</t>
  </si>
  <si>
    <t>Brinnon School District</t>
  </si>
  <si>
    <t>Burlington-Edison School District</t>
  </si>
  <si>
    <t>Camas School District</t>
  </si>
  <si>
    <t>Cape Flattery School District</t>
  </si>
  <si>
    <t>Carbonado School District</t>
  </si>
  <si>
    <t>Cascade School District</t>
  </si>
  <si>
    <t>CASHMERE SCHOOL DISTRICT</t>
  </si>
  <si>
    <t>Castle Rock School District</t>
  </si>
  <si>
    <t>Catalyst Public Schools</t>
  </si>
  <si>
    <t>Centerville School District</t>
  </si>
  <si>
    <t>Central Kitsap School District</t>
  </si>
  <si>
    <t>Central Valley School District</t>
  </si>
  <si>
    <t>Centralia School District</t>
  </si>
  <si>
    <t>Chehalis School District</t>
  </si>
  <si>
    <t>Cheney School District</t>
  </si>
  <si>
    <t>Chewelah School District</t>
  </si>
  <si>
    <t>Chief Leschi Tribal Compact</t>
  </si>
  <si>
    <t>Chimacum School District</t>
  </si>
  <si>
    <t>Clarkston School District</t>
  </si>
  <si>
    <t>Cle Elum-Roslyn School District</t>
  </si>
  <si>
    <t>Clover Park School District</t>
  </si>
  <si>
    <t>Colfax School District</t>
  </si>
  <si>
    <t>College Place School District</t>
  </si>
  <si>
    <t>Colton School District</t>
  </si>
  <si>
    <t>Columbia (Stevens) School District</t>
  </si>
  <si>
    <t>Columbia (Walla Walla) School District</t>
  </si>
  <si>
    <t>Colville School District</t>
  </si>
  <si>
    <t>Concrete School District</t>
  </si>
  <si>
    <t>Conway School District</t>
  </si>
  <si>
    <t>Cosmopolis School District</t>
  </si>
  <si>
    <t>Coulee-Hartline School District</t>
  </si>
  <si>
    <t>Coupeville School District</t>
  </si>
  <si>
    <t>Crescent School District</t>
  </si>
  <si>
    <t>Creston School District</t>
  </si>
  <si>
    <t>Curlew School District</t>
  </si>
  <si>
    <t>Cusick School District</t>
  </si>
  <si>
    <t>Damman School District</t>
  </si>
  <si>
    <t>Darrington School District</t>
  </si>
  <si>
    <t>Davenport School District</t>
  </si>
  <si>
    <t>Dayton School District</t>
  </si>
  <si>
    <t>Deer Park School District</t>
  </si>
  <si>
    <t>Dieringer School District</t>
  </si>
  <si>
    <t>Dixie School District</t>
  </si>
  <si>
    <t>East Valley School District (Spokane)</t>
  </si>
  <si>
    <t>East Valley School District (Yakima)</t>
  </si>
  <si>
    <t>Eastmont School District</t>
  </si>
  <si>
    <t>Easton School District</t>
  </si>
  <si>
    <t>Eatonville School District</t>
  </si>
  <si>
    <t>Edmonds School District</t>
  </si>
  <si>
    <t>Ellensburg School District</t>
  </si>
  <si>
    <t>Elma School District</t>
  </si>
  <si>
    <t>Endicott School District</t>
  </si>
  <si>
    <t>Entiat School District</t>
  </si>
  <si>
    <t>Enumclaw School District</t>
  </si>
  <si>
    <t>Ephrata School District</t>
  </si>
  <si>
    <t>Evaline School District</t>
  </si>
  <si>
    <t>Everett School District</t>
  </si>
  <si>
    <t>Evergreen School District (Clark)</t>
  </si>
  <si>
    <t>Evergreen School District (Stevens)</t>
  </si>
  <si>
    <t>Federal Way School District</t>
  </si>
  <si>
    <t>Ferndale School District</t>
  </si>
  <si>
    <t>Fife School District</t>
  </si>
  <si>
    <t>Finley School District</t>
  </si>
  <si>
    <t>Franklin Pierce School District</t>
  </si>
  <si>
    <t>Freeman School District</t>
  </si>
  <si>
    <t>Garfield School District</t>
  </si>
  <si>
    <t>Glenwood School District</t>
  </si>
  <si>
    <t>Goldendale School District</t>
  </si>
  <si>
    <t>Grand Coulee Dam School District</t>
  </si>
  <si>
    <t>Grandview School District</t>
  </si>
  <si>
    <t>Granger School District</t>
  </si>
  <si>
    <t>Granite Falls School District</t>
  </si>
  <si>
    <t>Grapeview School District</t>
  </si>
  <si>
    <t>Great Northern School District</t>
  </si>
  <si>
    <t>Green Mountain School District</t>
  </si>
  <si>
    <t>Griffin School District</t>
  </si>
  <si>
    <t>Harrington School District</t>
  </si>
  <si>
    <t>Highland School District</t>
  </si>
  <si>
    <t>Highline School District</t>
  </si>
  <si>
    <t>Hockinson School District</t>
  </si>
  <si>
    <t>Hood Canal School District</t>
  </si>
  <si>
    <t>Hoquiam School District</t>
  </si>
  <si>
    <t>Impact | Commencement Bay Elementary</t>
  </si>
  <si>
    <t>Impact | Puget Sound Elementary</t>
  </si>
  <si>
    <t>Impact | Salish Sea Elementary</t>
  </si>
  <si>
    <t>Inchelium School District</t>
  </si>
  <si>
    <t>Index School District</t>
  </si>
  <si>
    <t xml:space="preserve">Innovation Charter School </t>
  </si>
  <si>
    <t>Issaquah School District</t>
  </si>
  <si>
    <t>Kahlotus School District</t>
  </si>
  <si>
    <t>Kalama School District</t>
  </si>
  <si>
    <t>Keller School District</t>
  </si>
  <si>
    <t>Kelso School District</t>
  </si>
  <si>
    <t>Kennewick School District</t>
  </si>
  <si>
    <t>Kent School District</t>
  </si>
  <si>
    <t>Kettle Falls School District</t>
  </si>
  <si>
    <t>Kiona-Benton City School District</t>
  </si>
  <si>
    <t>Kittitas School District</t>
  </si>
  <si>
    <t>Klickitat School District</t>
  </si>
  <si>
    <t>La Center School District</t>
  </si>
  <si>
    <t>La Conner School District</t>
  </si>
  <si>
    <t>LaCrosse School District</t>
  </si>
  <si>
    <t>Lake Chelan School District</t>
  </si>
  <si>
    <t>Lake Quinault School District</t>
  </si>
  <si>
    <t>Lake Stevens School District</t>
  </si>
  <si>
    <t>Lake Washington School District</t>
  </si>
  <si>
    <t>Lakewood School District</t>
  </si>
  <si>
    <t>Lamont School District</t>
  </si>
  <si>
    <t>Liberty School District</t>
  </si>
  <si>
    <t>Lind School District</t>
  </si>
  <si>
    <t>Longview School District</t>
  </si>
  <si>
    <t>Loon Lake School District</t>
  </si>
  <si>
    <t>Lopez School District</t>
  </si>
  <si>
    <t>Lumen Public School</t>
  </si>
  <si>
    <t>Lummi Tribal Agency</t>
  </si>
  <si>
    <t>Lyle School District</t>
  </si>
  <si>
    <t>Lynden School District</t>
  </si>
  <si>
    <t>Mabton School District</t>
  </si>
  <si>
    <t>Mansfield School District</t>
  </si>
  <si>
    <t>Manson School District</t>
  </si>
  <si>
    <t>Mary M Knight School District</t>
  </si>
  <si>
    <t>Mary Walker School District</t>
  </si>
  <si>
    <t>Marysville School District</t>
  </si>
  <si>
    <t>McCleary School District</t>
  </si>
  <si>
    <t>Mead School District</t>
  </si>
  <si>
    <t>Medical Lake School District</t>
  </si>
  <si>
    <t>Mercer Island School District</t>
  </si>
  <si>
    <t>Meridian School District</t>
  </si>
  <si>
    <t>Methow Valley School District</t>
  </si>
  <si>
    <t>Mill A School District</t>
  </si>
  <si>
    <t>Monroe School District</t>
  </si>
  <si>
    <t>Montesano School District</t>
  </si>
  <si>
    <t>Morton School District</t>
  </si>
  <si>
    <t>Moses Lake School District</t>
  </si>
  <si>
    <t>Mossyrock School District</t>
  </si>
  <si>
    <t>Mount Adams School District</t>
  </si>
  <si>
    <t>Mount Baker School District</t>
  </si>
  <si>
    <t>Mount Pleasant School District</t>
  </si>
  <si>
    <t>Mount Vernon School District</t>
  </si>
  <si>
    <t>Muckleshoot Indian Tribe</t>
  </si>
  <si>
    <t>Mukilteo School District</t>
  </si>
  <si>
    <t>Naches Valley School District</t>
  </si>
  <si>
    <t>Napavine School District</t>
  </si>
  <si>
    <t>Naselle-Grays River Valley School District</t>
  </si>
  <si>
    <t xml:space="preserve">Nespelem School District  </t>
  </si>
  <si>
    <t>Newport School District</t>
  </si>
  <si>
    <t>Nine Mile Falls School District</t>
  </si>
  <si>
    <t>Nooksack Valley School District</t>
  </si>
  <si>
    <t>North Beach School District</t>
  </si>
  <si>
    <t>North Franklin School District</t>
  </si>
  <si>
    <t>North Kitsap School District</t>
  </si>
  <si>
    <t>North Mason School District</t>
  </si>
  <si>
    <t>North River School District</t>
  </si>
  <si>
    <t>North Thurston Public Schools</t>
  </si>
  <si>
    <t>Northport School District</t>
  </si>
  <si>
    <t>Northshore School District</t>
  </si>
  <si>
    <t>Oak Harbor School District</t>
  </si>
  <si>
    <t>Oakesdale School District</t>
  </si>
  <si>
    <t>Oakville School District</t>
  </si>
  <si>
    <t>Ocean Beach School District</t>
  </si>
  <si>
    <t>Ocosta School District</t>
  </si>
  <si>
    <t>Odessa School District</t>
  </si>
  <si>
    <t>Okanogan School District</t>
  </si>
  <si>
    <t>Olympia School District</t>
  </si>
  <si>
    <t>Omak School District</t>
  </si>
  <si>
    <t>Onalaska School District</t>
  </si>
  <si>
    <t>Onion Creek School District</t>
  </si>
  <si>
    <t>Orcas Island School District</t>
  </si>
  <si>
    <t>Orchard Prairie School District</t>
  </si>
  <si>
    <t>Orient School District</t>
  </si>
  <si>
    <t>Orondo School District</t>
  </si>
  <si>
    <t>Oroville School District</t>
  </si>
  <si>
    <t>Orting School District</t>
  </si>
  <si>
    <t>Othello School District</t>
  </si>
  <si>
    <t>Palisades School District</t>
  </si>
  <si>
    <t>Palouse School District</t>
  </si>
  <si>
    <t>Pasco School District</t>
  </si>
  <si>
    <t>Pateros School District</t>
  </si>
  <si>
    <t>Paterson School District</t>
  </si>
  <si>
    <t>Pe Ell School District</t>
  </si>
  <si>
    <t>Peninsula School District</t>
  </si>
  <si>
    <t>Pinnacles Prep</t>
  </si>
  <si>
    <t>Pioneer School District</t>
  </si>
  <si>
    <t>Pomeroy School District</t>
  </si>
  <si>
    <t>Port Angeles School District</t>
  </si>
  <si>
    <t>Port Townsend School District</t>
  </si>
  <si>
    <t>Prescott School District</t>
  </si>
  <si>
    <t>PRIDE Prep Charter School District</t>
  </si>
  <si>
    <t>Prosser School District</t>
  </si>
  <si>
    <t>Pullman Community Montessori</t>
  </si>
  <si>
    <t>Pullman School District</t>
  </si>
  <si>
    <t>Puyallup School District</t>
  </si>
  <si>
    <t>Queets-Clearwater School District</t>
  </si>
  <si>
    <t>Quilcene School District</t>
  </si>
  <si>
    <t>Quileute Tribal School District</t>
  </si>
  <si>
    <t>Quillayute Valley School District</t>
  </si>
  <si>
    <t>Quincy School District</t>
  </si>
  <si>
    <t>Rainier Prep Charter School District</t>
  </si>
  <si>
    <t>Rainier School District</t>
  </si>
  <si>
    <t xml:space="preserve">Rainier Valley Leadership Academy </t>
  </si>
  <si>
    <t>Raymond School District</t>
  </si>
  <si>
    <t>Reardan-Edwall School District</t>
  </si>
  <si>
    <t>Renton School District</t>
  </si>
  <si>
    <t>Republic School District</t>
  </si>
  <si>
    <t>Richland School District</t>
  </si>
  <si>
    <t>Ridgefield School District</t>
  </si>
  <si>
    <t>Ritzville School District</t>
  </si>
  <si>
    <t>Riverside School District</t>
  </si>
  <si>
    <t>Riverview School District</t>
  </si>
  <si>
    <t>Rochester School District</t>
  </si>
  <si>
    <t>Roosevelt School District</t>
  </si>
  <si>
    <t>Rosalia School District</t>
  </si>
  <si>
    <t>Royal School District</t>
  </si>
  <si>
    <t>San Juan Island School District</t>
  </si>
  <si>
    <t>Satsop School District</t>
  </si>
  <si>
    <t>Seattle Public Schools</t>
  </si>
  <si>
    <t>Sedro-Woolley School District</t>
  </si>
  <si>
    <t>Selah School District</t>
  </si>
  <si>
    <t>Selkirk School District</t>
  </si>
  <si>
    <t>Sequim School District</t>
  </si>
  <si>
    <t>Shaw Island School District</t>
  </si>
  <si>
    <t>Shelton School District</t>
  </si>
  <si>
    <t>Shoreline School District</t>
  </si>
  <si>
    <t>Skamania School District</t>
  </si>
  <si>
    <t>Skykomish School District</t>
  </si>
  <si>
    <t>Snohomish School District</t>
  </si>
  <si>
    <t>Snoqualmie Valley School District</t>
  </si>
  <si>
    <t>Soap Lake School District</t>
  </si>
  <si>
    <t>South Bend School District</t>
  </si>
  <si>
    <t>South Kitsap School District</t>
  </si>
  <si>
    <t>South Whidbey School District</t>
  </si>
  <si>
    <t>Southside School District</t>
  </si>
  <si>
    <t>Spokane International Academy</t>
  </si>
  <si>
    <t>Spokane School District</t>
  </si>
  <si>
    <t>Sprague School District</t>
  </si>
  <si>
    <t>St. John School District</t>
  </si>
  <si>
    <t>Stanwood-Camano School District</t>
  </si>
  <si>
    <t>Star School District No. 054</t>
  </si>
  <si>
    <t>Starbuck School District</t>
  </si>
  <si>
    <t>Stehekin School District</t>
  </si>
  <si>
    <t>Steilacoom Hist. School District</t>
  </si>
  <si>
    <t>Steptoe School District</t>
  </si>
  <si>
    <t>Stevenson-Carson School District</t>
  </si>
  <si>
    <t>Sultan School District</t>
  </si>
  <si>
    <t>Summit Public School: Atlas</t>
  </si>
  <si>
    <t>Summit Public School: Olympus</t>
  </si>
  <si>
    <t>Summit Public School: Sierra</t>
  </si>
  <si>
    <t>Summit Valley School District</t>
  </si>
  <si>
    <t>Sumner School District</t>
  </si>
  <si>
    <t>Sunnyside School District</t>
  </si>
  <si>
    <t>Suquamish Tribal Education Department</t>
  </si>
  <si>
    <t>Tacoma School District</t>
  </si>
  <si>
    <t>Taholah School District</t>
  </si>
  <si>
    <t>Tahoma School District</t>
  </si>
  <si>
    <t>Tekoa School District</t>
  </si>
  <si>
    <t>Tenino School District</t>
  </si>
  <si>
    <t>Thorp School District</t>
  </si>
  <si>
    <t>Toledo School District</t>
  </si>
  <si>
    <t>Tonasket School District</t>
  </si>
  <si>
    <t>Toppenish School District</t>
  </si>
  <si>
    <t>Touchet School District</t>
  </si>
  <si>
    <t>Toutle Lake School District</t>
  </si>
  <si>
    <t>Trout Lake School District</t>
  </si>
  <si>
    <t>Tukwila School District</t>
  </si>
  <si>
    <t>Tumwater School District</t>
  </si>
  <si>
    <t>Union Gap School District</t>
  </si>
  <si>
    <t>University Place School District</t>
  </si>
  <si>
    <t>Valley School District</t>
  </si>
  <si>
    <t>Vancouver School District</t>
  </si>
  <si>
    <t>Vashon Island School District</t>
  </si>
  <si>
    <t>WA HE LUT Indian School Agency</t>
  </si>
  <si>
    <t>Wahkiakum School District</t>
  </si>
  <si>
    <t>Wahluke School District</t>
  </si>
  <si>
    <t>Waitsburg School District</t>
  </si>
  <si>
    <t>Walla Walla Public Schools</t>
  </si>
  <si>
    <t>Wapato School District</t>
  </si>
  <si>
    <t>Warden School District</t>
  </si>
  <si>
    <t>Washougal School District</t>
  </si>
  <si>
    <t>Washtucna School District</t>
  </si>
  <si>
    <t>Waterville School District</t>
  </si>
  <si>
    <t>Wellpinit School District</t>
  </si>
  <si>
    <t>Wenatchee School District</t>
  </si>
  <si>
    <t>West Valley School District (Spokane)</t>
  </si>
  <si>
    <t>West Valley School District (Yakima)</t>
  </si>
  <si>
    <t>Whatcom Intergenerational High School</t>
  </si>
  <si>
    <t>White Pass School District</t>
  </si>
  <si>
    <t>White River School District</t>
  </si>
  <si>
    <t>White Salmon Valley School District</t>
  </si>
  <si>
    <t>Why Not You Academy (formerly Cascade: Midway charter)</t>
  </si>
  <si>
    <t>Wilbur School District</t>
  </si>
  <si>
    <t>Willapa Valley School District</t>
  </si>
  <si>
    <t>Wilson Creek School District</t>
  </si>
  <si>
    <t>Winlock School District</t>
  </si>
  <si>
    <t>Wishkah Valley School District</t>
  </si>
  <si>
    <t>Wishram School District</t>
  </si>
  <si>
    <t>Woodland School District</t>
  </si>
  <si>
    <t>Yakama Nation Tribal Compact</t>
  </si>
  <si>
    <t>Yakima School District</t>
  </si>
  <si>
    <t>Yelm School District</t>
  </si>
  <si>
    <t>Zillah School District</t>
  </si>
  <si>
    <t>Transportation Safety Net Excess Cost Reporting Template</t>
  </si>
  <si>
    <t>This tool will help calculate the Excess cost of Transportation for the Transportation Safety Net Funding.</t>
  </si>
  <si>
    <t xml:space="preserve">Yellow Cells require district input of specific information. </t>
  </si>
  <si>
    <t>Expenditure detail reports can be ran in your system.</t>
  </si>
  <si>
    <t>Talk to your Transportation department for specific information for the Special Student Costs Table (you may need to add or delete lines in the table).</t>
  </si>
  <si>
    <t>Select District Here --------------------------&gt;</t>
  </si>
  <si>
    <t>Bainbridge Island</t>
  </si>
  <si>
    <t>Transportation safety net awards shall only be provided when a school district's allowable transportation expenditures attributable to serving special passengers exceeds the amount allocated under section (2)(a) of this section and any excess transportation costs reimbursed by federal, state, tribal, or local child welfare agencies.</t>
  </si>
  <si>
    <t xml:space="preserve">Average Per Rider Cost </t>
  </si>
  <si>
    <t xml:space="preserve"> Excess cost is the cost per rider in special programs less the value in cell C10, multiplied by the total special passengers in that specific category.</t>
  </si>
  <si>
    <t>Basic Rider Average Headcount</t>
  </si>
  <si>
    <t>Average headcount 2022-23</t>
  </si>
  <si>
    <t>Special Student Costs</t>
  </si>
  <si>
    <t>Special Student Cost 
Per Passenger</t>
  </si>
  <si>
    <t>Average Per Rider Cost</t>
  </si>
  <si>
    <t>Excess Cost</t>
  </si>
  <si>
    <t>Homeless/McKinney Vento (route type H)</t>
  </si>
  <si>
    <t>Students with Disabilities (route type S)</t>
  </si>
  <si>
    <t>Foster Care Students</t>
  </si>
  <si>
    <t>check figure</t>
  </si>
  <si>
    <t>Daily Miles</t>
  </si>
  <si>
    <t>Estimated Total Miles</t>
  </si>
  <si>
    <t>Cost per mile</t>
  </si>
  <si>
    <t>Employee costs</t>
  </si>
  <si>
    <t>Total costs</t>
  </si>
  <si>
    <t>Special Category</t>
  </si>
  <si>
    <t>Special Ed routes</t>
  </si>
  <si>
    <t>Special Ed</t>
  </si>
  <si>
    <t>Homeless routes</t>
  </si>
  <si>
    <t>Foster</t>
  </si>
  <si>
    <t>Parent reimbursements</t>
  </si>
  <si>
    <t>Homeless</t>
  </si>
  <si>
    <t>Van routes</t>
  </si>
  <si>
    <t>Car routes</t>
  </si>
  <si>
    <t>Employee Costs- Special Routes</t>
  </si>
  <si>
    <t>Routes</t>
  </si>
  <si>
    <t>Drivers hours</t>
  </si>
  <si>
    <t>Rate per hour</t>
  </si>
  <si>
    <t>Plus 45% Benefits</t>
  </si>
  <si>
    <t>Daily Cost</t>
  </si>
  <si>
    <t>Total Employee Costs</t>
  </si>
  <si>
    <t>CCDDD</t>
  </si>
  <si>
    <t>District Name</t>
  </si>
  <si>
    <t>Allocation</t>
  </si>
  <si>
    <t>Basic Program Riders (AM/PM counts)</t>
  </si>
  <si>
    <t>Special Riders (AM/PM counts for all programs)</t>
  </si>
  <si>
    <t>Total Riders (AM/PM counts)</t>
  </si>
  <si>
    <t>Total Students</t>
  </si>
  <si>
    <t>Cost per Rider (AM/PM counts)</t>
  </si>
  <si>
    <t>Cost per Student</t>
  </si>
  <si>
    <t>Allocaton per Rider (AM/PM counts)</t>
  </si>
  <si>
    <t>Allocation per Student</t>
  </si>
  <si>
    <t>Percent Funded of Adjusted PYE</t>
  </si>
  <si>
    <t>Aberdeen</t>
  </si>
  <si>
    <t>Adna</t>
  </si>
  <si>
    <t>Almira</t>
  </si>
  <si>
    <t>Anacortes</t>
  </si>
  <si>
    <t>Arlington</t>
  </si>
  <si>
    <t>Asotin-Anatone</t>
  </si>
  <si>
    <t>Auburn</t>
  </si>
  <si>
    <t>Battle Ground</t>
  </si>
  <si>
    <t>Bellevue</t>
  </si>
  <si>
    <t>Bellingham</t>
  </si>
  <si>
    <t>Benge</t>
  </si>
  <si>
    <t>Bethel</t>
  </si>
  <si>
    <t>Bickleton</t>
  </si>
  <si>
    <t>Blaine</t>
  </si>
  <si>
    <t>Boistfort</t>
  </si>
  <si>
    <t>Bremerton</t>
  </si>
  <si>
    <t>Brewster</t>
  </si>
  <si>
    <t>Bridgeport</t>
  </si>
  <si>
    <t>Brinnon</t>
  </si>
  <si>
    <t>Burlington-Edison</t>
  </si>
  <si>
    <t>Camas</t>
  </si>
  <si>
    <t>Cape Flattery</t>
  </si>
  <si>
    <t>Carbonado</t>
  </si>
  <si>
    <t>Cascade</t>
  </si>
  <si>
    <t>Cashmere</t>
  </si>
  <si>
    <t>Castle Rock</t>
  </si>
  <si>
    <t>Centerville</t>
  </si>
  <si>
    <t>Central Kitsap</t>
  </si>
  <si>
    <t>Central Valley</t>
  </si>
  <si>
    <t>Centralia</t>
  </si>
  <si>
    <t>Chehalis</t>
  </si>
  <si>
    <t>Cheney</t>
  </si>
  <si>
    <t>Chewelah</t>
  </si>
  <si>
    <t>Chimacum</t>
  </si>
  <si>
    <t>Clarkston</t>
  </si>
  <si>
    <t>Cle Elum-Roslyn</t>
  </si>
  <si>
    <t>Clover Park</t>
  </si>
  <si>
    <t>Colfax</t>
  </si>
  <si>
    <t>College Place</t>
  </si>
  <si>
    <t>Colton</t>
  </si>
  <si>
    <t>Columbia (Stevens)</t>
  </si>
  <si>
    <t>Columbia (Walla Walla)</t>
  </si>
  <si>
    <t>Colville</t>
  </si>
  <si>
    <t>Concrete</t>
  </si>
  <si>
    <t>Conway</t>
  </si>
  <si>
    <t>Cosmopolis</t>
  </si>
  <si>
    <t>Coulee-Hartline</t>
  </si>
  <si>
    <t>Coupeville</t>
  </si>
  <si>
    <t>Crescent</t>
  </si>
  <si>
    <t>Creston</t>
  </si>
  <si>
    <t>Curlew</t>
  </si>
  <si>
    <t>Cusick</t>
  </si>
  <si>
    <t>Darrington</t>
  </si>
  <si>
    <t>Davenport</t>
  </si>
  <si>
    <t>Dayton</t>
  </si>
  <si>
    <t>Deer Park</t>
  </si>
  <si>
    <t>Dieringer</t>
  </si>
  <si>
    <t>Dixie</t>
  </si>
  <si>
    <t>East Valley (Spokane)</t>
  </si>
  <si>
    <t>East Valley (Yakima)</t>
  </si>
  <si>
    <t>Eastmont</t>
  </si>
  <si>
    <t>Easton</t>
  </si>
  <si>
    <t>Eatonville</t>
  </si>
  <si>
    <t>Edmonds</t>
  </si>
  <si>
    <t>Ellensburg</t>
  </si>
  <si>
    <t>Elma</t>
  </si>
  <si>
    <t>Endicott</t>
  </si>
  <si>
    <t>Entiat</t>
  </si>
  <si>
    <t>Enumclaw</t>
  </si>
  <si>
    <t>Ephrata</t>
  </si>
  <si>
    <t>Evaline</t>
  </si>
  <si>
    <t>Everett</t>
  </si>
  <si>
    <t>Evergreen (Clark)</t>
  </si>
  <si>
    <t>Federal Way</t>
  </si>
  <si>
    <t>Ferndale</t>
  </si>
  <si>
    <t>Fife</t>
  </si>
  <si>
    <t>Finley</t>
  </si>
  <si>
    <t>Franklin Pierce</t>
  </si>
  <si>
    <t>Freeman</t>
  </si>
  <si>
    <t>Garfield</t>
  </si>
  <si>
    <t>Glenwood</t>
  </si>
  <si>
    <t>Goldendale</t>
  </si>
  <si>
    <t>Grand Coulee Dam</t>
  </si>
  <si>
    <t>Grandview</t>
  </si>
  <si>
    <t>Granger</t>
  </si>
  <si>
    <t>Granite Falls</t>
  </si>
  <si>
    <t>Grapeview</t>
  </si>
  <si>
    <t>Great Northern</t>
  </si>
  <si>
    <t>Green Mountain</t>
  </si>
  <si>
    <t>Griffin</t>
  </si>
  <si>
    <t>Harrington</t>
  </si>
  <si>
    <t>Highland</t>
  </si>
  <si>
    <t>Highline</t>
  </si>
  <si>
    <t>Hockinson</t>
  </si>
  <si>
    <t>Hood Canal</t>
  </si>
  <si>
    <t>Hoquiam</t>
  </si>
  <si>
    <t>Index</t>
  </si>
  <si>
    <t>Issaquah</t>
  </si>
  <si>
    <t>Kahlotus</t>
  </si>
  <si>
    <t>Keller</t>
  </si>
  <si>
    <t>Kelso</t>
  </si>
  <si>
    <t>Kennewick</t>
  </si>
  <si>
    <t>Kent</t>
  </si>
  <si>
    <t>Kettle Falls</t>
  </si>
  <si>
    <t>Kiona-Benton City</t>
  </si>
  <si>
    <t>Kittitas</t>
  </si>
  <si>
    <t>LaConner</t>
  </si>
  <si>
    <t>LaCrosse</t>
  </si>
  <si>
    <t>Lake Chelan</t>
  </si>
  <si>
    <t>Lake Quinault</t>
  </si>
  <si>
    <t>Lake Stevens</t>
  </si>
  <si>
    <t>Lake Washington</t>
  </si>
  <si>
    <t>Lakewood</t>
  </si>
  <si>
    <t>Lamont</t>
  </si>
  <si>
    <t>Liberty</t>
  </si>
  <si>
    <t>Lind</t>
  </si>
  <si>
    <t>Longview</t>
  </si>
  <si>
    <t>Lopez</t>
  </si>
  <si>
    <t>Lynden</t>
  </si>
  <si>
    <t>Mabton</t>
  </si>
  <si>
    <t>Mansfield</t>
  </si>
  <si>
    <t>Manson</t>
  </si>
  <si>
    <t>Mary M Knight</t>
  </si>
  <si>
    <t>Mary Walker</t>
  </si>
  <si>
    <t>Marysville</t>
  </si>
  <si>
    <t>McCleary</t>
  </si>
  <si>
    <t>Mead</t>
  </si>
  <si>
    <t>Medical Lake</t>
  </si>
  <si>
    <t>Mercer Island</t>
  </si>
  <si>
    <t>Meridian</t>
  </si>
  <si>
    <t>Methow Valley</t>
  </si>
  <si>
    <t>Mill A</t>
  </si>
  <si>
    <t>Monroe</t>
  </si>
  <si>
    <t>Montesano</t>
  </si>
  <si>
    <t>Morton</t>
  </si>
  <si>
    <t>Moses Lake</t>
  </si>
  <si>
    <t>Mossyrock</t>
  </si>
  <si>
    <t>Mount Adams</t>
  </si>
  <si>
    <t>Mount Baker</t>
  </si>
  <si>
    <t>Mount Pleasant</t>
  </si>
  <si>
    <t>Mount Vernon</t>
  </si>
  <si>
    <t>Mukilteo</t>
  </si>
  <si>
    <t>Naches Valley</t>
  </si>
  <si>
    <t>Napavine</t>
  </si>
  <si>
    <t>Naselle-Grays River Valley</t>
  </si>
  <si>
    <t>Nespelem</t>
  </si>
  <si>
    <t>Newport</t>
  </si>
  <si>
    <t>Nine Mile Falls</t>
  </si>
  <si>
    <t>Nooksack</t>
  </si>
  <si>
    <t>North Beach</t>
  </si>
  <si>
    <t>North Franklin</t>
  </si>
  <si>
    <t>North Kitsap</t>
  </si>
  <si>
    <t>North Mason</t>
  </si>
  <si>
    <t>North River</t>
  </si>
  <si>
    <t>North Thurston</t>
  </si>
  <si>
    <t>Northport</t>
  </si>
  <si>
    <t>Northshore</t>
  </si>
  <si>
    <t>Oak Harbor</t>
  </si>
  <si>
    <t>Oakesdale</t>
  </si>
  <si>
    <t>Oakville</t>
  </si>
  <si>
    <t>Ocean Beach</t>
  </si>
  <si>
    <t>Ocosta</t>
  </si>
  <si>
    <t>Odessa</t>
  </si>
  <si>
    <t>Okanogan</t>
  </si>
  <si>
    <t>Olympia</t>
  </si>
  <si>
    <t>Omak</t>
  </si>
  <si>
    <t>Onalaska</t>
  </si>
  <si>
    <t>Onion Creek</t>
  </si>
  <si>
    <t>Orcas Island</t>
  </si>
  <si>
    <t>Orchard Prairie</t>
  </si>
  <si>
    <t>Orient</t>
  </si>
  <si>
    <t>Orondo</t>
  </si>
  <si>
    <t>Oroville</t>
  </si>
  <si>
    <t>Orting</t>
  </si>
  <si>
    <t>Othello</t>
  </si>
  <si>
    <t>Palisades</t>
  </si>
  <si>
    <t>Pasco</t>
  </si>
  <si>
    <t>Pateros</t>
  </si>
  <si>
    <t>Paterson</t>
  </si>
  <si>
    <t>Pe Ell</t>
  </si>
  <si>
    <t>Peninsula</t>
  </si>
  <si>
    <t>Pioneer</t>
  </si>
  <si>
    <t>Pomeroy</t>
  </si>
  <si>
    <t>Port Angeles</t>
  </si>
  <si>
    <t>Port Townsend</t>
  </si>
  <si>
    <t>Prescott</t>
  </si>
  <si>
    <t>Prosser</t>
  </si>
  <si>
    <t>Pullman</t>
  </si>
  <si>
    <t>Puyallup</t>
  </si>
  <si>
    <t>Queets-Clearwater</t>
  </si>
  <si>
    <t>Quilcene</t>
  </si>
  <si>
    <t>Quillayute Valley</t>
  </si>
  <si>
    <t>Quincy</t>
  </si>
  <si>
    <t>Rainier</t>
  </si>
  <si>
    <t>Raymond</t>
  </si>
  <si>
    <t>Reardan-Edwall</t>
  </si>
  <si>
    <t>Renton</t>
  </si>
  <si>
    <t>Republic</t>
  </si>
  <si>
    <t>Richland</t>
  </si>
  <si>
    <t>Riverside</t>
  </si>
  <si>
    <t>Riverview</t>
  </si>
  <si>
    <t>Rochester</t>
  </si>
  <si>
    <t>Roosevelt</t>
  </si>
  <si>
    <t>Rosalia</t>
  </si>
  <si>
    <t>Royal</t>
  </si>
  <si>
    <t>San Juan Island</t>
  </si>
  <si>
    <t>Seattle</t>
  </si>
  <si>
    <t>Sedro-Woolley</t>
  </si>
  <si>
    <t>Selah</t>
  </si>
  <si>
    <t>Selkirk</t>
  </si>
  <si>
    <t>Sequim</t>
  </si>
  <si>
    <t>Shelton</t>
  </si>
  <si>
    <t>Shoreline</t>
  </si>
  <si>
    <t>Skamania</t>
  </si>
  <si>
    <t>Skykomish</t>
  </si>
  <si>
    <t>Snohomish</t>
  </si>
  <si>
    <t>Snoqualmie Valley</t>
  </si>
  <si>
    <t>Soap Lake</t>
  </si>
  <si>
    <t>South Bend</t>
  </si>
  <si>
    <t>South Kitsap</t>
  </si>
  <si>
    <t>South Whidbey</t>
  </si>
  <si>
    <t>Southside</t>
  </si>
  <si>
    <t>Spokane</t>
  </si>
  <si>
    <t>Sprague</t>
  </si>
  <si>
    <t>St. John</t>
  </si>
  <si>
    <t>Stanwood-Camano</t>
  </si>
  <si>
    <t>Star</t>
  </si>
  <si>
    <t>Starbuck</t>
  </si>
  <si>
    <t>Steilacoom Hist.</t>
  </si>
  <si>
    <t>Steptoe</t>
  </si>
  <si>
    <t>Stevenson-Carson</t>
  </si>
  <si>
    <t>Sultan</t>
  </si>
  <si>
    <t>Sumner</t>
  </si>
  <si>
    <t>Sunnyside</t>
  </si>
  <si>
    <t>Tacoma</t>
  </si>
  <si>
    <t>Taholah</t>
  </si>
  <si>
    <t>Tahoma</t>
  </si>
  <si>
    <t>Tekoa</t>
  </si>
  <si>
    <t>Tenino</t>
  </si>
  <si>
    <t>Thorp</t>
  </si>
  <si>
    <t>Toledo</t>
  </si>
  <si>
    <t>Tonasket</t>
  </si>
  <si>
    <t>Toppenish</t>
  </si>
  <si>
    <t>Touchet</t>
  </si>
  <si>
    <t>Toutle Lake</t>
  </si>
  <si>
    <t>Trout Lake</t>
  </si>
  <si>
    <t>Tukwila</t>
  </si>
  <si>
    <t>Tumwater</t>
  </si>
  <si>
    <t>Union Gap</t>
  </si>
  <si>
    <t>University Place</t>
  </si>
  <si>
    <t>Valley</t>
  </si>
  <si>
    <t>Vancouver</t>
  </si>
  <si>
    <t>Vashon Island</t>
  </si>
  <si>
    <t>Wahkiakum</t>
  </si>
  <si>
    <t>Wahluke</t>
  </si>
  <si>
    <t>Waitsburg</t>
  </si>
  <si>
    <t>Walla Walla</t>
  </si>
  <si>
    <t>Wapato</t>
  </si>
  <si>
    <t>Warden</t>
  </si>
  <si>
    <t>Washougal</t>
  </si>
  <si>
    <t>Washtucna</t>
  </si>
  <si>
    <t>Waterville</t>
  </si>
  <si>
    <t>Wellpinit</t>
  </si>
  <si>
    <t>Wenatchee</t>
  </si>
  <si>
    <t>West Valley (Spokane)</t>
  </si>
  <si>
    <t>West Valley (Yakima)</t>
  </si>
  <si>
    <t>White Pass</t>
  </si>
  <si>
    <t>White River</t>
  </si>
  <si>
    <t>White Salmon Valley</t>
  </si>
  <si>
    <t>Willapa Valley</t>
  </si>
  <si>
    <t>Wilson Creek</t>
  </si>
  <si>
    <t>Winlock</t>
  </si>
  <si>
    <t>Wishkah Valley</t>
  </si>
  <si>
    <t>Wishram</t>
  </si>
  <si>
    <t>Woodland</t>
  </si>
  <si>
    <t>Yakima</t>
  </si>
  <si>
    <t>Yelm</t>
  </si>
  <si>
    <t>Zillah</t>
  </si>
  <si>
    <t>99-25-4-100</t>
  </si>
  <si>
    <t>99-52-4-100</t>
  </si>
  <si>
    <t>99-53-4-100</t>
  </si>
  <si>
    <t>99-53-9-700</t>
  </si>
  <si>
    <t>General Purpose</t>
  </si>
  <si>
    <t>99-52-9-700</t>
  </si>
  <si>
    <t>99-25-5-600</t>
  </si>
  <si>
    <t>Total Cost Per Rider for Students with Disabilities</t>
  </si>
  <si>
    <t>Excess Cost Per Rider for Students with Disabilities</t>
  </si>
  <si>
    <t xml:space="preserve">Total Excess Costs for Students With Disabilities </t>
  </si>
  <si>
    <t>Total Cost Per Rider for McKinney Vento Students</t>
  </si>
  <si>
    <t>Excess Cost Per Rider for McKinney Vento Students</t>
  </si>
  <si>
    <t>Total Excess Costs for McKinney Vento Students</t>
  </si>
  <si>
    <t>Allocation Per Basic Rider (Cell E8 Above)</t>
  </si>
  <si>
    <t>Total Cost Per Rider for Foster Care Students</t>
  </si>
  <si>
    <t>Excess Cost Per Rider for Foster Care Students</t>
  </si>
  <si>
    <t>Total Excess Costs for Foster Care Students</t>
  </si>
  <si>
    <t>Students with Disabilities (District Input)</t>
  </si>
  <si>
    <t>McKinney Vento (District Input)</t>
  </si>
  <si>
    <t>Foster Care (District Input)</t>
  </si>
  <si>
    <t>Total Cost 
(District Input)</t>
  </si>
  <si>
    <t>Cost Per Rider
(Calculated Field)</t>
  </si>
  <si>
    <t>Eligibility Status (Auto Fill):</t>
  </si>
  <si>
    <t>Allocation Per Basic Rider (Auto Fill):</t>
  </si>
  <si>
    <t>Taxes and Benefits - All NCES Codes</t>
  </si>
  <si>
    <t xml:space="preserve"> &lt;Section 2&gt;</t>
  </si>
  <si>
    <t>&lt;Section 4&gt;</t>
  </si>
  <si>
    <t xml:space="preserve"> &lt;Section 3&gt;</t>
  </si>
  <si>
    <t>Enrollment (Cell E10 Above)</t>
  </si>
  <si>
    <t>Enrollment (Cell E11 Above)</t>
  </si>
  <si>
    <t>Enrollment (Cell E12 Above)</t>
  </si>
  <si>
    <t>A</t>
  </si>
  <si>
    <t>B</t>
  </si>
  <si>
    <t>C</t>
  </si>
  <si>
    <t xml:space="preserve"> Total Special Passenger Excess Cost for </t>
  </si>
  <si>
    <t>Amount Under Funded</t>
  </si>
  <si>
    <t>99-52-4-200</t>
  </si>
  <si>
    <t>99-25-4-200</t>
  </si>
  <si>
    <t>99-53-4-200</t>
  </si>
  <si>
    <t>Per ESSB 5693, section 507(12), transportation safety net funding shall only be provided when a school district's allowable transportation expenditures attributable to serving special passengers exceeds the amount allocated under the STARS formula, plus any excess transportation costs reimbursed by federal, state, or local child welfare agencies. Since your district's adjusted prior year expenditures were fully funded through STARS you are not eligible for these funds.</t>
  </si>
  <si>
    <t>School District/LEA Name:</t>
  </si>
  <si>
    <t>Click on Cell to Access Drop Down on Right ----&gt;</t>
  </si>
  <si>
    <t>Maximum Possible Payment is the lesser of A or B*</t>
  </si>
  <si>
    <t>Not Eligible - Do Not Proceed</t>
  </si>
  <si>
    <t>Final Reporting Tool For Transportation Safety Net Funding</t>
  </si>
  <si>
    <t>How to use this tool (Section 1)</t>
  </si>
  <si>
    <t>Step #</t>
  </si>
  <si>
    <t>(auto)</t>
  </si>
  <si>
    <t>Eligible Districts will see this ------------------------------------------&gt;</t>
  </si>
  <si>
    <t>Ineligible Districts will see this ---------------------------------------&gt;</t>
  </si>
  <si>
    <t>**If your district is not eligible, then the form will not allow  you to represent excess costs.  Do not proceed.</t>
  </si>
  <si>
    <t>If your district was funded at their actual adjusted expenditures, you have no unfunded excess cost. Therefore, you are not eligible for these dollars.</t>
  </si>
  <si>
    <t>&lt;------ This will auto fill based on data reported by your district.</t>
  </si>
  <si>
    <t>Enter Student Count Here</t>
  </si>
  <si>
    <t>For each of sections 2, 3, and 4 you are to report your total cost per special passenger group by activity and NCES Code.  The form will populate a cost per rider for each line item for which you report cost for that specific special passenger group.  If you click on a blank cell under the activity heading, the dropdown menu of options will appear.  The activity name field will auto populate with your dropdown selection. If you click on a blank cell under the NCES Code Description the dropdown menu of options will appear.</t>
  </si>
  <si>
    <t>AdjPriorYear 
Expenditures</t>
  </si>
  <si>
    <t>If total state claims exceed the $13,000,000 available for this purpose, OSPI will prorate the awards so that each eligible district receives a partial reimbursement of their excess costs.</t>
  </si>
  <si>
    <t>The excess cost for each separate special passenger group will calculate at the bottom of sections 2, 3, and 4, respectively.  The bottom line on the table shown below labeled "Total Excess Costs for Students with Disabilities" will be included in summary table at the bottom of the page.</t>
  </si>
  <si>
    <t>`</t>
  </si>
  <si>
    <t>*This amount is not a guaranteed payment. OSPI will confirm final payment amount by February 15th.  Statewide payments must be less than $13 million.</t>
  </si>
  <si>
    <t xml:space="preserve">Section 507 of the 2023–25 biennial budget provides $13,000,000 for transportation safety net. Transportation safety net funding shall only be provided when a school district's allowable transportation expenditures attributable to serving special passengers exceeds the amount allocated under section (2)(a) of this section and any excess transportation costs reimbursed by federal, state, tribal, or local child welfare agencies. </t>
  </si>
  <si>
    <t>Enter the estimated total count of students transported in each special rider category for the 2023-24 school year.</t>
  </si>
  <si>
    <t>The total count of each special category should be the average of the Fall, Winter, and Spring 2023-24 SY rider ship counts, divided by two.</t>
  </si>
  <si>
    <t>The bottom table will show the total special passenger excess cost from the tables above and compare that to the amount that the district was underfunded for the 2023-24 school year. The district's maximum possible payment will be the lesser of those two values.</t>
  </si>
  <si>
    <t>Total Maximum Eligibility (Dollar Amount Underfunded for SY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</si>
</sst>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0000"/>
    <numFmt numFmtId="165" formatCode="00"/>
    <numFmt numFmtId="166" formatCode="_(* #,##0.000_);_(* \(#,##0.000\);_(* &quot;-&quot;??_);_(@_)"/>
    <numFmt numFmtId="167" formatCode="0_);\(0\)"/>
    <numFmt numFmtId="168" formatCode="&quot;$&quot;#,##0"/>
    <numFmt numFmtId="169" formatCode="&quot;$&quot;#,##0.00"/>
    <numFmt numFmtId="170" formatCode="_(* #,##0_);_(* \(#,##0\);_(* &quot;-&quot;??_);_(@_)"/>
    <numFmt numFmtId="171" formatCode="_(&quot;$&quot;* #,##0_);_(&quot;$&quot;* \(#,##0\);_(&quot;$&quot;*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u/>
      <sz val="11"/>
      <name val="Calibri"/>
      <family val="2"/>
      <scheme val="minor"/>
    </font>
    <font>
      <sz val="11"/>
      <color rgb="FF000000"/>
      <name val="Calibri"/>
      <family val="2"/>
    </font>
    <font>
      <sz val="11"/>
      <name val="Calibri"/>
      <family val="2"/>
    </font>
    <font>
      <b/>
      <sz val="10"/>
      <name val="Calibri"/>
      <family val="2"/>
    </font>
    <font>
      <sz val="10"/>
      <name val="Calibri"/>
      <family val="2"/>
    </font>
    <font>
      <b/>
      <sz val="10"/>
      <name val="Segoe UI"/>
      <family val="2"/>
    </font>
    <font>
      <b/>
      <sz val="11"/>
      <color theme="1"/>
      <name val="Segoe UI"/>
      <family val="2"/>
    </font>
    <font>
      <sz val="11"/>
      <color theme="1"/>
      <name val="Segoe UI"/>
      <family val="2"/>
    </font>
    <font>
      <sz val="10"/>
      <name val="Segoe UI"/>
      <family val="2"/>
    </font>
    <font>
      <sz val="8"/>
      <name val="Calibri"/>
      <family val="2"/>
      <scheme val="minor"/>
    </font>
    <font>
      <b/>
      <sz val="14"/>
      <color theme="1"/>
      <name val="Calibri"/>
      <family val="2"/>
      <scheme val="minor"/>
    </font>
    <font>
      <i/>
      <sz val="11"/>
      <color theme="1"/>
      <name val="Calibri"/>
      <family val="2"/>
      <scheme val="minor"/>
    </font>
    <font>
      <b/>
      <sz val="11"/>
      <name val="Calibri"/>
      <family val="2"/>
      <scheme val="minor"/>
    </font>
    <font>
      <b/>
      <i/>
      <sz val="11"/>
      <color theme="1"/>
      <name val="Calibri"/>
      <family val="2"/>
      <scheme val="minor"/>
    </font>
    <font>
      <b/>
      <u/>
      <sz val="14"/>
      <color theme="1"/>
      <name val="Calibri"/>
      <family val="2"/>
      <scheme val="minor"/>
    </font>
  </fonts>
  <fills count="14">
    <fill>
      <patternFill patternType="none"/>
    </fill>
    <fill>
      <patternFill patternType="gray125"/>
    </fill>
    <fill>
      <patternFill patternType="solid">
        <fgColor theme="7" tint="0.79998168889431442"/>
        <bgColor indexed="64"/>
      </patternFill>
    </fill>
    <fill>
      <patternFill patternType="solid">
        <fgColor rgb="FFFF0000"/>
        <bgColor indexed="64"/>
      </patternFill>
    </fill>
    <fill>
      <patternFill patternType="solid">
        <fgColor rgb="FFFFFFFF"/>
        <bgColor indexed="64"/>
      </patternFill>
    </fill>
    <fill>
      <patternFill patternType="solid">
        <fgColor rgb="FF808080"/>
        <bgColor indexed="64"/>
      </patternFill>
    </fill>
    <fill>
      <patternFill patternType="solid">
        <fgColor rgb="FFFFCCFF"/>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9" tint="0.59999389629810485"/>
        <bgColor indexed="64"/>
      </patternFill>
    </fill>
    <fill>
      <patternFill patternType="solid">
        <fgColor rgb="FFFA8D82"/>
        <bgColor indexed="64"/>
      </patternFill>
    </fill>
    <fill>
      <patternFill patternType="solid">
        <fgColor rgb="FFFFC0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07">
    <xf numFmtId="0" fontId="0" fillId="0" borderId="0" xfId="0"/>
    <xf numFmtId="0" fontId="3" fillId="0" borderId="0" xfId="0" applyFont="1"/>
    <xf numFmtId="164" fontId="4" fillId="0" borderId="1" xfId="0" applyNumberFormat="1" applyFont="1" applyBorder="1" applyAlignment="1">
      <alignment horizontal="center" vertical="center"/>
    </xf>
    <xf numFmtId="165" fontId="4" fillId="0" borderId="1" xfId="1" applyNumberFormat="1" applyFont="1" applyFill="1" applyBorder="1" applyAlignment="1">
      <alignment horizontal="center" vertical="center"/>
    </xf>
    <xf numFmtId="0" fontId="4" fillId="0" borderId="1" xfId="1" applyNumberFormat="1" applyFont="1" applyFill="1" applyBorder="1" applyAlignment="1">
      <alignment horizontal="center" vertical="center"/>
    </xf>
    <xf numFmtId="0" fontId="0" fillId="0" borderId="1" xfId="1" applyNumberFormat="1" applyFont="1" applyFill="1" applyBorder="1" applyAlignment="1">
      <alignment horizontal="center" vertical="center"/>
    </xf>
    <xf numFmtId="165" fontId="4" fillId="0" borderId="1" xfId="0" applyNumberFormat="1" applyFont="1" applyBorder="1" applyAlignment="1">
      <alignment horizontal="left" vertical="center"/>
    </xf>
    <xf numFmtId="0" fontId="4"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center" vertical="center"/>
    </xf>
    <xf numFmtId="0" fontId="4" fillId="2" borderId="1" xfId="0" applyFont="1" applyFill="1" applyBorder="1" applyAlignment="1">
      <alignment horizontal="left" vertical="center"/>
    </xf>
    <xf numFmtId="166" fontId="0" fillId="0" borderId="1" xfId="1" applyNumberFormat="1" applyFont="1" applyFill="1" applyBorder="1" applyAlignment="1">
      <alignment horizontal="center" vertical="center"/>
    </xf>
    <xf numFmtId="0" fontId="6" fillId="0" borderId="1" xfId="1" applyNumberFormat="1" applyFont="1" applyFill="1" applyBorder="1" applyAlignment="1">
      <alignment horizontal="center" vertical="center"/>
    </xf>
    <xf numFmtId="0" fontId="7" fillId="5" borderId="7" xfId="0" applyFont="1" applyFill="1" applyBorder="1" applyAlignment="1">
      <alignment vertical="center"/>
    </xf>
    <xf numFmtId="0" fontId="7" fillId="3" borderId="7" xfId="0" applyFont="1" applyFill="1" applyBorder="1" applyAlignment="1">
      <alignment vertical="center"/>
    </xf>
    <xf numFmtId="0" fontId="0" fillId="0" borderId="0" xfId="0" applyAlignment="1">
      <alignment horizontal="left" vertical="center"/>
    </xf>
    <xf numFmtId="164" fontId="4" fillId="6" borderId="1" xfId="0" applyNumberFormat="1" applyFont="1" applyFill="1" applyBorder="1" applyAlignment="1">
      <alignment horizontal="center" vertical="center"/>
    </xf>
    <xf numFmtId="0" fontId="0" fillId="6" borderId="0" xfId="0" applyFill="1"/>
    <xf numFmtId="165" fontId="4" fillId="6" borderId="1" xfId="1" applyNumberFormat="1" applyFont="1" applyFill="1" applyBorder="1" applyAlignment="1">
      <alignment horizontal="center" vertical="center"/>
    </xf>
    <xf numFmtId="0" fontId="4" fillId="6" borderId="1" xfId="1" applyNumberFormat="1" applyFont="1" applyFill="1" applyBorder="1" applyAlignment="1">
      <alignment horizontal="center" vertical="center"/>
    </xf>
    <xf numFmtId="0" fontId="0" fillId="6" borderId="1" xfId="1" applyNumberFormat="1" applyFont="1" applyFill="1" applyBorder="1" applyAlignment="1">
      <alignment horizontal="center" vertical="center"/>
    </xf>
    <xf numFmtId="165" fontId="4" fillId="6" borderId="1" xfId="0" applyNumberFormat="1" applyFont="1" applyFill="1" applyBorder="1" applyAlignment="1">
      <alignment horizontal="left" vertical="center"/>
    </xf>
    <xf numFmtId="0" fontId="4" fillId="6" borderId="1" xfId="0" applyFont="1" applyFill="1" applyBorder="1" applyAlignment="1">
      <alignment horizontal="left" vertical="center"/>
    </xf>
    <xf numFmtId="0" fontId="2" fillId="0" borderId="0" xfId="0" applyFont="1"/>
    <xf numFmtId="0" fontId="8" fillId="0" borderId="0" xfId="0" applyFont="1" applyAlignment="1">
      <alignment horizontal="centerContinuous" vertical="center"/>
    </xf>
    <xf numFmtId="0" fontId="8" fillId="0" borderId="2" xfId="0" applyFont="1" applyBorder="1" applyAlignment="1">
      <alignment horizontal="centerContinuous" vertical="center"/>
    </xf>
    <xf numFmtId="0" fontId="9" fillId="0" borderId="3" xfId="0" applyFont="1" applyBorder="1" applyAlignment="1">
      <alignment vertical="center"/>
    </xf>
    <xf numFmtId="0" fontId="9" fillId="0" borderId="0" xfId="0" applyFont="1" applyAlignment="1">
      <alignment vertical="center"/>
    </xf>
    <xf numFmtId="0" fontId="9" fillId="4" borderId="0" xfId="0" applyFont="1" applyFill="1" applyAlignment="1">
      <alignment horizontal="center"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vertical="center"/>
    </xf>
    <xf numFmtId="0" fontId="9" fillId="0" borderId="2" xfId="0" applyFont="1" applyBorder="1" applyAlignment="1">
      <alignment vertical="center"/>
    </xf>
    <xf numFmtId="0" fontId="9" fillId="4" borderId="2" xfId="0" applyFont="1" applyFill="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4" borderId="6" xfId="0" applyFont="1" applyFill="1" applyBorder="1" applyAlignment="1">
      <alignment horizontal="center" vertical="center"/>
    </xf>
    <xf numFmtId="0" fontId="9" fillId="0" borderId="5" xfId="0" applyFont="1" applyBorder="1" applyAlignment="1">
      <alignment horizontal="center" vertical="center"/>
    </xf>
    <xf numFmtId="0" fontId="9" fillId="0" borderId="2" xfId="0" applyFont="1" applyBorder="1" applyAlignment="1">
      <alignment vertical="center" wrapText="1"/>
    </xf>
    <xf numFmtId="0" fontId="9" fillId="0" borderId="7" xfId="0" applyFont="1" applyBorder="1" applyAlignment="1">
      <alignment vertical="center"/>
    </xf>
    <xf numFmtId="0" fontId="9" fillId="4" borderId="6" xfId="0" applyFont="1" applyFill="1" applyBorder="1" applyAlignment="1">
      <alignment vertical="center"/>
    </xf>
    <xf numFmtId="0" fontId="9" fillId="5" borderId="6" xfId="0" applyFont="1" applyFill="1" applyBorder="1" applyAlignment="1">
      <alignment vertical="center"/>
    </xf>
    <xf numFmtId="0" fontId="9" fillId="0" borderId="6" xfId="0" applyFont="1" applyBorder="1" applyAlignment="1">
      <alignment vertical="center"/>
    </xf>
    <xf numFmtId="0" fontId="9" fillId="0" borderId="8" xfId="0" applyFont="1" applyBorder="1" applyAlignment="1">
      <alignment vertical="center"/>
    </xf>
    <xf numFmtId="0" fontId="9" fillId="3" borderId="5" xfId="0" applyFont="1" applyFill="1" applyBorder="1" applyAlignment="1">
      <alignment horizontal="center" vertical="center"/>
    </xf>
    <xf numFmtId="0" fontId="9" fillId="3" borderId="2" xfId="0" applyFont="1" applyFill="1" applyBorder="1" applyAlignment="1">
      <alignment vertical="center" wrapText="1"/>
    </xf>
    <xf numFmtId="0" fontId="9" fillId="3" borderId="8" xfId="0" applyFont="1" applyFill="1" applyBorder="1" applyAlignment="1">
      <alignment vertical="center"/>
    </xf>
    <xf numFmtId="0" fontId="9" fillId="3" borderId="6" xfId="0" applyFont="1" applyFill="1" applyBorder="1" applyAlignment="1">
      <alignment vertical="center"/>
    </xf>
    <xf numFmtId="0" fontId="9" fillId="3" borderId="9" xfId="0" applyFont="1" applyFill="1" applyBorder="1" applyAlignment="1">
      <alignment horizontal="center" vertical="center"/>
    </xf>
    <xf numFmtId="0" fontId="9" fillId="3" borderId="10" xfId="0" applyFont="1" applyFill="1" applyBorder="1" applyAlignment="1">
      <alignment horizontal="left" vertical="center" wrapText="1"/>
    </xf>
    <xf numFmtId="0" fontId="9" fillId="3" borderId="7" xfId="0" applyFont="1" applyFill="1" applyBorder="1" applyAlignment="1">
      <alignment vertical="center"/>
    </xf>
    <xf numFmtId="0" fontId="9" fillId="5" borderId="7" xfId="0" applyFont="1" applyFill="1" applyBorder="1" applyAlignment="1">
      <alignment vertical="center"/>
    </xf>
    <xf numFmtId="0" fontId="9" fillId="3" borderId="6" xfId="0" applyFont="1" applyFill="1" applyBorder="1" applyAlignment="1">
      <alignment vertical="center" wrapText="1"/>
    </xf>
    <xf numFmtId="167" fontId="9" fillId="4" borderId="6" xfId="0" applyNumberFormat="1" applyFont="1" applyFill="1" applyBorder="1" applyAlignment="1">
      <alignment horizontal="center" vertical="center"/>
    </xf>
    <xf numFmtId="167" fontId="9" fillId="0" borderId="6" xfId="0" applyNumberFormat="1" applyFont="1" applyBorder="1" applyAlignment="1">
      <alignment horizontal="center" vertical="center"/>
    </xf>
    <xf numFmtId="0" fontId="10" fillId="0" borderId="0" xfId="0" applyFont="1" applyAlignment="1">
      <alignment horizontal="centerContinuous" vertical="center"/>
    </xf>
    <xf numFmtId="0" fontId="10" fillId="0" borderId="2" xfId="0" applyFont="1" applyBorder="1" applyAlignment="1">
      <alignment horizontal="centerContinuous" vertical="center"/>
    </xf>
    <xf numFmtId="0" fontId="12" fillId="0" borderId="0" xfId="0" applyFont="1" applyAlignment="1">
      <alignment horizontal="left" vertical="center"/>
    </xf>
    <xf numFmtId="0" fontId="13" fillId="0" borderId="0" xfId="0" applyFont="1" applyAlignment="1">
      <alignment horizontal="left" vertical="center"/>
    </xf>
    <xf numFmtId="0" fontId="0" fillId="0" borderId="1" xfId="0" applyBorder="1"/>
    <xf numFmtId="0" fontId="0" fillId="0" borderId="1" xfId="0" applyBorder="1" applyAlignment="1">
      <alignment horizontal="center" vertical="center"/>
    </xf>
    <xf numFmtId="0" fontId="0" fillId="7" borderId="1" xfId="0" applyFill="1" applyBorder="1"/>
    <xf numFmtId="0" fontId="0" fillId="0" borderId="0" xfId="0" applyAlignment="1">
      <alignment horizontal="center"/>
    </xf>
    <xf numFmtId="168" fontId="0" fillId="0" borderId="0" xfId="0" applyNumberFormat="1"/>
    <xf numFmtId="0" fontId="0" fillId="0" borderId="1" xfId="0" applyBorder="1" applyProtection="1">
      <protection locked="0"/>
    </xf>
    <xf numFmtId="168" fontId="0" fillId="0" borderId="1" xfId="0" applyNumberFormat="1" applyBorder="1" applyProtection="1">
      <protection locked="0"/>
    </xf>
    <xf numFmtId="0" fontId="0" fillId="0" borderId="1" xfId="0" applyBorder="1" applyAlignment="1" applyProtection="1">
      <alignment horizontal="center"/>
      <protection locked="0"/>
    </xf>
    <xf numFmtId="0" fontId="0" fillId="0" borderId="1" xfId="0" applyBorder="1" applyAlignment="1" applyProtection="1">
      <alignment horizontal="center" vertical="center"/>
      <protection locked="0"/>
    </xf>
    <xf numFmtId="0" fontId="0" fillId="0" borderId="12" xfId="0" applyBorder="1"/>
    <xf numFmtId="0" fontId="0" fillId="0" borderId="13" xfId="0" applyBorder="1"/>
    <xf numFmtId="0" fontId="0" fillId="0" borderId="14" xfId="0" applyBorder="1"/>
    <xf numFmtId="0" fontId="0" fillId="0" borderId="3" xfId="0" applyBorder="1"/>
    <xf numFmtId="0" fontId="0" fillId="0" borderId="4" xfId="0" applyBorder="1"/>
    <xf numFmtId="0" fontId="0" fillId="0" borderId="5" xfId="0" applyBorder="1"/>
    <xf numFmtId="0" fontId="0" fillId="0" borderId="2" xfId="0" applyBorder="1"/>
    <xf numFmtId="0" fontId="0" fillId="0" borderId="6" xfId="0" applyBorder="1"/>
    <xf numFmtId="0" fontId="2" fillId="0" borderId="0" xfId="0" applyFont="1" applyAlignment="1">
      <alignment horizontal="center"/>
    </xf>
    <xf numFmtId="169" fontId="2" fillId="9" borderId="0" xfId="2" applyNumberFormat="1" applyFont="1" applyFill="1" applyBorder="1" applyAlignment="1">
      <alignment horizontal="right"/>
    </xf>
    <xf numFmtId="170" fontId="2" fillId="9" borderId="0" xfId="1" applyNumberFormat="1" applyFont="1" applyFill="1" applyAlignment="1">
      <alignment horizontal="right"/>
    </xf>
    <xf numFmtId="0" fontId="0" fillId="0" borderId="15" xfId="0" applyBorder="1"/>
    <xf numFmtId="0" fontId="2" fillId="0" borderId="16" xfId="0" applyFont="1" applyBorder="1" applyAlignment="1">
      <alignment vertical="top"/>
    </xf>
    <xf numFmtId="0" fontId="2" fillId="0" borderId="16" xfId="0" applyFont="1" applyBorder="1" applyAlignment="1">
      <alignment vertical="top" wrapText="1"/>
    </xf>
    <xf numFmtId="0" fontId="2" fillId="0" borderId="17" xfId="0" applyFont="1" applyBorder="1" applyAlignment="1">
      <alignment vertical="top" wrapText="1"/>
    </xf>
    <xf numFmtId="0" fontId="2" fillId="0" borderId="18" xfId="0" applyFont="1" applyBorder="1" applyAlignment="1">
      <alignment vertical="top"/>
    </xf>
    <xf numFmtId="0" fontId="2" fillId="0" borderId="19" xfId="0" applyFont="1" applyBorder="1"/>
    <xf numFmtId="171" fontId="0" fillId="0" borderId="1" xfId="2" applyNumberFormat="1" applyFont="1" applyFill="1" applyBorder="1"/>
    <xf numFmtId="171" fontId="0" fillId="0" borderId="20" xfId="2" applyNumberFormat="1" applyFont="1" applyFill="1" applyBorder="1" applyAlignment="1">
      <alignment horizontal="right"/>
    </xf>
    <xf numFmtId="171" fontId="0" fillId="0" borderId="21" xfId="2" applyNumberFormat="1" applyFont="1" applyBorder="1" applyAlignment="1">
      <alignment horizontal="center"/>
    </xf>
    <xf numFmtId="44" fontId="0" fillId="0" borderId="0" xfId="0" applyNumberFormat="1"/>
    <xf numFmtId="0" fontId="17" fillId="0" borderId="22" xfId="0" applyFont="1" applyBorder="1" applyAlignment="1">
      <alignment horizontal="right"/>
    </xf>
    <xf numFmtId="0" fontId="17" fillId="0" borderId="23" xfId="0" applyFont="1" applyBorder="1"/>
    <xf numFmtId="171" fontId="17" fillId="0" borderId="23" xfId="0" applyNumberFormat="1" applyFont="1" applyBorder="1"/>
    <xf numFmtId="171" fontId="17" fillId="0" borderId="24" xfId="0" applyNumberFormat="1" applyFont="1" applyBorder="1"/>
    <xf numFmtId="171" fontId="2" fillId="0" borderId="25" xfId="2" applyNumberFormat="1" applyFont="1" applyBorder="1" applyAlignment="1">
      <alignment horizontal="center"/>
    </xf>
    <xf numFmtId="0" fontId="16" fillId="0" borderId="0" xfId="0" applyFont="1"/>
    <xf numFmtId="171" fontId="16" fillId="0" borderId="0" xfId="0" applyNumberFormat="1" applyFont="1"/>
    <xf numFmtId="171" fontId="0" fillId="0" borderId="0" xfId="2" applyNumberFormat="1" applyFont="1"/>
    <xf numFmtId="0" fontId="2" fillId="0" borderId="15" xfId="0" applyFont="1" applyBorder="1"/>
    <xf numFmtId="0" fontId="2" fillId="0" borderId="16" xfId="0" applyFont="1" applyBorder="1"/>
    <xf numFmtId="0" fontId="2" fillId="0" borderId="18" xfId="0" applyFont="1" applyBorder="1"/>
    <xf numFmtId="0" fontId="0" fillId="0" borderId="19" xfId="0" applyBorder="1"/>
    <xf numFmtId="170" fontId="0" fillId="0" borderId="1" xfId="1" applyNumberFormat="1" applyFont="1" applyBorder="1"/>
    <xf numFmtId="44" fontId="0" fillId="7" borderId="1" xfId="2" applyFont="1" applyFill="1" applyBorder="1"/>
    <xf numFmtId="171" fontId="0" fillId="7" borderId="1" xfId="2" applyNumberFormat="1" applyFont="1" applyFill="1" applyBorder="1"/>
    <xf numFmtId="171" fontId="0" fillId="0" borderId="1" xfId="2" applyNumberFormat="1" applyFont="1" applyBorder="1"/>
    <xf numFmtId="0" fontId="0" fillId="0" borderId="21" xfId="0" applyBorder="1"/>
    <xf numFmtId="0" fontId="0" fillId="0" borderId="26" xfId="0" applyBorder="1"/>
    <xf numFmtId="0" fontId="0" fillId="7" borderId="27" xfId="0" applyFill="1" applyBorder="1"/>
    <xf numFmtId="0" fontId="0" fillId="0" borderId="27" xfId="0" applyBorder="1"/>
    <xf numFmtId="44" fontId="0" fillId="7" borderId="27" xfId="2" applyFont="1" applyFill="1" applyBorder="1"/>
    <xf numFmtId="171" fontId="0" fillId="7" borderId="27" xfId="2" applyNumberFormat="1" applyFont="1" applyFill="1" applyBorder="1"/>
    <xf numFmtId="171" fontId="0" fillId="0" borderId="27" xfId="2" applyNumberFormat="1" applyFont="1" applyBorder="1"/>
    <xf numFmtId="0" fontId="0" fillId="0" borderId="28" xfId="0" applyBorder="1"/>
    <xf numFmtId="0" fontId="2" fillId="0" borderId="29" xfId="0" applyFont="1" applyBorder="1"/>
    <xf numFmtId="0" fontId="2" fillId="0" borderId="30" xfId="0" applyFont="1" applyBorder="1"/>
    <xf numFmtId="171" fontId="2" fillId="0" borderId="30" xfId="0" applyNumberFormat="1" applyFont="1" applyBorder="1"/>
    <xf numFmtId="171" fontId="2" fillId="0" borderId="30" xfId="2" applyNumberFormat="1" applyFont="1" applyBorder="1"/>
    <xf numFmtId="0" fontId="2" fillId="0" borderId="31" xfId="0" applyFont="1" applyBorder="1"/>
    <xf numFmtId="171" fontId="0" fillId="0" borderId="0" xfId="0" applyNumberFormat="1"/>
    <xf numFmtId="171" fontId="2" fillId="0" borderId="0" xfId="2" applyNumberFormat="1" applyFont="1"/>
    <xf numFmtId="44" fontId="0" fillId="0" borderId="1" xfId="2" applyFont="1" applyBorder="1"/>
    <xf numFmtId="171" fontId="0" fillId="0" borderId="21" xfId="2" applyNumberFormat="1" applyFont="1" applyBorder="1"/>
    <xf numFmtId="171" fontId="0" fillId="0" borderId="28" xfId="2" applyNumberFormat="1" applyFont="1" applyBorder="1"/>
    <xf numFmtId="171" fontId="2" fillId="0" borderId="31" xfId="0" applyNumberFormat="1" applyFont="1" applyBorder="1"/>
    <xf numFmtId="0" fontId="0" fillId="0" borderId="0" xfId="0" applyAlignment="1">
      <alignment wrapText="1"/>
    </xf>
    <xf numFmtId="0" fontId="0" fillId="10" borderId="0" xfId="0" applyFill="1" applyAlignment="1">
      <alignment wrapText="1"/>
    </xf>
    <xf numFmtId="44" fontId="0" fillId="0" borderId="0" xfId="2" applyFont="1"/>
    <xf numFmtId="8" fontId="0" fillId="0" borderId="0" xfId="0" applyNumberFormat="1"/>
    <xf numFmtId="2" fontId="0" fillId="0" borderId="0" xfId="0" applyNumberFormat="1"/>
    <xf numFmtId="4" fontId="0" fillId="0" borderId="0" xfId="0" applyNumberFormat="1"/>
    <xf numFmtId="10" fontId="0" fillId="0" borderId="0" xfId="3" applyNumberFormat="1" applyFont="1"/>
    <xf numFmtId="0" fontId="0" fillId="0" borderId="0" xfId="0" applyProtection="1">
      <protection locked="0"/>
    </xf>
    <xf numFmtId="169" fontId="0" fillId="8" borderId="1" xfId="2" applyNumberFormat="1" applyFont="1" applyFill="1" applyBorder="1" applyAlignment="1" applyProtection="1">
      <alignment horizontal="right"/>
      <protection locked="0"/>
    </xf>
    <xf numFmtId="0" fontId="0" fillId="0" borderId="1" xfId="0" applyBorder="1" applyAlignment="1">
      <alignment vertical="center"/>
    </xf>
    <xf numFmtId="169" fontId="2" fillId="0" borderId="1" xfId="2" applyNumberFormat="1" applyFont="1" applyBorder="1"/>
    <xf numFmtId="169" fontId="0" fillId="0" borderId="1" xfId="0" applyNumberFormat="1" applyBorder="1"/>
    <xf numFmtId="169" fontId="0" fillId="0" borderId="1" xfId="2" applyNumberFormat="1" applyFont="1" applyBorder="1"/>
    <xf numFmtId="0" fontId="0" fillId="0" borderId="1" xfId="0" applyBorder="1" applyAlignment="1">
      <alignment horizontal="center" vertical="center" wrapText="1"/>
    </xf>
    <xf numFmtId="0" fontId="0" fillId="7" borderId="1" xfId="0" applyFill="1" applyBorder="1" applyAlignment="1">
      <alignment vertical="center"/>
    </xf>
    <xf numFmtId="0" fontId="0" fillId="0" borderId="0" xfId="0" applyAlignment="1">
      <alignment vertical="center"/>
    </xf>
    <xf numFmtId="0" fontId="2" fillId="8" borderId="1" xfId="0" applyFont="1" applyFill="1" applyBorder="1" applyAlignment="1" applyProtection="1">
      <alignment horizontal="center"/>
      <protection locked="0"/>
    </xf>
    <xf numFmtId="169" fontId="2" fillId="0" borderId="1" xfId="2" applyNumberFormat="1" applyFont="1" applyBorder="1" applyAlignment="1">
      <alignment horizontal="right"/>
    </xf>
    <xf numFmtId="0" fontId="0" fillId="11" borderId="1" xfId="0" applyFill="1" applyBorder="1" applyAlignment="1">
      <alignment horizontal="right"/>
    </xf>
    <xf numFmtId="0" fontId="0" fillId="11" borderId="1" xfId="0" applyFill="1" applyBorder="1" applyAlignment="1">
      <alignment horizontal="center"/>
    </xf>
    <xf numFmtId="169" fontId="2" fillId="0" borderId="1" xfId="0" applyNumberFormat="1" applyFont="1" applyBorder="1"/>
    <xf numFmtId="0" fontId="0" fillId="0" borderId="20" xfId="0" applyBorder="1"/>
    <xf numFmtId="0" fontId="0" fillId="0" borderId="33" xfId="0" applyBorder="1"/>
    <xf numFmtId="0" fontId="0" fillId="8" borderId="1" xfId="0" applyFill="1" applyBorder="1"/>
    <xf numFmtId="170" fontId="0" fillId="8" borderId="1" xfId="1" applyNumberFormat="1" applyFont="1" applyFill="1" applyBorder="1"/>
    <xf numFmtId="170" fontId="0" fillId="8" borderId="1" xfId="1" applyNumberFormat="1" applyFont="1" applyFill="1" applyBorder="1" applyAlignment="1" applyProtection="1">
      <protection locked="0"/>
    </xf>
    <xf numFmtId="0" fontId="18" fillId="0" borderId="0" xfId="0" applyFont="1" applyAlignment="1">
      <alignment horizontal="center"/>
    </xf>
    <xf numFmtId="169" fontId="1" fillId="0" borderId="1" xfId="2" applyNumberFormat="1" applyFont="1" applyBorder="1"/>
    <xf numFmtId="0" fontId="2" fillId="12" borderId="1" xfId="0" applyFont="1" applyFill="1" applyBorder="1" applyAlignment="1" applyProtection="1">
      <alignment horizontal="center"/>
      <protection locked="0"/>
    </xf>
    <xf numFmtId="0" fontId="0" fillId="0" borderId="0" xfId="0" applyAlignment="1">
      <alignment horizontal="left" vertical="center" wrapText="1"/>
    </xf>
    <xf numFmtId="2" fontId="0" fillId="0" borderId="0" xfId="0" applyNumberFormat="1" applyAlignment="1">
      <alignment wrapText="1"/>
    </xf>
    <xf numFmtId="2" fontId="0" fillId="10" borderId="0" xfId="0" applyNumberFormat="1" applyFill="1" applyAlignment="1">
      <alignment wrapText="1"/>
    </xf>
    <xf numFmtId="4" fontId="0" fillId="0" borderId="0" xfId="0" applyNumberFormat="1" applyAlignment="1">
      <alignment wrapText="1"/>
    </xf>
    <xf numFmtId="8" fontId="0" fillId="0" borderId="0" xfId="0" applyNumberFormat="1" applyAlignment="1">
      <alignment wrapText="1"/>
    </xf>
    <xf numFmtId="10" fontId="0" fillId="0" borderId="0" xfId="3" applyNumberFormat="1" applyFont="1" applyAlignment="1">
      <alignment wrapText="1"/>
    </xf>
    <xf numFmtId="0" fontId="16" fillId="0" borderId="0" xfId="0" applyFont="1" applyAlignment="1">
      <alignment horizontal="center"/>
    </xf>
    <xf numFmtId="0" fontId="19" fillId="0" borderId="0" xfId="0" applyFont="1" applyAlignment="1">
      <alignment horizontal="center"/>
    </xf>
    <xf numFmtId="0" fontId="2" fillId="0" borderId="0" xfId="0" applyFont="1" applyAlignment="1" applyProtection="1">
      <alignment horizontal="center"/>
      <protection locked="0"/>
    </xf>
    <xf numFmtId="170" fontId="0" fillId="8" borderId="1" xfId="1" applyNumberFormat="1" applyFont="1" applyFill="1" applyBorder="1" applyAlignment="1" applyProtection="1">
      <alignment horizontal="center"/>
      <protection locked="0"/>
    </xf>
    <xf numFmtId="170" fontId="0" fillId="0" borderId="0" xfId="1" applyNumberFormat="1" applyFont="1" applyFill="1" applyBorder="1" applyAlignment="1" applyProtection="1">
      <alignment horizontal="center"/>
      <protection locked="0"/>
    </xf>
    <xf numFmtId="0" fontId="2" fillId="0" borderId="0" xfId="0" applyFont="1" applyAlignment="1">
      <alignment horizontal="center" vertical="center"/>
    </xf>
    <xf numFmtId="8" fontId="0" fillId="0" borderId="0" xfId="2" applyNumberFormat="1" applyFont="1"/>
    <xf numFmtId="0" fontId="2" fillId="13" borderId="0" xfId="0" applyFont="1" applyFill="1"/>
    <xf numFmtId="10" fontId="0" fillId="0" borderId="0" xfId="0" applyNumberFormat="1"/>
    <xf numFmtId="0" fontId="2" fillId="0" borderId="0" xfId="0" applyFont="1" applyAlignment="1">
      <alignment horizontal="center" vertical="center"/>
    </xf>
    <xf numFmtId="0" fontId="0" fillId="0" borderId="0" xfId="0" applyAlignment="1">
      <alignment horizontal="center"/>
    </xf>
    <xf numFmtId="0" fontId="0" fillId="0" borderId="0" xfId="0" applyAlignment="1">
      <alignment horizontal="left" vertical="top" wrapText="1"/>
    </xf>
    <xf numFmtId="0" fontId="15" fillId="0" borderId="0" xfId="0" applyFont="1" applyAlignment="1">
      <alignment horizontal="center"/>
    </xf>
    <xf numFmtId="0" fontId="19" fillId="0" borderId="0" xfId="0" applyFont="1" applyAlignment="1">
      <alignment horizontal="center"/>
    </xf>
    <xf numFmtId="0" fontId="0" fillId="0" borderId="0" xfId="0" applyAlignment="1">
      <alignment horizontal="left" vertical="center" wrapText="1"/>
    </xf>
    <xf numFmtId="0" fontId="2" fillId="12" borderId="35" xfId="0" applyFont="1" applyFill="1" applyBorder="1" applyAlignment="1">
      <alignment horizontal="left" vertical="center" wrapText="1"/>
    </xf>
    <xf numFmtId="0" fontId="2" fillId="12" borderId="32" xfId="0" applyFont="1" applyFill="1" applyBorder="1" applyAlignment="1">
      <alignment horizontal="left" vertical="center" wrapText="1"/>
    </xf>
    <xf numFmtId="0" fontId="2" fillId="12" borderId="36" xfId="0" applyFont="1" applyFill="1" applyBorder="1" applyAlignment="1">
      <alignment horizontal="left" vertical="center" wrapText="1"/>
    </xf>
    <xf numFmtId="0" fontId="2" fillId="12" borderId="37" xfId="0" applyFont="1" applyFill="1" applyBorder="1" applyAlignment="1">
      <alignment horizontal="left" vertical="center" wrapText="1"/>
    </xf>
    <xf numFmtId="0" fontId="2" fillId="12" borderId="0" xfId="0" applyFont="1" applyFill="1" applyAlignment="1">
      <alignment horizontal="left" vertical="center" wrapText="1"/>
    </xf>
    <xf numFmtId="0" fontId="2" fillId="12" borderId="38" xfId="0" applyFont="1" applyFill="1" applyBorder="1" applyAlignment="1">
      <alignment horizontal="left" vertical="center" wrapText="1"/>
    </xf>
    <xf numFmtId="0" fontId="2" fillId="12" borderId="39" xfId="0" applyFont="1" applyFill="1" applyBorder="1" applyAlignment="1">
      <alignment horizontal="left" vertical="center" wrapText="1"/>
    </xf>
    <xf numFmtId="0" fontId="2" fillId="12" borderId="11" xfId="0" applyFont="1" applyFill="1" applyBorder="1" applyAlignment="1">
      <alignment horizontal="left" vertical="center" wrapText="1"/>
    </xf>
    <xf numFmtId="0" fontId="2" fillId="12" borderId="40" xfId="0" applyFont="1" applyFill="1" applyBorder="1" applyAlignment="1">
      <alignment horizontal="left" vertical="center" wrapText="1"/>
    </xf>
    <xf numFmtId="0" fontId="0" fillId="9" borderId="1" xfId="0" applyFill="1" applyBorder="1" applyAlignment="1">
      <alignment horizontal="right"/>
    </xf>
    <xf numFmtId="0" fontId="0" fillId="0" borderId="35" xfId="0" applyBorder="1" applyAlignment="1">
      <alignment horizontal="left" wrapText="1"/>
    </xf>
    <xf numFmtId="0" fontId="0" fillId="0" borderId="32" xfId="0" applyBorder="1" applyAlignment="1">
      <alignment horizontal="left" wrapText="1"/>
    </xf>
    <xf numFmtId="0" fontId="0" fillId="0" borderId="36" xfId="0" applyBorder="1" applyAlignment="1">
      <alignment horizontal="left" wrapText="1"/>
    </xf>
    <xf numFmtId="0" fontId="0" fillId="0" borderId="37" xfId="0" applyBorder="1" applyAlignment="1">
      <alignment horizontal="left" wrapText="1"/>
    </xf>
    <xf numFmtId="0" fontId="0" fillId="0" borderId="0" xfId="0" applyAlignment="1">
      <alignment horizontal="left" wrapText="1"/>
    </xf>
    <xf numFmtId="0" fontId="0" fillId="0" borderId="38" xfId="0" applyBorder="1" applyAlignment="1">
      <alignment horizontal="left" wrapText="1"/>
    </xf>
    <xf numFmtId="0" fontId="0" fillId="0" borderId="39" xfId="0" applyBorder="1" applyAlignment="1">
      <alignment horizontal="left" wrapText="1"/>
    </xf>
    <xf numFmtId="0" fontId="0" fillId="0" borderId="11" xfId="0" applyBorder="1" applyAlignment="1">
      <alignment horizontal="left" wrapText="1"/>
    </xf>
    <xf numFmtId="0" fontId="0" fillId="0" borderId="40" xfId="0" applyBorder="1" applyAlignment="1">
      <alignment horizontal="left" wrapText="1"/>
    </xf>
    <xf numFmtId="0" fontId="0" fillId="0" borderId="33" xfId="0" applyBorder="1" applyAlignment="1">
      <alignment horizontal="right"/>
    </xf>
    <xf numFmtId="0" fontId="15" fillId="0" borderId="20" xfId="0" applyFont="1" applyBorder="1" applyAlignment="1">
      <alignment horizontal="center"/>
    </xf>
    <xf numFmtId="0" fontId="15" fillId="0" borderId="33" xfId="0" applyFont="1" applyBorder="1" applyAlignment="1">
      <alignment horizontal="center"/>
    </xf>
    <xf numFmtId="0" fontId="15" fillId="0" borderId="34" xfId="0" applyFont="1" applyBorder="1" applyAlignment="1">
      <alignment horizontal="center"/>
    </xf>
    <xf numFmtId="0" fontId="0" fillId="0" borderId="34" xfId="0" applyBorder="1" applyAlignment="1">
      <alignment horizontal="right"/>
    </xf>
    <xf numFmtId="0" fontId="16" fillId="0" borderId="20" xfId="0" applyFont="1" applyBorder="1" applyAlignment="1">
      <alignment horizontal="left" vertical="top" wrapText="1"/>
    </xf>
    <xf numFmtId="0" fontId="16" fillId="0" borderId="33" xfId="0" applyFont="1" applyBorder="1" applyAlignment="1">
      <alignment horizontal="left" vertical="top" wrapText="1"/>
    </xf>
    <xf numFmtId="0" fontId="16" fillId="0" borderId="34" xfId="0" applyFont="1" applyBorder="1" applyAlignment="1">
      <alignment horizontal="left" vertical="top" wrapText="1"/>
    </xf>
    <xf numFmtId="0" fontId="2" fillId="11" borderId="20" xfId="0" applyFont="1" applyFill="1" applyBorder="1" applyAlignment="1">
      <alignment horizontal="right"/>
    </xf>
    <xf numFmtId="0" fontId="2" fillId="11" borderId="34" xfId="0" applyFont="1" applyFill="1" applyBorder="1" applyAlignment="1">
      <alignment horizontal="right"/>
    </xf>
    <xf numFmtId="0" fontId="0" fillId="11" borderId="1" xfId="0" applyFill="1" applyBorder="1" applyAlignment="1">
      <alignment horizontal="right"/>
    </xf>
    <xf numFmtId="0" fontId="11" fillId="0" borderId="0" xfId="0" applyFont="1" applyAlignment="1">
      <alignment horizontal="center" vertical="center"/>
    </xf>
    <xf numFmtId="0" fontId="16" fillId="0" borderId="0" xfId="0" applyFont="1" applyAlignment="1">
      <alignment horizontal="left" vertical="top" wrapText="1"/>
    </xf>
    <xf numFmtId="0" fontId="0" fillId="0" borderId="0" xfId="0" applyAlignment="1">
      <alignment horizontal="left"/>
    </xf>
  </cellXfs>
  <cellStyles count="4">
    <cellStyle name="Comma" xfId="1" builtinId="3"/>
    <cellStyle name="Currency" xfId="2" builtinId="4"/>
    <cellStyle name="Normal" xfId="0" builtinId="0"/>
    <cellStyle name="Percent" xfId="3" builtinId="5"/>
  </cellStyles>
  <dxfs count="30">
    <dxf>
      <fill>
        <patternFill>
          <bgColor rgb="FFFF3300"/>
        </patternFill>
      </fill>
    </dxf>
    <dxf>
      <font>
        <color theme="1"/>
      </font>
      <fill>
        <patternFill>
          <bgColor rgb="FFFB958D"/>
        </patternFill>
      </fill>
    </dxf>
    <dxf>
      <fill>
        <patternFill>
          <bgColor rgb="FFFF7C80"/>
        </patternFill>
      </fill>
    </dxf>
    <dxf>
      <fill>
        <patternFill>
          <bgColor theme="9" tint="0.39994506668294322"/>
        </patternFill>
      </fill>
    </dxf>
    <dxf>
      <fill>
        <patternFill>
          <bgColor rgb="FF92D050"/>
        </patternFill>
      </fill>
    </dxf>
    <dxf>
      <fill>
        <patternFill>
          <bgColor rgb="FFFF7C80"/>
        </patternFill>
      </fill>
    </dxf>
    <dxf>
      <fill>
        <patternFill>
          <bgColor theme="9" tint="0.39994506668294322"/>
        </patternFill>
      </fill>
    </dxf>
    <dxf>
      <fill>
        <patternFill>
          <bgColor rgb="FF92D050"/>
        </patternFill>
      </fill>
    </dxf>
    <dxf>
      <numFmt numFmtId="12" formatCode="&quot;$&quot;#,##0.00_);[Red]\(&quot;$&quot;#,##0.00\)"/>
    </dxf>
    <dxf>
      <numFmt numFmtId="12" formatCode="&quot;$&quot;#,##0.00_);[Red]\(&quot;$&quot;#,##0.00\)"/>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numFmt numFmtId="14" formatCode="0.00%"/>
    </dxf>
    <dxf>
      <numFmt numFmtId="12" formatCode="&quot;$&quot;#,##0.00_);[Red]\(&quot;$&quot;#,##0.00\)"/>
    </dxf>
    <dxf>
      <numFmt numFmtId="12" formatCode="&quot;$&quot;#,##0.00_);[Red]\(&quot;$&quot;#,##0.00\)"/>
    </dxf>
    <dxf>
      <numFmt numFmtId="12" formatCode="&quot;$&quot;#,##0.00_);[Red]\(&quot;$&quot;#,##0.00\)"/>
    </dxf>
    <dxf>
      <numFmt numFmtId="12" formatCode="&quot;$&quot;#,##0.00_);[Red]\(&quot;$&quot;#,##0.00\)"/>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ont>
        <b val="0"/>
        <i val="0"/>
        <strike val="0"/>
        <condense val="0"/>
        <extend val="0"/>
        <outline val="0"/>
        <shadow val="0"/>
        <u val="none"/>
        <vertAlign val="baseline"/>
        <sz val="11"/>
        <color theme="1"/>
        <name val="Calibri"/>
        <family val="2"/>
        <scheme val="minor"/>
      </font>
    </dxf>
    <dxf>
      <numFmt numFmtId="12" formatCode="&quot;$&quot;#,##0.00_);[Red]\(&quot;$&quot;#,##0.00\)"/>
    </dxf>
    <dxf>
      <numFmt numFmtId="12" formatCode="&quot;$&quot;#,##0.00_);[Red]\(&quot;$&quot;#,##0.00\)"/>
    </dxf>
    <dxf>
      <numFmt numFmtId="4" formatCode="#,##0.00"/>
    </dxf>
    <dxf>
      <numFmt numFmtId="4" formatCode="#,##0.00"/>
    </dxf>
    <dxf>
      <numFmt numFmtId="2" formatCode="0.00"/>
    </dxf>
    <dxf>
      <numFmt numFmtId="2" formatCode="0.00"/>
    </dxf>
    <dxf>
      <numFmt numFmtId="2" formatCode="0.00"/>
    </dxf>
    <dxf>
      <numFmt numFmtId="2" formatCode="0.00"/>
    </dxf>
    <dxf>
      <numFmt numFmtId="12" formatCode="&quot;$&quot;#,##0.00_);[Red]\(&quot;$&quot;#,##0.00\)"/>
    </dxf>
    <dxf>
      <numFmt numFmtId="12" formatCode="&quot;$&quot;#,##0.00_);[Red]\(&quot;$&quot;#,##0.00\)"/>
    </dxf>
    <dxf>
      <numFmt numFmtId="12" formatCode="&quot;$&quot;#,##0.00_);[Red]\(&quot;$&quot;#,##0.00\)"/>
    </dxf>
    <dxf>
      <numFmt numFmtId="12" formatCode="&quot;$&quot;#,##0.00_);[Red]\(&quot;$&quot;#,##0.00\)"/>
    </dxf>
  </dxfs>
  <tableStyles count="0" defaultTableStyle="TableStyleMedium2" defaultPivotStyle="PivotStyleLight16"/>
  <colors>
    <mruColors>
      <color rgb="FFFA8D82"/>
      <color rgb="FFFB958D"/>
      <color rgb="FFFF7C8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142875</xdr:colOff>
      <xdr:row>10</xdr:row>
      <xdr:rowOff>219076</xdr:rowOff>
    </xdr:from>
    <xdr:to>
      <xdr:col>5</xdr:col>
      <xdr:colOff>619125</xdr:colOff>
      <xdr:row>15</xdr:row>
      <xdr:rowOff>38101</xdr:rowOff>
    </xdr:to>
    <xdr:sp macro="" textlink="">
      <xdr:nvSpPr>
        <xdr:cNvPr id="2" name="Left Brace 1">
          <a:extLst>
            <a:ext uri="{FF2B5EF4-FFF2-40B4-BE49-F238E27FC236}">
              <a16:creationId xmlns:a16="http://schemas.microsoft.com/office/drawing/2014/main" id="{0D7E7EDF-76C7-8103-BAB4-CFA5921BC8BD}"/>
            </a:ext>
          </a:extLst>
        </xdr:cNvPr>
        <xdr:cNvSpPr/>
      </xdr:nvSpPr>
      <xdr:spPr>
        <a:xfrm>
          <a:off x="7458075" y="2266951"/>
          <a:ext cx="476250" cy="62865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0</xdr:col>
      <xdr:colOff>609599</xdr:colOff>
      <xdr:row>26</xdr:row>
      <xdr:rowOff>0</xdr:rowOff>
    </xdr:from>
    <xdr:to>
      <xdr:col>7</xdr:col>
      <xdr:colOff>590549</xdr:colOff>
      <xdr:row>31</xdr:row>
      <xdr:rowOff>176851</xdr:rowOff>
    </xdr:to>
    <xdr:pic>
      <xdr:nvPicPr>
        <xdr:cNvPr id="4" name="Picture 3">
          <a:extLst>
            <a:ext uri="{FF2B5EF4-FFF2-40B4-BE49-F238E27FC236}">
              <a16:creationId xmlns:a16="http://schemas.microsoft.com/office/drawing/2014/main" id="{5BFFE05D-7CB9-0548-4202-1410C5FD5D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599" y="4762500"/>
          <a:ext cx="8601075" cy="1129351"/>
        </a:xfrm>
        <a:prstGeom prst="rect">
          <a:avLst/>
        </a:prstGeom>
        <a:noFill/>
        <a:ln>
          <a:noFill/>
        </a:ln>
      </xdr:spPr>
    </xdr:pic>
    <xdr:clientData/>
  </xdr:twoCellAnchor>
  <xdr:twoCellAnchor editAs="oneCell">
    <xdr:from>
      <xdr:col>1</xdr:col>
      <xdr:colOff>1457325</xdr:colOff>
      <xdr:row>36</xdr:row>
      <xdr:rowOff>19050</xdr:rowOff>
    </xdr:from>
    <xdr:to>
      <xdr:col>6</xdr:col>
      <xdr:colOff>0</xdr:colOff>
      <xdr:row>39</xdr:row>
      <xdr:rowOff>183515</xdr:rowOff>
    </xdr:to>
    <xdr:pic>
      <xdr:nvPicPr>
        <xdr:cNvPr id="6" name="Picture 5">
          <a:extLst>
            <a:ext uri="{FF2B5EF4-FFF2-40B4-BE49-F238E27FC236}">
              <a16:creationId xmlns:a16="http://schemas.microsoft.com/office/drawing/2014/main" id="{8ED46D56-1266-C337-780B-1F41F3A291B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66925" y="7543800"/>
          <a:ext cx="5943600" cy="735965"/>
        </a:xfrm>
        <a:prstGeom prst="rect">
          <a:avLst/>
        </a:prstGeom>
        <a:noFill/>
        <a:ln>
          <a:noFill/>
        </a:ln>
      </xdr:spPr>
    </xdr:pic>
    <xdr:clientData/>
  </xdr:twoCellAnchor>
  <xdr:twoCellAnchor editAs="oneCell">
    <xdr:from>
      <xdr:col>1</xdr:col>
      <xdr:colOff>1485900</xdr:colOff>
      <xdr:row>43</xdr:row>
      <xdr:rowOff>0</xdr:rowOff>
    </xdr:from>
    <xdr:to>
      <xdr:col>6</xdr:col>
      <xdr:colOff>28575</xdr:colOff>
      <xdr:row>46</xdr:row>
      <xdr:rowOff>172085</xdr:rowOff>
    </xdr:to>
    <xdr:pic>
      <xdr:nvPicPr>
        <xdr:cNvPr id="8" name="Picture 7">
          <a:extLst>
            <a:ext uri="{FF2B5EF4-FFF2-40B4-BE49-F238E27FC236}">
              <a16:creationId xmlns:a16="http://schemas.microsoft.com/office/drawing/2014/main" id="{8C1A04CD-5951-E00B-DE46-524B28A24EB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95500" y="8743950"/>
          <a:ext cx="5943600" cy="857885"/>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T.J. Kelly" id="{DA3A6ECE-8D40-47D5-A717-98564733ECED}" userId="S::Thomas.Kelly@k12.wa.us::b9e3cfab-218b-4f76-8adb-905b4dc45991" providerId="AD"/>
  <person displayName="Patti Enbody" id="{08EB37EE-A19B-4B98-95A5-61B8F425DA26}" userId="S::patti.enbody@k12.wa.us::7da80939-444f-4867-afc5-1a7fc6b0131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0C51DBE-C2B4-43DE-AA7F-61A2BA40DA63}" name="Table1" displayName="Table1" ref="A1:N282" totalsRowCount="1">
  <autoFilter ref="A1:N281" xr:uid="{309A5DE0-A108-46D0-880C-E4741FFB72BB}"/>
  <sortState xmlns:xlrd2="http://schemas.microsoft.com/office/spreadsheetml/2017/richdata2" ref="A2:M281">
    <sortCondition ref="B1:B281"/>
  </sortState>
  <tableColumns count="14">
    <tableColumn id="1" xr3:uid="{335A908C-2D60-4345-805D-2F6DD2D64799}" name="CCDDD"/>
    <tableColumn id="2" xr3:uid="{4227357B-6FE0-486F-A8D9-180C4802DF8E}" name="District Name"/>
    <tableColumn id="3" xr3:uid="{DE6BAF67-34E8-4A03-BF64-0C93B0185038}" name="AdjPriorYear _x000a_Expenditures" dataDxfId="29" totalsRowDxfId="28"/>
    <tableColumn id="4" xr3:uid="{4ECC13D5-CFA4-427F-BD82-76E50D716A6D}" name="Allocation" dataDxfId="27" totalsRowDxfId="26"/>
    <tableColumn id="5" xr3:uid="{3E1F82FF-4F0D-4D84-87C7-6B5E0FF28612}" name="Basic Program Riders (AM/PM counts)" dataDxfId="25" totalsRowDxfId="24"/>
    <tableColumn id="6" xr3:uid="{B5003B69-D4F2-4C1D-AF65-AB0E27E30588}" name="Special Riders (AM/PM counts for all programs)" dataDxfId="23" totalsRowDxfId="22"/>
    <tableColumn id="7" xr3:uid="{28C3F5AC-77C7-4800-A88C-7DDE0F51D03A}" name="Total Riders (AM/PM counts)" dataDxfId="21" totalsRowDxfId="20"/>
    <tableColumn id="8" xr3:uid="{00273F88-C130-483B-B87F-C891539D2ED8}" name="Total Students"/>
    <tableColumn id="9" xr3:uid="{EBC2C0B9-89BA-4691-AFFB-7A8EFD5099FD}" name="Cost per Rider (AM/PM counts)" dataDxfId="19" totalsRowDxfId="18"/>
    <tableColumn id="10" xr3:uid="{5B3279F3-B620-4E6E-98B5-22EA553BF586}" name="Cost per Student" dataDxfId="17" totalsRowDxfId="16" dataCellStyle="Currency"/>
    <tableColumn id="11" xr3:uid="{E060C19F-0B50-4A15-BCE9-423445518746}" name="Allocaton per Rider (AM/PM counts)" dataDxfId="15" totalsRowDxfId="14"/>
    <tableColumn id="12" xr3:uid="{FF2A18A3-A278-437E-B6E6-C33AE8C5D73A}" name="Allocation per Student" dataDxfId="13" totalsRowDxfId="12"/>
    <tableColumn id="13" xr3:uid="{0A17C9F4-B096-4BC6-9066-7D87C2FA81B9}" name="Percent Funded of Adjusted PYE" dataDxfId="11" totalsRowDxfId="10" dataCellStyle="Percent"/>
    <tableColumn id="14" xr3:uid="{BE8A9C87-11B1-482E-A03B-82901D5BF440}" name="Amount Under Funded" dataDxfId="9" totalsRowDxfId="8">
      <calculatedColumnFormula>IF(Table1[[#This Row],[Percent Funded of Adjusted PYE]]=1,0,Table1[[#This Row],[AdjPriorYear 
Expenditures]]-Table1[[#This Row],[Allocation]])</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9" dT="2023-12-14T21:00:35.98" personId="{08EB37EE-A19B-4B98-95A5-61B8F425DA26}" id="{82FB0300-D96D-444B-9829-22AA52BE520C}">
    <text>Change language to reflect QA document. Average of 2022-23 SY ridership counts (fall, winter, spring), divided by 2</text>
  </threadedComment>
</ThreadedComments>
</file>

<file path=xl/threadedComments/threadedComment2.xml><?xml version="1.0" encoding="utf-8"?>
<ThreadedComments xmlns="http://schemas.microsoft.com/office/spreadsheetml/2018/threadedcomments" xmlns:x="http://schemas.openxmlformats.org/spreadsheetml/2006/main">
  <threadedComment ref="C17" dT="2022-11-18T20:28:30.94" personId="{DA3A6ECE-8D40-47D5-A717-98564733ECED}" id="{6002DCCC-2EF7-4F9A-8A2D-E964896636F0}">
    <text>Select From Drop Down</text>
  </threadedComment>
  <threadedComment ref="E17" dT="2022-11-18T20:28:54.31" personId="{DA3A6ECE-8D40-47D5-A717-98564733ECED}" id="{936B52D2-8ADE-4410-94C9-61F304E3F77F}">
    <text>Select From Dropdown</text>
  </threadedComment>
  <threadedComment ref="C75" dT="2022-11-18T20:28:30.94" personId="{DA3A6ECE-8D40-47D5-A717-98564733ECED}" id="{F4B3E61D-346C-4612-BEFC-8D2BEFE87D80}">
    <text>Select From Drop Down</text>
  </threadedComment>
  <threadedComment ref="E75" dT="2022-11-18T20:28:54.31" personId="{DA3A6ECE-8D40-47D5-A717-98564733ECED}" id="{AAFC33F0-0B29-4D76-8D9E-DF23625C69ED}">
    <text>Select From Dropdown</text>
  </threadedComment>
  <threadedComment ref="C134" dT="2022-11-18T20:28:30.94" personId="{DA3A6ECE-8D40-47D5-A717-98564733ECED}" id="{38646221-5D92-47F8-929A-9DF517A7CF61}">
    <text>Select From Drop Down</text>
  </threadedComment>
  <threadedComment ref="E134" dT="2022-11-18T20:28:54.31" personId="{DA3A6ECE-8D40-47D5-A717-98564733ECED}" id="{8BE2E9FE-E776-4094-8B83-644CF541435B}">
    <text>Select From Dropdown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A4CC-F937-4480-984F-F8752D299C0E}">
  <dimension ref="A2:K49"/>
  <sheetViews>
    <sheetView topLeftCell="A3" workbookViewId="0">
      <selection activeCell="N26" sqref="N26"/>
    </sheetView>
  </sheetViews>
  <sheetFormatPr defaultRowHeight="14.5" x14ac:dyDescent="0.35"/>
  <cols>
    <col min="2" max="2" width="39.54296875" customWidth="1"/>
    <col min="3" max="4" width="9.1796875" customWidth="1"/>
    <col min="5" max="5" width="42.7265625" customWidth="1"/>
    <col min="6" max="6" width="10.453125" customWidth="1"/>
  </cols>
  <sheetData>
    <row r="2" spans="1:11" ht="18.5" x14ac:dyDescent="0.45">
      <c r="B2" s="172" t="s">
        <v>1073</v>
      </c>
      <c r="C2" s="172"/>
      <c r="D2" s="172"/>
      <c r="E2" s="172"/>
      <c r="F2" s="172"/>
      <c r="G2" s="172"/>
    </row>
    <row r="3" spans="1:11" x14ac:dyDescent="0.35">
      <c r="B3" s="173" t="s">
        <v>1089</v>
      </c>
      <c r="C3" s="173"/>
      <c r="D3" s="173"/>
      <c r="E3" s="173"/>
      <c r="F3" s="173"/>
    </row>
    <row r="4" spans="1:11" x14ac:dyDescent="0.35">
      <c r="B4" s="173"/>
      <c r="C4" s="173"/>
      <c r="D4" s="173"/>
      <c r="E4" s="173"/>
      <c r="F4" s="173"/>
    </row>
    <row r="5" spans="1:11" x14ac:dyDescent="0.35">
      <c r="B5" s="173"/>
      <c r="C5" s="173"/>
      <c r="D5" s="173"/>
      <c r="E5" s="173"/>
      <c r="F5" s="173"/>
    </row>
    <row r="6" spans="1:11" x14ac:dyDescent="0.35">
      <c r="B6" s="173"/>
      <c r="C6" s="173"/>
      <c r="D6" s="173"/>
      <c r="E6" s="173"/>
      <c r="F6" s="173"/>
    </row>
    <row r="7" spans="1:11" x14ac:dyDescent="0.35">
      <c r="B7" s="173"/>
      <c r="C7" s="173"/>
      <c r="D7" s="173"/>
      <c r="E7" s="173"/>
      <c r="F7" s="173"/>
    </row>
    <row r="8" spans="1:11" x14ac:dyDescent="0.35">
      <c r="B8" s="153"/>
      <c r="C8" s="153"/>
      <c r="D8" s="153"/>
      <c r="E8" s="153"/>
      <c r="F8" s="153"/>
    </row>
    <row r="9" spans="1:11" ht="18.5" x14ac:dyDescent="0.45">
      <c r="B9" s="172" t="s">
        <v>1074</v>
      </c>
      <c r="C9" s="172"/>
      <c r="D9" s="172"/>
      <c r="E9" s="172"/>
      <c r="F9" s="172"/>
      <c r="G9" s="172"/>
    </row>
    <row r="10" spans="1:11" ht="18.5" x14ac:dyDescent="0.45">
      <c r="B10" s="160"/>
      <c r="C10" s="160"/>
      <c r="D10" s="160"/>
      <c r="E10" s="160"/>
      <c r="F10" s="160"/>
      <c r="G10" s="160"/>
    </row>
    <row r="11" spans="1:11" ht="18.5" x14ac:dyDescent="0.45">
      <c r="A11" s="76" t="s">
        <v>1075</v>
      </c>
      <c r="B11" s="171" t="s">
        <v>287</v>
      </c>
      <c r="C11" s="171"/>
      <c r="D11" s="171"/>
      <c r="E11" s="171"/>
      <c r="F11" s="171"/>
      <c r="G11" s="171"/>
    </row>
    <row r="12" spans="1:11" x14ac:dyDescent="0.35">
      <c r="A12" s="76">
        <v>1</v>
      </c>
      <c r="B12" s="23" t="s">
        <v>1069</v>
      </c>
      <c r="C12" s="23"/>
      <c r="D12" s="23"/>
      <c r="E12" s="140" t="s">
        <v>1070</v>
      </c>
      <c r="G12" s="174" t="s">
        <v>1080</v>
      </c>
      <c r="H12" s="175"/>
      <c r="I12" s="175"/>
      <c r="J12" s="175"/>
      <c r="K12" s="176"/>
    </row>
    <row r="13" spans="1:11" x14ac:dyDescent="0.35">
      <c r="A13" s="76" t="s">
        <v>1076</v>
      </c>
      <c r="B13" s="23" t="s">
        <v>1077</v>
      </c>
      <c r="C13" s="23"/>
      <c r="D13" s="23"/>
      <c r="E13" s="152" t="str">
        <f>IF(VLOOKUP(E12,Table1[[District Name]:[Percent Funded of Adjusted PYE]],12,FALSE)=100%,"Not Eligible - Do Not Proceed","Eligible - Continue Below")</f>
        <v>Eligible - Continue Below</v>
      </c>
      <c r="G13" s="177"/>
      <c r="H13" s="178"/>
      <c r="I13" s="178"/>
      <c r="J13" s="178"/>
      <c r="K13" s="179"/>
    </row>
    <row r="14" spans="1:11" x14ac:dyDescent="0.35">
      <c r="A14" s="76" t="s">
        <v>1076</v>
      </c>
      <c r="B14" s="23" t="s">
        <v>1078</v>
      </c>
      <c r="C14" s="23"/>
      <c r="D14" s="23"/>
      <c r="E14" s="152" t="s">
        <v>1072</v>
      </c>
      <c r="G14" s="177"/>
      <c r="H14" s="178"/>
      <c r="I14" s="178"/>
      <c r="J14" s="178"/>
      <c r="K14" s="179"/>
    </row>
    <row r="15" spans="1:11" x14ac:dyDescent="0.35">
      <c r="A15" s="76"/>
      <c r="B15" s="23" t="s">
        <v>1079</v>
      </c>
      <c r="C15" s="23"/>
      <c r="D15" s="23"/>
      <c r="E15" s="161"/>
      <c r="G15" s="180"/>
      <c r="H15" s="181"/>
      <c r="I15" s="181"/>
      <c r="J15" s="181"/>
      <c r="K15" s="182"/>
    </row>
    <row r="16" spans="1:11" x14ac:dyDescent="0.35">
      <c r="A16" s="76"/>
      <c r="B16" s="23"/>
      <c r="C16" s="23"/>
      <c r="D16" s="23"/>
      <c r="E16" s="131"/>
    </row>
    <row r="17" spans="1:10" x14ac:dyDescent="0.35">
      <c r="A17" s="76" t="s">
        <v>1076</v>
      </c>
      <c r="B17" s="23" t="s">
        <v>1052</v>
      </c>
      <c r="E17" s="132">
        <f>IF(E13="Not Eligible - Do Not Proceed","N/A - Not Eligible",VLOOKUP(E12,Table1[[District Name]:[Allocation per Student]],11,FALSE))</f>
        <v>0</v>
      </c>
      <c r="F17" t="s">
        <v>1081</v>
      </c>
    </row>
    <row r="18" spans="1:10" x14ac:dyDescent="0.35">
      <c r="A18" s="76"/>
      <c r="F18" s="23"/>
    </row>
    <row r="19" spans="1:10" x14ac:dyDescent="0.35">
      <c r="A19" s="76"/>
      <c r="B19" s="166" t="s">
        <v>1090</v>
      </c>
      <c r="C19" s="23"/>
      <c r="D19" s="23"/>
      <c r="E19" s="23"/>
      <c r="F19" s="23"/>
    </row>
    <row r="20" spans="1:10" x14ac:dyDescent="0.35">
      <c r="A20" s="76"/>
      <c r="B20" s="23" t="s">
        <v>1091</v>
      </c>
      <c r="C20" s="23"/>
      <c r="D20" s="23"/>
      <c r="E20" s="23"/>
      <c r="F20" s="23"/>
    </row>
    <row r="21" spans="1:10" x14ac:dyDescent="0.35">
      <c r="A21" s="76">
        <v>2</v>
      </c>
      <c r="B21" t="s">
        <v>1046</v>
      </c>
      <c r="E21" s="162" t="s">
        <v>1082</v>
      </c>
      <c r="F21" s="159" t="s">
        <v>1054</v>
      </c>
      <c r="I21" t="s">
        <v>1087</v>
      </c>
    </row>
    <row r="22" spans="1:10" x14ac:dyDescent="0.35">
      <c r="A22" s="76">
        <v>3</v>
      </c>
      <c r="B22" t="s">
        <v>1047</v>
      </c>
      <c r="E22" s="162" t="s">
        <v>1082</v>
      </c>
      <c r="F22" s="159" t="s">
        <v>1056</v>
      </c>
    </row>
    <row r="23" spans="1:10" x14ac:dyDescent="0.35">
      <c r="A23" s="76">
        <v>4</v>
      </c>
      <c r="B23" t="s">
        <v>1048</v>
      </c>
      <c r="E23" s="162" t="s">
        <v>1082</v>
      </c>
      <c r="F23" s="159" t="s">
        <v>1055</v>
      </c>
    </row>
    <row r="24" spans="1:10" x14ac:dyDescent="0.35">
      <c r="A24" s="76"/>
      <c r="E24" s="163"/>
      <c r="F24" s="159"/>
    </row>
    <row r="25" spans="1:10" x14ac:dyDescent="0.35">
      <c r="A25" s="76"/>
      <c r="E25" s="163"/>
      <c r="F25" s="159"/>
    </row>
    <row r="26" spans="1:10" ht="67.5" customHeight="1" x14ac:dyDescent="0.35">
      <c r="A26" s="164">
        <v>5</v>
      </c>
      <c r="B26" s="170" t="s">
        <v>1083</v>
      </c>
      <c r="C26" s="170"/>
      <c r="D26" s="170"/>
      <c r="E26" s="170"/>
      <c r="F26" s="170"/>
      <c r="G26" s="170"/>
      <c r="H26" s="170"/>
    </row>
    <row r="27" spans="1:10" x14ac:dyDescent="0.35">
      <c r="A27" s="169"/>
      <c r="B27" s="169"/>
      <c r="C27" s="169"/>
      <c r="D27" s="169"/>
      <c r="E27" s="169"/>
      <c r="F27" s="169"/>
      <c r="G27" s="169"/>
      <c r="H27" s="169"/>
      <c r="I27" s="169"/>
      <c r="J27" s="169"/>
    </row>
    <row r="28" spans="1:10" x14ac:dyDescent="0.35">
      <c r="A28" s="169"/>
      <c r="B28" s="169"/>
      <c r="C28" s="169"/>
      <c r="D28" s="169"/>
      <c r="E28" s="169"/>
      <c r="F28" s="169"/>
      <c r="G28" s="169"/>
      <c r="H28" s="169"/>
      <c r="I28" s="169"/>
      <c r="J28" s="169"/>
    </row>
    <row r="29" spans="1:10" x14ac:dyDescent="0.35">
      <c r="A29" s="169"/>
      <c r="B29" s="169"/>
      <c r="C29" s="169"/>
      <c r="D29" s="169"/>
      <c r="E29" s="169"/>
      <c r="F29" s="169"/>
      <c r="G29" s="169"/>
      <c r="H29" s="169"/>
      <c r="I29" s="169"/>
      <c r="J29" s="169"/>
    </row>
    <row r="30" spans="1:10" x14ac:dyDescent="0.35">
      <c r="A30" s="169"/>
      <c r="B30" s="169"/>
      <c r="C30" s="169"/>
      <c r="D30" s="169"/>
      <c r="E30" s="169"/>
      <c r="F30" s="169"/>
      <c r="G30" s="169"/>
      <c r="H30" s="169"/>
      <c r="I30" s="169"/>
      <c r="J30" s="169"/>
    </row>
    <row r="31" spans="1:10" x14ac:dyDescent="0.35">
      <c r="A31" s="169"/>
      <c r="B31" s="169"/>
      <c r="C31" s="169"/>
      <c r="D31" s="169"/>
      <c r="E31" s="169"/>
      <c r="F31" s="169"/>
      <c r="G31" s="169"/>
      <c r="H31" s="169"/>
      <c r="I31" s="169"/>
      <c r="J31" s="169"/>
    </row>
    <row r="32" spans="1:10" x14ac:dyDescent="0.35">
      <c r="A32" s="169"/>
      <c r="B32" s="169"/>
      <c r="C32" s="169"/>
      <c r="D32" s="169"/>
      <c r="E32" s="169"/>
      <c r="F32" s="169"/>
      <c r="G32" s="169"/>
      <c r="H32" s="169"/>
      <c r="I32" s="169"/>
      <c r="J32" s="169"/>
    </row>
    <row r="34" spans="1:8" x14ac:dyDescent="0.35">
      <c r="A34" s="168">
        <v>6</v>
      </c>
      <c r="B34" s="170" t="s">
        <v>1086</v>
      </c>
      <c r="C34" s="170"/>
      <c r="D34" s="170"/>
      <c r="E34" s="170"/>
      <c r="F34" s="170"/>
      <c r="G34" s="170"/>
      <c r="H34" s="170"/>
    </row>
    <row r="35" spans="1:8" x14ac:dyDescent="0.35">
      <c r="A35" s="168"/>
      <c r="B35" s="170"/>
      <c r="C35" s="170"/>
      <c r="D35" s="170"/>
      <c r="E35" s="170"/>
      <c r="F35" s="170"/>
      <c r="G35" s="170"/>
      <c r="H35" s="170"/>
    </row>
    <row r="36" spans="1:8" ht="6" customHeight="1" x14ac:dyDescent="0.35">
      <c r="B36" s="170"/>
      <c r="C36" s="170"/>
      <c r="D36" s="170"/>
      <c r="E36" s="170"/>
      <c r="F36" s="170"/>
      <c r="G36" s="170"/>
      <c r="H36" s="170"/>
    </row>
    <row r="37" spans="1:8" x14ac:dyDescent="0.35">
      <c r="B37" s="169"/>
      <c r="C37" s="169"/>
      <c r="D37" s="169"/>
      <c r="E37" s="169"/>
      <c r="F37" s="169"/>
      <c r="G37" s="169"/>
      <c r="H37" s="169"/>
    </row>
    <row r="38" spans="1:8" x14ac:dyDescent="0.35">
      <c r="B38" s="169"/>
      <c r="C38" s="169"/>
      <c r="D38" s="169"/>
      <c r="E38" s="169"/>
      <c r="F38" s="169"/>
      <c r="G38" s="169"/>
      <c r="H38" s="169"/>
    </row>
    <row r="39" spans="1:8" x14ac:dyDescent="0.35">
      <c r="B39" s="169"/>
      <c r="C39" s="169"/>
      <c r="D39" s="169"/>
      <c r="E39" s="169"/>
      <c r="F39" s="169"/>
      <c r="G39" s="169"/>
      <c r="H39" s="169"/>
    </row>
    <row r="40" spans="1:8" x14ac:dyDescent="0.35">
      <c r="B40" s="169"/>
      <c r="C40" s="169"/>
      <c r="D40" s="169"/>
      <c r="E40" s="169"/>
      <c r="F40" s="169"/>
      <c r="G40" s="169"/>
      <c r="H40" s="169"/>
    </row>
    <row r="42" spans="1:8" x14ac:dyDescent="0.35">
      <c r="A42" s="168">
        <v>7</v>
      </c>
      <c r="B42" s="170" t="s">
        <v>1092</v>
      </c>
      <c r="C42" s="170"/>
      <c r="D42" s="170"/>
      <c r="E42" s="170"/>
      <c r="F42" s="170"/>
      <c r="G42" s="170"/>
      <c r="H42" s="170"/>
    </row>
    <row r="43" spans="1:8" x14ac:dyDescent="0.35">
      <c r="A43" s="168"/>
      <c r="B43" s="170"/>
      <c r="C43" s="170"/>
      <c r="D43" s="170"/>
      <c r="E43" s="170"/>
      <c r="F43" s="170"/>
      <c r="G43" s="170"/>
      <c r="H43" s="170"/>
    </row>
    <row r="44" spans="1:8" ht="20.149999999999999" customHeight="1" x14ac:dyDescent="0.35">
      <c r="B44" s="169"/>
      <c r="C44" s="169"/>
      <c r="D44" s="169"/>
      <c r="E44" s="169"/>
      <c r="F44" s="169"/>
      <c r="G44" s="169"/>
      <c r="H44" s="169"/>
    </row>
    <row r="45" spans="1:8" ht="20.149999999999999" customHeight="1" x14ac:dyDescent="0.35">
      <c r="B45" s="169"/>
      <c r="C45" s="169"/>
      <c r="D45" s="169"/>
      <c r="E45" s="169"/>
      <c r="F45" s="169"/>
      <c r="G45" s="169"/>
      <c r="H45" s="169"/>
    </row>
    <row r="46" spans="1:8" x14ac:dyDescent="0.35">
      <c r="B46" s="169"/>
      <c r="C46" s="169"/>
      <c r="D46" s="169"/>
      <c r="E46" s="169"/>
      <c r="F46" s="169"/>
      <c r="G46" s="169"/>
      <c r="H46" s="169"/>
    </row>
    <row r="47" spans="1:8" x14ac:dyDescent="0.35">
      <c r="B47" s="169"/>
      <c r="C47" s="169"/>
      <c r="D47" s="169"/>
      <c r="E47" s="169"/>
      <c r="F47" s="169"/>
      <c r="G47" s="169"/>
      <c r="H47" s="169"/>
    </row>
    <row r="48" spans="1:8" x14ac:dyDescent="0.35">
      <c r="A48" s="168">
        <v>8</v>
      </c>
      <c r="B48" s="170" t="s">
        <v>1085</v>
      </c>
      <c r="C48" s="170"/>
      <c r="D48" s="170"/>
      <c r="E48" s="170"/>
      <c r="F48" s="170"/>
      <c r="G48" s="170"/>
      <c r="H48" s="170"/>
    </row>
    <row r="49" spans="1:8" x14ac:dyDescent="0.35">
      <c r="A49" s="168"/>
      <c r="B49" s="170"/>
      <c r="C49" s="170"/>
      <c r="D49" s="170"/>
      <c r="E49" s="170"/>
      <c r="F49" s="170"/>
      <c r="G49" s="170"/>
      <c r="H49" s="170"/>
    </row>
  </sheetData>
  <protectedRanges>
    <protectedRange algorithmName="SHA-512" hashValue="xwHnUKMjlbIpwKiMBwHmIXCJXbE3scI/o4kcCRcraTvG0y4Xd4tmVBjPcvrG0Vnm67KECMmfQevFASKsXUKfTg==" saltValue="f+t7wd6dyjOTvpXVpTTkkQ==" spinCount="100000" sqref="E12:E13 E16:E25" name="Range1_1"/>
    <protectedRange algorithmName="SHA-512" hashValue="xwHnUKMjlbIpwKiMBwHmIXCJXbE3scI/o4kcCRcraTvG0y4Xd4tmVBjPcvrG0Vnm67KECMmfQevFASKsXUKfTg==" saltValue="f+t7wd6dyjOTvpXVpTTkkQ==" spinCount="100000" sqref="E14:E15" name="Range1_2"/>
  </protectedRanges>
  <mergeCells count="15">
    <mergeCell ref="B11:G11"/>
    <mergeCell ref="B2:G2"/>
    <mergeCell ref="B3:F7"/>
    <mergeCell ref="B9:G9"/>
    <mergeCell ref="G12:K15"/>
    <mergeCell ref="A34:A35"/>
    <mergeCell ref="A42:A43"/>
    <mergeCell ref="A48:A49"/>
    <mergeCell ref="A27:J32"/>
    <mergeCell ref="B26:H26"/>
    <mergeCell ref="B37:H40"/>
    <mergeCell ref="B34:H36"/>
    <mergeCell ref="B44:H47"/>
    <mergeCell ref="B42:H43"/>
    <mergeCell ref="B48:H49"/>
  </mergeCells>
  <conditionalFormatting sqref="E12">
    <cfRule type="containsText" dxfId="7" priority="4" operator="containsText" text="Continue">
      <formula>NOT(ISERROR(SEARCH("Continue",E12)))</formula>
    </cfRule>
  </conditionalFormatting>
  <conditionalFormatting sqref="E13:E15">
    <cfRule type="containsText" dxfId="6" priority="1" operator="containsText" text="Continue">
      <formula>NOT(ISERROR(SEARCH("Continue",E13)))</formula>
    </cfRule>
    <cfRule type="containsText" dxfId="5" priority="2" operator="containsText" text="Not">
      <formula>NOT(ISERROR(SEARCH("Not",E13)))</formula>
    </cfRule>
  </conditionalFormatting>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1E1441D-1FE4-4484-AE58-096F7AA31BD5}">
          <x14:formula1>
            <xm:f>'LEA Names'!$A$1:$A$319</xm:f>
          </x14:formula1>
          <xm:sqref>E16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2F9B4-1C8A-4236-81DE-810B043ADCBF}">
  <dimension ref="A1:Q193"/>
  <sheetViews>
    <sheetView zoomScale="90" zoomScaleNormal="90" workbookViewId="0">
      <selection activeCell="M17" sqref="M17"/>
    </sheetView>
  </sheetViews>
  <sheetFormatPr defaultRowHeight="14.5" x14ac:dyDescent="0.35"/>
  <cols>
    <col min="1" max="1" width="5.1796875" customWidth="1"/>
    <col min="2" max="2" width="7.54296875" customWidth="1"/>
    <col min="3" max="3" width="8" customWidth="1"/>
    <col min="4" max="4" width="28" bestFit="1" customWidth="1"/>
    <col min="5" max="5" width="55.81640625" bestFit="1" customWidth="1"/>
    <col min="6" max="7" width="18.7265625" customWidth="1"/>
    <col min="8" max="9" width="4.453125" customWidth="1"/>
  </cols>
  <sheetData>
    <row r="1" spans="1:17" ht="18.5" x14ac:dyDescent="0.45">
      <c r="A1" s="171" t="s">
        <v>698</v>
      </c>
      <c r="B1" s="171"/>
      <c r="C1" s="171"/>
      <c r="D1" s="171"/>
      <c r="E1" s="171"/>
      <c r="F1" s="171"/>
      <c r="G1" s="171"/>
    </row>
    <row r="3" spans="1:17" ht="18.5" x14ac:dyDescent="0.45">
      <c r="B3" s="171" t="s">
        <v>287</v>
      </c>
      <c r="C3" s="171"/>
      <c r="D3" s="171"/>
      <c r="E3" s="171"/>
      <c r="F3" s="171"/>
      <c r="G3" s="171"/>
      <c r="J3" s="184" t="str">
        <f>IF(E5="Not Eligible - Do Not Proceed",Codes!K68," ")</f>
        <v xml:space="preserve"> </v>
      </c>
      <c r="K3" s="185"/>
      <c r="L3" s="185"/>
      <c r="M3" s="185"/>
      <c r="N3" s="185"/>
      <c r="O3" s="185"/>
      <c r="P3" s="185"/>
      <c r="Q3" s="186"/>
    </row>
    <row r="4" spans="1:17" x14ac:dyDescent="0.35">
      <c r="B4" s="23" t="s">
        <v>1069</v>
      </c>
      <c r="C4" s="23"/>
      <c r="D4" s="23"/>
      <c r="E4" s="140" t="s">
        <v>1070</v>
      </c>
      <c r="J4" s="187"/>
      <c r="K4" s="188"/>
      <c r="L4" s="188"/>
      <c r="M4" s="188"/>
      <c r="N4" s="188"/>
      <c r="O4" s="188"/>
      <c r="P4" s="188"/>
      <c r="Q4" s="189"/>
    </row>
    <row r="5" spans="1:17" x14ac:dyDescent="0.35">
      <c r="B5" s="23" t="s">
        <v>1051</v>
      </c>
      <c r="C5" s="23"/>
      <c r="D5" s="23"/>
      <c r="E5" s="152" t="str">
        <f>IF(VLOOKUP(E4,Table1[[District Name]:[Percent Funded of Adjusted PYE]],12,FALSE)=100%,"Not Eligible - Do Not Proceed","Eligible - Continue Below")</f>
        <v>Eligible - Continue Below</v>
      </c>
      <c r="J5" s="187"/>
      <c r="K5" s="188"/>
      <c r="L5" s="188"/>
      <c r="M5" s="188"/>
      <c r="N5" s="188"/>
      <c r="O5" s="188"/>
      <c r="P5" s="188"/>
      <c r="Q5" s="189"/>
    </row>
    <row r="6" spans="1:17" x14ac:dyDescent="0.35">
      <c r="B6" s="23"/>
      <c r="C6" s="23"/>
      <c r="D6" s="23"/>
      <c r="E6" s="131"/>
      <c r="J6" s="187"/>
      <c r="K6" s="188"/>
      <c r="L6" s="188"/>
      <c r="M6" s="188"/>
      <c r="N6" s="188"/>
      <c r="O6" s="188"/>
      <c r="P6" s="188"/>
      <c r="Q6" s="189"/>
    </row>
    <row r="7" spans="1:17" x14ac:dyDescent="0.35">
      <c r="B7" s="23" t="s">
        <v>1052</v>
      </c>
      <c r="E7" s="132">
        <f>IF(E5="Not Eligible - Do Not Proceed","N/A - Not Eligible",VLOOKUP(E4,Table1[[District Name]:[Allocation per Student]],11,FALSE))</f>
        <v>0</v>
      </c>
      <c r="J7" s="187"/>
      <c r="K7" s="188"/>
      <c r="L7" s="188"/>
      <c r="M7" s="188"/>
      <c r="N7" s="188"/>
      <c r="O7" s="188"/>
      <c r="P7" s="188"/>
      <c r="Q7" s="189"/>
    </row>
    <row r="8" spans="1:17" x14ac:dyDescent="0.35">
      <c r="J8" s="190"/>
      <c r="K8" s="191"/>
      <c r="L8" s="191"/>
      <c r="M8" s="191"/>
      <c r="N8" s="191"/>
      <c r="O8" s="191"/>
      <c r="P8" s="191"/>
      <c r="Q8" s="192"/>
    </row>
    <row r="9" spans="1:17" x14ac:dyDescent="0.35">
      <c r="B9" s="23" t="s">
        <v>1090</v>
      </c>
      <c r="C9" s="23"/>
      <c r="D9" s="23"/>
      <c r="E9" s="23"/>
      <c r="F9" s="23"/>
    </row>
    <row r="10" spans="1:17" x14ac:dyDescent="0.35">
      <c r="B10" s="23" t="s">
        <v>1091</v>
      </c>
      <c r="C10" s="23"/>
      <c r="D10" s="23"/>
      <c r="E10" s="23"/>
      <c r="F10" s="23"/>
    </row>
    <row r="11" spans="1:17" x14ac:dyDescent="0.35">
      <c r="B11" t="s">
        <v>1046</v>
      </c>
      <c r="E11" s="149"/>
      <c r="F11" s="159" t="s">
        <v>1054</v>
      </c>
    </row>
    <row r="12" spans="1:17" x14ac:dyDescent="0.35">
      <c r="B12" t="s">
        <v>1047</v>
      </c>
      <c r="E12" s="149"/>
      <c r="F12" s="159" t="s">
        <v>1056</v>
      </c>
    </row>
    <row r="13" spans="1:17" x14ac:dyDescent="0.35">
      <c r="B13" t="s">
        <v>1048</v>
      </c>
      <c r="E13" s="149"/>
      <c r="F13" s="159" t="s">
        <v>1055</v>
      </c>
    </row>
    <row r="15" spans="1:17" ht="18.5" x14ac:dyDescent="0.45">
      <c r="B15" s="194" t="s">
        <v>336</v>
      </c>
      <c r="C15" s="195"/>
      <c r="D15" s="195"/>
      <c r="E15" s="195"/>
      <c r="F15" s="195"/>
      <c r="G15" s="196"/>
    </row>
    <row r="16" spans="1:17" x14ac:dyDescent="0.35">
      <c r="B16" s="145"/>
      <c r="C16" s="146"/>
      <c r="D16" s="146"/>
      <c r="E16" s="193" t="s">
        <v>1057</v>
      </c>
      <c r="F16" s="193"/>
      <c r="G16" s="148">
        <f>E11</f>
        <v>0</v>
      </c>
    </row>
    <row r="17" spans="2:7" ht="29" x14ac:dyDescent="0.35">
      <c r="B17" s="133"/>
      <c r="C17" s="138" t="s">
        <v>324</v>
      </c>
      <c r="D17" s="60" t="s">
        <v>337</v>
      </c>
      <c r="E17" s="138" t="s">
        <v>378</v>
      </c>
      <c r="F17" s="137" t="s">
        <v>1049</v>
      </c>
      <c r="G17" s="137" t="s">
        <v>1050</v>
      </c>
    </row>
    <row r="18" spans="2:7" x14ac:dyDescent="0.35">
      <c r="B18" s="59" t="s">
        <v>288</v>
      </c>
      <c r="C18" s="66"/>
      <c r="D18" s="59" t="str">
        <f>IFERROR(VLOOKUP(C18,Codes!$F$2:$I$64,4,FALSE),"&lt;--Select Here")</f>
        <v>&lt;--Select Here</v>
      </c>
      <c r="E18" s="64"/>
      <c r="F18" s="65"/>
      <c r="G18" s="135" t="str">
        <f>IFERROR(IF(F18=" "," ",(F18/$E$11))," ")</f>
        <v xml:space="preserve"> </v>
      </c>
    </row>
    <row r="19" spans="2:7" x14ac:dyDescent="0.35">
      <c r="B19" s="59" t="s">
        <v>325</v>
      </c>
      <c r="C19" s="66"/>
      <c r="D19" s="59" t="str">
        <f>IFERROR(VLOOKUP(C19,Codes!$F$2:$I$64,4,FALSE),"&lt;--Select Here")</f>
        <v>&lt;--Select Here</v>
      </c>
      <c r="E19" s="64"/>
      <c r="F19" s="65"/>
      <c r="G19" s="135" t="str">
        <f t="shared" ref="G19:G67" si="0">IFERROR(IF(F19=" "," ",(F19/$E$11))," ")</f>
        <v xml:space="preserve"> </v>
      </c>
    </row>
    <row r="20" spans="2:7" x14ac:dyDescent="0.35">
      <c r="B20" s="59" t="s">
        <v>326</v>
      </c>
      <c r="C20" s="66"/>
      <c r="D20" s="59" t="str">
        <f>IFERROR(VLOOKUP(C20,Codes!$F$2:$I$64,4,FALSE),"&lt;--Select Here")</f>
        <v>&lt;--Select Here</v>
      </c>
      <c r="E20" s="64"/>
      <c r="F20" s="65"/>
      <c r="G20" s="135" t="str">
        <f t="shared" si="0"/>
        <v xml:space="preserve"> </v>
      </c>
    </row>
    <row r="21" spans="2:7" x14ac:dyDescent="0.35">
      <c r="B21" s="59" t="s">
        <v>327</v>
      </c>
      <c r="C21" s="66"/>
      <c r="D21" s="59" t="str">
        <f>IFERROR(VLOOKUP(C21,Codes!$F$2:$I$64,4,FALSE),"&lt;--Select Here")</f>
        <v>&lt;--Select Here</v>
      </c>
      <c r="E21" s="64"/>
      <c r="F21" s="65"/>
      <c r="G21" s="135" t="str">
        <f t="shared" si="0"/>
        <v xml:space="preserve"> </v>
      </c>
    </row>
    <row r="22" spans="2:7" x14ac:dyDescent="0.35">
      <c r="B22" s="59" t="s">
        <v>328</v>
      </c>
      <c r="C22" s="66"/>
      <c r="D22" s="59" t="str">
        <f>IFERROR(VLOOKUP(C22,Codes!$F$2:$I$64,4,FALSE),"&lt;--Select Here")</f>
        <v>&lt;--Select Here</v>
      </c>
      <c r="E22" s="64"/>
      <c r="F22" s="65"/>
      <c r="G22" s="135" t="str">
        <f t="shared" si="0"/>
        <v xml:space="preserve"> </v>
      </c>
    </row>
    <row r="23" spans="2:7" x14ac:dyDescent="0.35">
      <c r="B23" s="59" t="s">
        <v>329</v>
      </c>
      <c r="C23" s="66"/>
      <c r="D23" s="59" t="str">
        <f>IFERROR(VLOOKUP(C23,Codes!$F$2:$I$64,4,FALSE),"&lt;--Select Here")</f>
        <v>&lt;--Select Here</v>
      </c>
      <c r="E23" s="64"/>
      <c r="F23" s="65"/>
      <c r="G23" s="135" t="str">
        <f t="shared" si="0"/>
        <v xml:space="preserve"> </v>
      </c>
    </row>
    <row r="24" spans="2:7" x14ac:dyDescent="0.35">
      <c r="B24" s="59" t="s">
        <v>330</v>
      </c>
      <c r="C24" s="66"/>
      <c r="D24" s="59" t="str">
        <f>IFERROR(VLOOKUP(C24,Codes!$F$2:$I$64,4,FALSE),"&lt;--Select Here")</f>
        <v>&lt;--Select Here</v>
      </c>
      <c r="E24" s="64"/>
      <c r="F24" s="65"/>
      <c r="G24" s="135" t="str">
        <f t="shared" si="0"/>
        <v xml:space="preserve"> </v>
      </c>
    </row>
    <row r="25" spans="2:7" x14ac:dyDescent="0.35">
      <c r="B25" s="59" t="s">
        <v>331</v>
      </c>
      <c r="C25" s="66"/>
      <c r="D25" s="59" t="str">
        <f>IFERROR(VLOOKUP(C25,Codes!$F$2:$I$64,4,FALSE),"&lt;--Select Here")</f>
        <v>&lt;--Select Here</v>
      </c>
      <c r="E25" s="64"/>
      <c r="F25" s="65"/>
      <c r="G25" s="135" t="str">
        <f t="shared" si="0"/>
        <v xml:space="preserve"> </v>
      </c>
    </row>
    <row r="26" spans="2:7" x14ac:dyDescent="0.35">
      <c r="B26" s="59" t="s">
        <v>332</v>
      </c>
      <c r="C26" s="66"/>
      <c r="D26" s="59" t="str">
        <f>IFERROR(VLOOKUP(C27,Codes!$F$2:$I$64,4,FALSE),"&lt;--Select Here")</f>
        <v>&lt;--Select Here</v>
      </c>
      <c r="E26" s="64"/>
      <c r="F26" s="65"/>
      <c r="G26" s="135" t="str">
        <f t="shared" si="0"/>
        <v xml:space="preserve"> </v>
      </c>
    </row>
    <row r="27" spans="2:7" x14ac:dyDescent="0.35">
      <c r="B27" s="59" t="s">
        <v>333</v>
      </c>
      <c r="C27" s="66"/>
      <c r="D27" s="59" t="str">
        <f>IFERROR(VLOOKUP(C28,Codes!$F$2:$I$64,4,FALSE),"&lt;--Select Here")</f>
        <v>&lt;--Select Here</v>
      </c>
      <c r="E27" s="64"/>
      <c r="F27" s="65"/>
      <c r="G27" s="135" t="str">
        <f t="shared" si="0"/>
        <v xml:space="preserve"> </v>
      </c>
    </row>
    <row r="28" spans="2:7" x14ac:dyDescent="0.35">
      <c r="B28" s="59" t="s">
        <v>338</v>
      </c>
      <c r="C28" s="66"/>
      <c r="D28" s="59" t="str">
        <f>IFERROR(VLOOKUP(C29,Codes!$F$2:$I$64,4,FALSE),"&lt;--Select Here")</f>
        <v>&lt;--Select Here</v>
      </c>
      <c r="E28" s="64"/>
      <c r="F28" s="65"/>
      <c r="G28" s="135" t="str">
        <f t="shared" si="0"/>
        <v xml:space="preserve"> </v>
      </c>
    </row>
    <row r="29" spans="2:7" x14ac:dyDescent="0.35">
      <c r="B29" s="59" t="s">
        <v>339</v>
      </c>
      <c r="C29" s="66"/>
      <c r="D29" s="59" t="str">
        <f>IFERROR(VLOOKUP(C30,Codes!$F$2:$I$64,4,FALSE),"&lt;--Select Here")</f>
        <v>&lt;--Select Here</v>
      </c>
      <c r="E29" s="64"/>
      <c r="F29" s="65"/>
      <c r="G29" s="135" t="str">
        <f t="shared" si="0"/>
        <v xml:space="preserve"> </v>
      </c>
    </row>
    <row r="30" spans="2:7" x14ac:dyDescent="0.35">
      <c r="B30" s="59" t="s">
        <v>340</v>
      </c>
      <c r="C30" s="66"/>
      <c r="D30" s="59" t="str">
        <f>IFERROR(VLOOKUP(C31,Codes!$F$2:$I$64,4,FALSE),"&lt;--Select Here")</f>
        <v>&lt;--Select Here</v>
      </c>
      <c r="E30" s="64"/>
      <c r="F30" s="65"/>
      <c r="G30" s="135" t="str">
        <f t="shared" si="0"/>
        <v xml:space="preserve"> </v>
      </c>
    </row>
    <row r="31" spans="2:7" x14ac:dyDescent="0.35">
      <c r="B31" s="59" t="s">
        <v>341</v>
      </c>
      <c r="C31" s="66"/>
      <c r="D31" s="59" t="str">
        <f>IFERROR(VLOOKUP(C32,Codes!$F$2:$I$64,4,FALSE),"&lt;--Select Here")</f>
        <v>&lt;--Select Here</v>
      </c>
      <c r="E31" s="64"/>
      <c r="F31" s="65"/>
      <c r="G31" s="135" t="str">
        <f t="shared" si="0"/>
        <v xml:space="preserve"> </v>
      </c>
    </row>
    <row r="32" spans="2:7" x14ac:dyDescent="0.35">
      <c r="B32" s="59" t="s">
        <v>342</v>
      </c>
      <c r="C32" s="66"/>
      <c r="D32" s="59" t="str">
        <f>IFERROR(VLOOKUP(C33,Codes!$F$2:$I$64,4,FALSE),"&lt;--Select Here")</f>
        <v>&lt;--Select Here</v>
      </c>
      <c r="E32" s="64"/>
      <c r="F32" s="65"/>
      <c r="G32" s="135" t="str">
        <f t="shared" si="0"/>
        <v xml:space="preserve"> </v>
      </c>
    </row>
    <row r="33" spans="2:7" x14ac:dyDescent="0.35">
      <c r="B33" s="59" t="s">
        <v>343</v>
      </c>
      <c r="C33" s="66"/>
      <c r="D33" s="59" t="str">
        <f>IFERROR(VLOOKUP(C33,Codes!$F$2:$I$64,4,FALSE),"&lt;--Select Here")</f>
        <v>&lt;--Select Here</v>
      </c>
      <c r="E33" s="64"/>
      <c r="F33" s="65"/>
      <c r="G33" s="135" t="str">
        <f t="shared" si="0"/>
        <v xml:space="preserve"> </v>
      </c>
    </row>
    <row r="34" spans="2:7" x14ac:dyDescent="0.35">
      <c r="B34" s="59" t="s">
        <v>344</v>
      </c>
      <c r="C34" s="66"/>
      <c r="D34" s="59" t="str">
        <f>IFERROR(VLOOKUP(C34,Codes!$F$2:$I$64,4,FALSE),"&lt;--Select Here")</f>
        <v>&lt;--Select Here</v>
      </c>
      <c r="E34" s="64"/>
      <c r="F34" s="65"/>
      <c r="G34" s="135" t="str">
        <f t="shared" si="0"/>
        <v xml:space="preserve"> </v>
      </c>
    </row>
    <row r="35" spans="2:7" x14ac:dyDescent="0.35">
      <c r="B35" s="59" t="s">
        <v>345</v>
      </c>
      <c r="C35" s="66"/>
      <c r="D35" s="59" t="str">
        <f>IFERROR(VLOOKUP(C35,Codes!$F$2:$I$64,4,FALSE),"&lt;--Select Here")</f>
        <v>&lt;--Select Here</v>
      </c>
      <c r="E35" s="64"/>
      <c r="F35" s="65"/>
      <c r="G35" s="135" t="str">
        <f t="shared" si="0"/>
        <v xml:space="preserve"> </v>
      </c>
    </row>
    <row r="36" spans="2:7" x14ac:dyDescent="0.35">
      <c r="B36" s="59" t="s">
        <v>346</v>
      </c>
      <c r="C36" s="66"/>
      <c r="D36" s="59" t="str">
        <f>IFERROR(VLOOKUP(C36,Codes!$F$2:$I$64,4,FALSE),"&lt;--Select Here")</f>
        <v>&lt;--Select Here</v>
      </c>
      <c r="E36" s="64"/>
      <c r="F36" s="65"/>
      <c r="G36" s="135" t="str">
        <f t="shared" si="0"/>
        <v xml:space="preserve"> </v>
      </c>
    </row>
    <row r="37" spans="2:7" x14ac:dyDescent="0.35">
      <c r="B37" s="59" t="s">
        <v>347</v>
      </c>
      <c r="C37" s="66"/>
      <c r="D37" s="59" t="str">
        <f>IFERROR(VLOOKUP(C37,Codes!$F$2:$I$64,4,FALSE),"&lt;--Select Here")</f>
        <v>&lt;--Select Here</v>
      </c>
      <c r="E37" s="64"/>
      <c r="F37" s="65"/>
      <c r="G37" s="135" t="str">
        <f t="shared" si="0"/>
        <v xml:space="preserve"> </v>
      </c>
    </row>
    <row r="38" spans="2:7" x14ac:dyDescent="0.35">
      <c r="B38" s="59" t="s">
        <v>348</v>
      </c>
      <c r="C38" s="66"/>
      <c r="D38" s="59" t="str">
        <f>IFERROR(VLOOKUP(C38,Codes!$F$2:$I$64,4,FALSE),"&lt;--Select Here")</f>
        <v>&lt;--Select Here</v>
      </c>
      <c r="E38" s="64"/>
      <c r="F38" s="65"/>
      <c r="G38" s="135" t="str">
        <f t="shared" si="0"/>
        <v xml:space="preserve"> </v>
      </c>
    </row>
    <row r="39" spans="2:7" x14ac:dyDescent="0.35">
      <c r="B39" s="59" t="s">
        <v>349</v>
      </c>
      <c r="C39" s="66"/>
      <c r="D39" s="59" t="str">
        <f>IFERROR(VLOOKUP(C39,Codes!$F$2:$I$64,4,FALSE),"&lt;--Select Here")</f>
        <v>&lt;--Select Here</v>
      </c>
      <c r="E39" s="64"/>
      <c r="F39" s="65"/>
      <c r="G39" s="135" t="str">
        <f t="shared" si="0"/>
        <v xml:space="preserve"> </v>
      </c>
    </row>
    <row r="40" spans="2:7" x14ac:dyDescent="0.35">
      <c r="B40" s="59" t="s">
        <v>350</v>
      </c>
      <c r="C40" s="66"/>
      <c r="D40" s="59" t="str">
        <f>IFERROR(VLOOKUP(C40,Codes!$F$2:$I$64,4,FALSE),"&lt;--Select Here")</f>
        <v>&lt;--Select Here</v>
      </c>
      <c r="E40" s="64"/>
      <c r="F40" s="65"/>
      <c r="G40" s="135" t="str">
        <f t="shared" si="0"/>
        <v xml:space="preserve"> </v>
      </c>
    </row>
    <row r="41" spans="2:7" x14ac:dyDescent="0.35">
      <c r="B41" s="59" t="s">
        <v>351</v>
      </c>
      <c r="C41" s="66"/>
      <c r="D41" s="59" t="str">
        <f>IFERROR(VLOOKUP(C41,Codes!$F$2:$I$64,4,FALSE),"&lt;--Select Here")</f>
        <v>&lt;--Select Here</v>
      </c>
      <c r="E41" s="64"/>
      <c r="F41" s="65"/>
      <c r="G41" s="135" t="str">
        <f t="shared" si="0"/>
        <v xml:space="preserve"> </v>
      </c>
    </row>
    <row r="42" spans="2:7" x14ac:dyDescent="0.35">
      <c r="B42" s="59" t="s">
        <v>352</v>
      </c>
      <c r="C42" s="66"/>
      <c r="D42" s="59" t="str">
        <f>IFERROR(VLOOKUP(C42,Codes!$F$2:$I$64,4,FALSE),"&lt;--Select Here")</f>
        <v>&lt;--Select Here</v>
      </c>
      <c r="E42" s="64"/>
      <c r="F42" s="65"/>
      <c r="G42" s="135" t="str">
        <f t="shared" si="0"/>
        <v xml:space="preserve"> </v>
      </c>
    </row>
    <row r="43" spans="2:7" x14ac:dyDescent="0.35">
      <c r="B43" s="59" t="s">
        <v>353</v>
      </c>
      <c r="C43" s="66"/>
      <c r="D43" s="59" t="str">
        <f>IFERROR(VLOOKUP(C43,Codes!$F$2:$I$64,4,FALSE),"&lt;--Select Here")</f>
        <v>&lt;--Select Here</v>
      </c>
      <c r="E43" s="64"/>
      <c r="F43" s="65"/>
      <c r="G43" s="135" t="str">
        <f t="shared" si="0"/>
        <v xml:space="preserve"> </v>
      </c>
    </row>
    <row r="44" spans="2:7" x14ac:dyDescent="0.35">
      <c r="B44" s="59" t="s">
        <v>354</v>
      </c>
      <c r="C44" s="66"/>
      <c r="D44" s="59" t="str">
        <f>IFERROR(VLOOKUP(C44,Codes!$F$2:$I$64,4,FALSE),"&lt;--Select Here")</f>
        <v>&lt;--Select Here</v>
      </c>
      <c r="E44" s="64"/>
      <c r="F44" s="65"/>
      <c r="G44" s="135" t="str">
        <f t="shared" si="0"/>
        <v xml:space="preserve"> </v>
      </c>
    </row>
    <row r="45" spans="2:7" x14ac:dyDescent="0.35">
      <c r="B45" s="59" t="s">
        <v>355</v>
      </c>
      <c r="C45" s="66"/>
      <c r="D45" s="59" t="str">
        <f>IFERROR(VLOOKUP(C45,Codes!$F$2:$I$64,4,FALSE),"&lt;--Select Here")</f>
        <v>&lt;--Select Here</v>
      </c>
      <c r="E45" s="64"/>
      <c r="F45" s="65"/>
      <c r="G45" s="135" t="str">
        <f t="shared" si="0"/>
        <v xml:space="preserve"> </v>
      </c>
    </row>
    <row r="46" spans="2:7" x14ac:dyDescent="0.35">
      <c r="B46" s="59" t="s">
        <v>356</v>
      </c>
      <c r="C46" s="66"/>
      <c r="D46" s="59" t="str">
        <f>IFERROR(VLOOKUP(C46,Codes!$F$2:$I$64,4,FALSE),"&lt;--Select Here")</f>
        <v>&lt;--Select Here</v>
      </c>
      <c r="E46" s="64"/>
      <c r="F46" s="65"/>
      <c r="G46" s="135" t="str">
        <f t="shared" si="0"/>
        <v xml:space="preserve"> </v>
      </c>
    </row>
    <row r="47" spans="2:7" x14ac:dyDescent="0.35">
      <c r="B47" s="59" t="s">
        <v>357</v>
      </c>
      <c r="C47" s="66"/>
      <c r="D47" s="59" t="str">
        <f>IFERROR(VLOOKUP(C47,Codes!$F$2:$I$64,4,FALSE),"&lt;--Select Here")</f>
        <v>&lt;--Select Here</v>
      </c>
      <c r="E47" s="64"/>
      <c r="F47" s="65"/>
      <c r="G47" s="135" t="str">
        <f t="shared" si="0"/>
        <v xml:space="preserve"> </v>
      </c>
    </row>
    <row r="48" spans="2:7" x14ac:dyDescent="0.35">
      <c r="B48" s="59" t="s">
        <v>358</v>
      </c>
      <c r="C48" s="66"/>
      <c r="D48" s="59" t="str">
        <f>IFERROR(VLOOKUP(C48,Codes!$F$2:$I$64,4,FALSE),"&lt;--Select Here")</f>
        <v>&lt;--Select Here</v>
      </c>
      <c r="E48" s="64"/>
      <c r="F48" s="65"/>
      <c r="G48" s="135" t="str">
        <f t="shared" si="0"/>
        <v xml:space="preserve"> </v>
      </c>
    </row>
    <row r="49" spans="2:7" x14ac:dyDescent="0.35">
      <c r="B49" s="59" t="s">
        <v>359</v>
      </c>
      <c r="C49" s="66"/>
      <c r="D49" s="59" t="str">
        <f>IFERROR(VLOOKUP(C49,Codes!$F$2:$I$64,4,FALSE),"&lt;--Select Here")</f>
        <v>&lt;--Select Here</v>
      </c>
      <c r="E49" s="64"/>
      <c r="F49" s="65"/>
      <c r="G49" s="135" t="str">
        <f t="shared" si="0"/>
        <v xml:space="preserve"> </v>
      </c>
    </row>
    <row r="50" spans="2:7" x14ac:dyDescent="0.35">
      <c r="B50" s="59" t="s">
        <v>360</v>
      </c>
      <c r="C50" s="66"/>
      <c r="D50" s="59" t="str">
        <f>IFERROR(VLOOKUP(C50,Codes!$F$2:$I$64,4,FALSE),"&lt;--Select Here")</f>
        <v>&lt;--Select Here</v>
      </c>
      <c r="E50" s="64"/>
      <c r="F50" s="65"/>
      <c r="G50" s="135" t="str">
        <f t="shared" si="0"/>
        <v xml:space="preserve"> </v>
      </c>
    </row>
    <row r="51" spans="2:7" x14ac:dyDescent="0.35">
      <c r="B51" s="59" t="s">
        <v>361</v>
      </c>
      <c r="C51" s="66"/>
      <c r="D51" s="59" t="str">
        <f>IFERROR(VLOOKUP(C51,Codes!$F$2:$I$64,4,FALSE),"&lt;--Select Here")</f>
        <v>&lt;--Select Here</v>
      </c>
      <c r="E51" s="64"/>
      <c r="F51" s="65"/>
      <c r="G51" s="135" t="str">
        <f t="shared" si="0"/>
        <v xml:space="preserve"> </v>
      </c>
    </row>
    <row r="52" spans="2:7" x14ac:dyDescent="0.35">
      <c r="B52" s="59" t="s">
        <v>362</v>
      </c>
      <c r="C52" s="66"/>
      <c r="D52" s="59" t="str">
        <f>IFERROR(VLOOKUP(C52,Codes!$F$2:$I$64,4,FALSE),"&lt;--Select Here")</f>
        <v>&lt;--Select Here</v>
      </c>
      <c r="E52" s="64"/>
      <c r="F52" s="65"/>
      <c r="G52" s="135" t="str">
        <f t="shared" si="0"/>
        <v xml:space="preserve"> </v>
      </c>
    </row>
    <row r="53" spans="2:7" x14ac:dyDescent="0.35">
      <c r="B53" s="59" t="s">
        <v>363</v>
      </c>
      <c r="C53" s="66"/>
      <c r="D53" s="59" t="str">
        <f>IFERROR(VLOOKUP(C53,Codes!$F$2:$I$64,4,FALSE),"&lt;--Select Here")</f>
        <v>&lt;--Select Here</v>
      </c>
      <c r="E53" s="64"/>
      <c r="F53" s="65"/>
      <c r="G53" s="135" t="str">
        <f t="shared" si="0"/>
        <v xml:space="preserve"> </v>
      </c>
    </row>
    <row r="54" spans="2:7" x14ac:dyDescent="0.35">
      <c r="B54" s="59" t="s">
        <v>364</v>
      </c>
      <c r="C54" s="66"/>
      <c r="D54" s="59" t="str">
        <f>IFERROR(VLOOKUP(C54,Codes!$F$2:$I$64,4,FALSE),"&lt;--Select Here")</f>
        <v>&lt;--Select Here</v>
      </c>
      <c r="E54" s="64"/>
      <c r="F54" s="65"/>
      <c r="G54" s="135" t="str">
        <f t="shared" si="0"/>
        <v xml:space="preserve"> </v>
      </c>
    </row>
    <row r="55" spans="2:7" x14ac:dyDescent="0.35">
      <c r="B55" s="59" t="s">
        <v>365</v>
      </c>
      <c r="C55" s="66"/>
      <c r="D55" s="59" t="str">
        <f>IFERROR(VLOOKUP(C55,Codes!$F$2:$I$64,4,FALSE),"&lt;--Select Here")</f>
        <v>&lt;--Select Here</v>
      </c>
      <c r="E55" s="64"/>
      <c r="F55" s="65"/>
      <c r="G55" s="135" t="str">
        <f t="shared" si="0"/>
        <v xml:space="preserve"> </v>
      </c>
    </row>
    <row r="56" spans="2:7" x14ac:dyDescent="0.35">
      <c r="B56" s="59" t="s">
        <v>366</v>
      </c>
      <c r="C56" s="66"/>
      <c r="D56" s="59" t="str">
        <f>IFERROR(VLOOKUP(C56,Codes!$F$2:$I$64,4,FALSE),"&lt;--Select Here")</f>
        <v>&lt;--Select Here</v>
      </c>
      <c r="E56" s="64"/>
      <c r="F56" s="65"/>
      <c r="G56" s="135" t="str">
        <f t="shared" si="0"/>
        <v xml:space="preserve"> </v>
      </c>
    </row>
    <row r="57" spans="2:7" x14ac:dyDescent="0.35">
      <c r="B57" s="59" t="s">
        <v>367</v>
      </c>
      <c r="C57" s="66"/>
      <c r="D57" s="59" t="str">
        <f>IFERROR(VLOOKUP(C57,Codes!$F$2:$I$64,4,FALSE),"&lt;--Select Here")</f>
        <v>&lt;--Select Here</v>
      </c>
      <c r="E57" s="64"/>
      <c r="F57" s="65"/>
      <c r="G57" s="135" t="str">
        <f t="shared" si="0"/>
        <v xml:space="preserve"> </v>
      </c>
    </row>
    <row r="58" spans="2:7" x14ac:dyDescent="0.35">
      <c r="B58" s="59" t="s">
        <v>368</v>
      </c>
      <c r="C58" s="66"/>
      <c r="D58" s="59" t="str">
        <f>IFERROR(VLOOKUP(C58,Codes!$F$2:$I$64,4,FALSE),"&lt;--Select Here")</f>
        <v>&lt;--Select Here</v>
      </c>
      <c r="E58" s="64"/>
      <c r="F58" s="65"/>
      <c r="G58" s="135" t="str">
        <f t="shared" si="0"/>
        <v xml:space="preserve"> </v>
      </c>
    </row>
    <row r="59" spans="2:7" x14ac:dyDescent="0.35">
      <c r="B59" s="59" t="s">
        <v>369</v>
      </c>
      <c r="C59" s="66"/>
      <c r="D59" s="59" t="str">
        <f>IFERROR(VLOOKUP(C59,Codes!$F$2:$I$64,4,FALSE),"&lt;--Select Here")</f>
        <v>&lt;--Select Here</v>
      </c>
      <c r="E59" s="64"/>
      <c r="F59" s="65"/>
      <c r="G59" s="135" t="str">
        <f t="shared" si="0"/>
        <v xml:space="preserve"> </v>
      </c>
    </row>
    <row r="60" spans="2:7" x14ac:dyDescent="0.35">
      <c r="B60" s="59" t="s">
        <v>370</v>
      </c>
      <c r="C60" s="66"/>
      <c r="D60" s="59" t="str">
        <f>IFERROR(VLOOKUP(C60,Codes!$F$2:$I$64,4,FALSE),"&lt;--Select Here")</f>
        <v>&lt;--Select Here</v>
      </c>
      <c r="E60" s="64"/>
      <c r="F60" s="65"/>
      <c r="G60" s="135" t="str">
        <f t="shared" si="0"/>
        <v xml:space="preserve"> </v>
      </c>
    </row>
    <row r="61" spans="2:7" x14ac:dyDescent="0.35">
      <c r="B61" s="59" t="s">
        <v>371</v>
      </c>
      <c r="C61" s="66"/>
      <c r="D61" s="59" t="str">
        <f>IFERROR(VLOOKUP(C61,Codes!$F$2:$I$64,4,FALSE),"&lt;--Select Here")</f>
        <v>&lt;--Select Here</v>
      </c>
      <c r="E61" s="64"/>
      <c r="F61" s="65"/>
      <c r="G61" s="135" t="str">
        <f t="shared" si="0"/>
        <v xml:space="preserve"> </v>
      </c>
    </row>
    <row r="62" spans="2:7" x14ac:dyDescent="0.35">
      <c r="B62" s="59" t="s">
        <v>372</v>
      </c>
      <c r="C62" s="66"/>
      <c r="D62" s="59" t="str">
        <f>IFERROR(VLOOKUP(C62,Codes!$F$2:$I$64,4,FALSE),"&lt;--Select Here")</f>
        <v>&lt;--Select Here</v>
      </c>
      <c r="E62" s="64"/>
      <c r="F62" s="65"/>
      <c r="G62" s="135" t="str">
        <f t="shared" si="0"/>
        <v xml:space="preserve"> </v>
      </c>
    </row>
    <row r="63" spans="2:7" x14ac:dyDescent="0.35">
      <c r="B63" s="59" t="s">
        <v>373</v>
      </c>
      <c r="C63" s="66"/>
      <c r="D63" s="59" t="str">
        <f>IFERROR(VLOOKUP(C63,Codes!$F$2:$I$64,4,FALSE),"&lt;--Select Here")</f>
        <v>&lt;--Select Here</v>
      </c>
      <c r="E63" s="64"/>
      <c r="F63" s="65"/>
      <c r="G63" s="135" t="str">
        <f t="shared" si="0"/>
        <v xml:space="preserve"> </v>
      </c>
    </row>
    <row r="64" spans="2:7" x14ac:dyDescent="0.35">
      <c r="B64" s="59" t="s">
        <v>374</v>
      </c>
      <c r="C64" s="66"/>
      <c r="D64" s="59" t="str">
        <f>IFERROR(VLOOKUP(C64,Codes!$F$2:$I$64,4,FALSE),"&lt;--Select Here")</f>
        <v>&lt;--Select Here</v>
      </c>
      <c r="E64" s="64"/>
      <c r="F64" s="65"/>
      <c r="G64" s="135" t="str">
        <f t="shared" si="0"/>
        <v xml:space="preserve"> </v>
      </c>
    </row>
    <row r="65" spans="2:7" x14ac:dyDescent="0.35">
      <c r="B65" s="59" t="s">
        <v>375</v>
      </c>
      <c r="C65" s="66"/>
      <c r="D65" s="59" t="str">
        <f>IFERROR(VLOOKUP(C65,Codes!$F$2:$I$64,4,FALSE),"&lt;--Select Here")</f>
        <v>&lt;--Select Here</v>
      </c>
      <c r="E65" s="64"/>
      <c r="F65" s="65"/>
      <c r="G65" s="135" t="str">
        <f t="shared" si="0"/>
        <v xml:space="preserve"> </v>
      </c>
    </row>
    <row r="66" spans="2:7" x14ac:dyDescent="0.35">
      <c r="B66" s="59" t="s">
        <v>376</v>
      </c>
      <c r="C66" s="66"/>
      <c r="D66" s="59" t="str">
        <f>IFERROR(VLOOKUP(C66,Codes!$F$2:$I$64,4,FALSE),"&lt;--Select Here")</f>
        <v>&lt;--Select Here</v>
      </c>
      <c r="E66" s="64"/>
      <c r="F66" s="65"/>
      <c r="G66" s="135" t="str">
        <f t="shared" si="0"/>
        <v xml:space="preserve"> </v>
      </c>
    </row>
    <row r="67" spans="2:7" x14ac:dyDescent="0.35">
      <c r="B67" s="59" t="s">
        <v>377</v>
      </c>
      <c r="C67" s="66"/>
      <c r="D67" s="59" t="str">
        <f>IFERROR(VLOOKUP(C67,Codes!$F$2:$I$64,4,FALSE),"&lt;--Select Here")</f>
        <v>&lt;--Select Here</v>
      </c>
      <c r="E67" s="64"/>
      <c r="F67" s="65"/>
      <c r="G67" s="135" t="str">
        <f t="shared" si="0"/>
        <v xml:space="preserve"> </v>
      </c>
    </row>
    <row r="68" spans="2:7" x14ac:dyDescent="0.35">
      <c r="C68" s="62"/>
      <c r="E68" s="183" t="s">
        <v>1036</v>
      </c>
      <c r="F68" s="183"/>
      <c r="G68" s="134">
        <f>SUM(G18:G67)</f>
        <v>0</v>
      </c>
    </row>
    <row r="69" spans="2:7" x14ac:dyDescent="0.35">
      <c r="C69" s="62"/>
      <c r="E69" s="183" t="s">
        <v>1042</v>
      </c>
      <c r="F69" s="183"/>
      <c r="G69" s="141">
        <f>E7</f>
        <v>0</v>
      </c>
    </row>
    <row r="70" spans="2:7" x14ac:dyDescent="0.35">
      <c r="C70" s="62"/>
      <c r="E70" s="183" t="s">
        <v>1037</v>
      </c>
      <c r="F70" s="183"/>
      <c r="G70" s="134">
        <f>IF(G68&lt;G69,0,(IFERROR(G68-G69,0)))</f>
        <v>0</v>
      </c>
    </row>
    <row r="71" spans="2:7" x14ac:dyDescent="0.35">
      <c r="C71" s="62"/>
      <c r="E71" s="183" t="s">
        <v>1038</v>
      </c>
      <c r="F71" s="183"/>
      <c r="G71" s="134">
        <f>IF(G68=0,0,G70*E11)</f>
        <v>0</v>
      </c>
    </row>
    <row r="73" spans="2:7" ht="18.5" x14ac:dyDescent="0.45">
      <c r="B73" s="194" t="s">
        <v>334</v>
      </c>
      <c r="C73" s="195"/>
      <c r="D73" s="195"/>
      <c r="E73" s="195"/>
      <c r="F73" s="195"/>
      <c r="G73" s="196"/>
    </row>
    <row r="74" spans="2:7" x14ac:dyDescent="0.35">
      <c r="B74" s="145"/>
      <c r="C74" s="146"/>
      <c r="D74" s="146"/>
      <c r="E74" s="193" t="s">
        <v>1058</v>
      </c>
      <c r="F74" s="197"/>
      <c r="G74" s="147">
        <f>E12</f>
        <v>0</v>
      </c>
    </row>
    <row r="75" spans="2:7" s="139" customFormat="1" ht="29" x14ac:dyDescent="0.35">
      <c r="B75" s="133"/>
      <c r="C75" s="138" t="s">
        <v>324</v>
      </c>
      <c r="D75" s="60" t="s">
        <v>337</v>
      </c>
      <c r="E75" s="138" t="s">
        <v>378</v>
      </c>
      <c r="F75" s="137" t="s">
        <v>1049</v>
      </c>
      <c r="G75" s="137" t="s">
        <v>1050</v>
      </c>
    </row>
    <row r="76" spans="2:7" x14ac:dyDescent="0.35">
      <c r="B76" s="59" t="s">
        <v>288</v>
      </c>
      <c r="C76" s="66"/>
      <c r="D76" s="59" t="str">
        <f>IFERROR(VLOOKUP(C76,Codes!$F$2:$I$64,4,FALSE),"&lt;--Select Here")</f>
        <v>&lt;--Select Here</v>
      </c>
      <c r="E76" s="64"/>
      <c r="F76" s="65"/>
      <c r="G76" s="135" t="str">
        <f>IFERROR(IF(F76=" "," ",(F76/$E$12))," ")</f>
        <v xml:space="preserve"> </v>
      </c>
    </row>
    <row r="77" spans="2:7" x14ac:dyDescent="0.35">
      <c r="B77" s="59" t="s">
        <v>325</v>
      </c>
      <c r="C77" s="66"/>
      <c r="D77" s="59" t="str">
        <f>IFERROR(VLOOKUP(C77,Codes!$F$2:$I$64,4,FALSE),"&lt;--Select Here")</f>
        <v>&lt;--Select Here</v>
      </c>
      <c r="E77" s="64"/>
      <c r="F77" s="65"/>
      <c r="G77" s="135" t="str">
        <f t="shared" ref="G77:G125" si="1">IFERROR(IF(F77=" "," ",(F77/$E$12))," ")</f>
        <v xml:space="preserve"> </v>
      </c>
    </row>
    <row r="78" spans="2:7" x14ac:dyDescent="0.35">
      <c r="B78" s="59" t="s">
        <v>326</v>
      </c>
      <c r="C78" s="66"/>
      <c r="D78" s="59" t="str">
        <f>IFERROR(VLOOKUP(C78,Codes!$F$2:$I$64,4,FALSE),"&lt;--Select Here")</f>
        <v>&lt;--Select Here</v>
      </c>
      <c r="E78" s="64"/>
      <c r="F78" s="65"/>
      <c r="G78" s="135" t="str">
        <f t="shared" si="1"/>
        <v xml:space="preserve"> </v>
      </c>
    </row>
    <row r="79" spans="2:7" x14ac:dyDescent="0.35">
      <c r="B79" s="59" t="s">
        <v>327</v>
      </c>
      <c r="C79" s="66"/>
      <c r="D79" s="59" t="str">
        <f>IFERROR(VLOOKUP(C79,Codes!$F$2:$I$64,4,FALSE),"&lt;--Select Here")</f>
        <v>&lt;--Select Here</v>
      </c>
      <c r="E79" s="64"/>
      <c r="F79" s="65"/>
      <c r="G79" s="135" t="str">
        <f t="shared" si="1"/>
        <v xml:space="preserve"> </v>
      </c>
    </row>
    <row r="80" spans="2:7" x14ac:dyDescent="0.35">
      <c r="B80" s="59" t="s">
        <v>328</v>
      </c>
      <c r="C80" s="66"/>
      <c r="D80" s="59" t="str">
        <f>IFERROR(VLOOKUP(C80,Codes!$F$2:$I$64,4,FALSE),"&lt;--Select Here")</f>
        <v>&lt;--Select Here</v>
      </c>
      <c r="E80" s="64"/>
      <c r="F80" s="65"/>
      <c r="G80" s="135" t="str">
        <f t="shared" si="1"/>
        <v xml:space="preserve"> </v>
      </c>
    </row>
    <row r="81" spans="2:7" x14ac:dyDescent="0.35">
      <c r="B81" s="59" t="s">
        <v>329</v>
      </c>
      <c r="C81" s="66"/>
      <c r="D81" s="59" t="str">
        <f>IFERROR(VLOOKUP(C81,Codes!$F$2:$I$64,4,FALSE),"&lt;--Select Here")</f>
        <v>&lt;--Select Here</v>
      </c>
      <c r="E81" s="64"/>
      <c r="F81" s="65"/>
      <c r="G81" s="135" t="str">
        <f t="shared" si="1"/>
        <v xml:space="preserve"> </v>
      </c>
    </row>
    <row r="82" spans="2:7" x14ac:dyDescent="0.35">
      <c r="B82" s="59" t="s">
        <v>330</v>
      </c>
      <c r="C82" s="66"/>
      <c r="D82" s="59" t="str">
        <f>IFERROR(VLOOKUP(C82,Codes!$F$2:$I$64,4,FALSE),"&lt;--Select Here")</f>
        <v>&lt;--Select Here</v>
      </c>
      <c r="E82" s="64"/>
      <c r="F82" s="65"/>
      <c r="G82" s="135" t="str">
        <f t="shared" si="1"/>
        <v xml:space="preserve"> </v>
      </c>
    </row>
    <row r="83" spans="2:7" x14ac:dyDescent="0.35">
      <c r="B83" s="59" t="s">
        <v>331</v>
      </c>
      <c r="C83" s="66"/>
      <c r="D83" s="59" t="str">
        <f>IFERROR(VLOOKUP(C83,Codes!$F$2:$I$64,4,FALSE),"&lt;--Select Here")</f>
        <v>&lt;--Select Here</v>
      </c>
      <c r="E83" s="64"/>
      <c r="F83" s="65"/>
      <c r="G83" s="135" t="str">
        <f t="shared" si="1"/>
        <v xml:space="preserve"> </v>
      </c>
    </row>
    <row r="84" spans="2:7" x14ac:dyDescent="0.35">
      <c r="B84" s="59" t="s">
        <v>332</v>
      </c>
      <c r="C84" s="66"/>
      <c r="D84" s="59" t="str">
        <f>IFERROR(VLOOKUP(C84,Codes!$F$2:$I$64,4,FALSE),"&lt;--Select Here")</f>
        <v>&lt;--Select Here</v>
      </c>
      <c r="E84" s="64"/>
      <c r="F84" s="65"/>
      <c r="G84" s="135" t="str">
        <f t="shared" si="1"/>
        <v xml:space="preserve"> </v>
      </c>
    </row>
    <row r="85" spans="2:7" x14ac:dyDescent="0.35">
      <c r="B85" s="59" t="s">
        <v>333</v>
      </c>
      <c r="C85" s="66"/>
      <c r="D85" s="59" t="str">
        <f>IFERROR(VLOOKUP(C85,Codes!$F$2:$I$64,4,FALSE),"&lt;--Select Here")</f>
        <v>&lt;--Select Here</v>
      </c>
      <c r="E85" s="64"/>
      <c r="F85" s="65"/>
      <c r="G85" s="135" t="str">
        <f t="shared" si="1"/>
        <v xml:space="preserve"> </v>
      </c>
    </row>
    <row r="86" spans="2:7" x14ac:dyDescent="0.35">
      <c r="B86" s="59" t="s">
        <v>338</v>
      </c>
      <c r="C86" s="66"/>
      <c r="D86" s="59" t="str">
        <f>IFERROR(VLOOKUP(C86,Codes!$F$2:$I$64,4,FALSE),"&lt;--Select Here")</f>
        <v>&lt;--Select Here</v>
      </c>
      <c r="E86" s="64"/>
      <c r="F86" s="66"/>
      <c r="G86" s="135" t="str">
        <f t="shared" si="1"/>
        <v xml:space="preserve"> </v>
      </c>
    </row>
    <row r="87" spans="2:7" x14ac:dyDescent="0.35">
      <c r="B87" s="59" t="s">
        <v>339</v>
      </c>
      <c r="C87" s="66"/>
      <c r="D87" s="59" t="str">
        <f>IFERROR(VLOOKUP(C87,Codes!$F$2:$I$64,4,FALSE),"&lt;--Select Here")</f>
        <v>&lt;--Select Here</v>
      </c>
      <c r="E87" s="64"/>
      <c r="F87" s="65"/>
      <c r="G87" s="135" t="str">
        <f t="shared" si="1"/>
        <v xml:space="preserve"> </v>
      </c>
    </row>
    <row r="88" spans="2:7" x14ac:dyDescent="0.35">
      <c r="B88" s="59" t="s">
        <v>340</v>
      </c>
      <c r="C88" s="66"/>
      <c r="D88" s="59" t="str">
        <f>IFERROR(VLOOKUP(C88,Codes!$F$2:$I$64,4,FALSE),"&lt;--Select Here")</f>
        <v>&lt;--Select Here</v>
      </c>
      <c r="E88" s="64"/>
      <c r="F88" s="65"/>
      <c r="G88" s="135" t="str">
        <f t="shared" si="1"/>
        <v xml:space="preserve"> </v>
      </c>
    </row>
    <row r="89" spans="2:7" x14ac:dyDescent="0.35">
      <c r="B89" s="59" t="s">
        <v>341</v>
      </c>
      <c r="C89" s="66"/>
      <c r="D89" s="59" t="str">
        <f>IFERROR(VLOOKUP(C89,Codes!$F$2:$I$64,4,FALSE),"&lt;--Select Here")</f>
        <v>&lt;--Select Here</v>
      </c>
      <c r="E89" s="64"/>
      <c r="F89" s="65"/>
      <c r="G89" s="135" t="str">
        <f t="shared" si="1"/>
        <v xml:space="preserve"> </v>
      </c>
    </row>
    <row r="90" spans="2:7" x14ac:dyDescent="0.35">
      <c r="B90" s="59" t="s">
        <v>342</v>
      </c>
      <c r="C90" s="66"/>
      <c r="D90" s="59" t="str">
        <f>IFERROR(VLOOKUP(C90,Codes!$F$2:$I$64,4,FALSE),"&lt;--Select Here")</f>
        <v>&lt;--Select Here</v>
      </c>
      <c r="E90" s="64"/>
      <c r="F90" s="65"/>
      <c r="G90" s="135" t="str">
        <f t="shared" si="1"/>
        <v xml:space="preserve"> </v>
      </c>
    </row>
    <row r="91" spans="2:7" x14ac:dyDescent="0.35">
      <c r="B91" s="59" t="s">
        <v>343</v>
      </c>
      <c r="C91" s="66"/>
      <c r="D91" s="59" t="str">
        <f>IFERROR(VLOOKUP(C91,Codes!$F$2:$I$64,4,FALSE),"&lt;--Select Here")</f>
        <v>&lt;--Select Here</v>
      </c>
      <c r="E91" s="64"/>
      <c r="F91" s="65"/>
      <c r="G91" s="135" t="str">
        <f t="shared" si="1"/>
        <v xml:space="preserve"> </v>
      </c>
    </row>
    <row r="92" spans="2:7" x14ac:dyDescent="0.35">
      <c r="B92" s="59" t="s">
        <v>344</v>
      </c>
      <c r="C92" s="66"/>
      <c r="D92" s="59" t="str">
        <f>IFERROR(VLOOKUP(C92,Codes!$F$2:$I$64,4,FALSE),"&lt;--Select Here")</f>
        <v>&lt;--Select Here</v>
      </c>
      <c r="E92" s="64"/>
      <c r="F92" s="65"/>
      <c r="G92" s="135" t="str">
        <f t="shared" si="1"/>
        <v xml:space="preserve"> </v>
      </c>
    </row>
    <row r="93" spans="2:7" x14ac:dyDescent="0.35">
      <c r="B93" s="59" t="s">
        <v>345</v>
      </c>
      <c r="C93" s="66"/>
      <c r="D93" s="59" t="str">
        <f>IFERROR(VLOOKUP(C93,Codes!$F$2:$I$64,4,FALSE),"&lt;--Select Here")</f>
        <v>&lt;--Select Here</v>
      </c>
      <c r="E93" s="64"/>
      <c r="F93" s="65"/>
      <c r="G93" s="135" t="str">
        <f t="shared" si="1"/>
        <v xml:space="preserve"> </v>
      </c>
    </row>
    <row r="94" spans="2:7" x14ac:dyDescent="0.35">
      <c r="B94" s="59" t="s">
        <v>346</v>
      </c>
      <c r="C94" s="66"/>
      <c r="D94" s="59" t="str">
        <f>IFERROR(VLOOKUP(C94,Codes!$F$2:$I$64,4,FALSE),"&lt;--Select Here")</f>
        <v>&lt;--Select Here</v>
      </c>
      <c r="E94" s="64"/>
      <c r="F94" s="65"/>
      <c r="G94" s="135" t="str">
        <f t="shared" si="1"/>
        <v xml:space="preserve"> </v>
      </c>
    </row>
    <row r="95" spans="2:7" x14ac:dyDescent="0.35">
      <c r="B95" s="59" t="s">
        <v>347</v>
      </c>
      <c r="C95" s="66"/>
      <c r="D95" s="59" t="str">
        <f>IFERROR(VLOOKUP(C95,Codes!$F$2:$I$64,4,FALSE),"&lt;--Select Here")</f>
        <v>&lt;--Select Here</v>
      </c>
      <c r="E95" s="64"/>
      <c r="F95" s="65"/>
      <c r="G95" s="135" t="str">
        <f t="shared" si="1"/>
        <v xml:space="preserve"> </v>
      </c>
    </row>
    <row r="96" spans="2:7" x14ac:dyDescent="0.35">
      <c r="B96" s="59" t="s">
        <v>348</v>
      </c>
      <c r="C96" s="66"/>
      <c r="D96" s="59" t="str">
        <f>IFERROR(VLOOKUP(C96,Codes!$F$2:$I$64,4,FALSE),"&lt;--Select Here")</f>
        <v>&lt;--Select Here</v>
      </c>
      <c r="E96" s="64"/>
      <c r="F96" s="65"/>
      <c r="G96" s="135" t="str">
        <f t="shared" si="1"/>
        <v xml:space="preserve"> </v>
      </c>
    </row>
    <row r="97" spans="2:7" x14ac:dyDescent="0.35">
      <c r="B97" s="59" t="s">
        <v>349</v>
      </c>
      <c r="C97" s="66"/>
      <c r="D97" s="59" t="str">
        <f>IFERROR(VLOOKUP(C97,Codes!$F$2:$I$64,4,FALSE),"&lt;--Select Here")</f>
        <v>&lt;--Select Here</v>
      </c>
      <c r="E97" s="64"/>
      <c r="F97" s="65"/>
      <c r="G97" s="135" t="str">
        <f t="shared" si="1"/>
        <v xml:space="preserve"> </v>
      </c>
    </row>
    <row r="98" spans="2:7" x14ac:dyDescent="0.35">
      <c r="B98" s="59" t="s">
        <v>350</v>
      </c>
      <c r="C98" s="66"/>
      <c r="D98" s="59" t="str">
        <f>IFERROR(VLOOKUP(C98,Codes!$F$2:$I$64,4,FALSE),"&lt;--Select Here")</f>
        <v>&lt;--Select Here</v>
      </c>
      <c r="E98" s="64"/>
      <c r="F98" s="65"/>
      <c r="G98" s="135" t="str">
        <f t="shared" si="1"/>
        <v xml:space="preserve"> </v>
      </c>
    </row>
    <row r="99" spans="2:7" x14ac:dyDescent="0.35">
      <c r="B99" s="59" t="s">
        <v>351</v>
      </c>
      <c r="C99" s="66"/>
      <c r="D99" s="59" t="str">
        <f>IFERROR(VLOOKUP(C99,Codes!$F$2:$I$64,4,FALSE),"&lt;--Select Here")</f>
        <v>&lt;--Select Here</v>
      </c>
      <c r="E99" s="64"/>
      <c r="F99" s="65"/>
      <c r="G99" s="135" t="str">
        <f t="shared" si="1"/>
        <v xml:space="preserve"> </v>
      </c>
    </row>
    <row r="100" spans="2:7" x14ac:dyDescent="0.35">
      <c r="B100" s="59" t="s">
        <v>352</v>
      </c>
      <c r="C100" s="66"/>
      <c r="D100" s="59" t="str">
        <f>IFERROR(VLOOKUP(C100,Codes!$F$2:$I$64,4,FALSE),"&lt;--Select Here")</f>
        <v>&lt;--Select Here</v>
      </c>
      <c r="E100" s="64"/>
      <c r="F100" s="65"/>
      <c r="G100" s="135" t="str">
        <f t="shared" si="1"/>
        <v xml:space="preserve"> </v>
      </c>
    </row>
    <row r="101" spans="2:7" x14ac:dyDescent="0.35">
      <c r="B101" s="59" t="s">
        <v>353</v>
      </c>
      <c r="C101" s="66"/>
      <c r="D101" s="59" t="str">
        <f>IFERROR(VLOOKUP(C101,Codes!$F$2:$I$64,4,FALSE),"&lt;--Select Here")</f>
        <v>&lt;--Select Here</v>
      </c>
      <c r="E101" s="64"/>
      <c r="F101" s="65"/>
      <c r="G101" s="135" t="str">
        <f t="shared" si="1"/>
        <v xml:space="preserve"> </v>
      </c>
    </row>
    <row r="102" spans="2:7" x14ac:dyDescent="0.35">
      <c r="B102" s="59" t="s">
        <v>354</v>
      </c>
      <c r="C102" s="66"/>
      <c r="D102" s="59" t="str">
        <f>IFERROR(VLOOKUP(C102,Codes!$F$2:$I$64,4,FALSE),"&lt;--Select Here")</f>
        <v>&lt;--Select Here</v>
      </c>
      <c r="E102" s="64"/>
      <c r="F102" s="65"/>
      <c r="G102" s="135" t="str">
        <f t="shared" si="1"/>
        <v xml:space="preserve"> </v>
      </c>
    </row>
    <row r="103" spans="2:7" x14ac:dyDescent="0.35">
      <c r="B103" s="59" t="s">
        <v>355</v>
      </c>
      <c r="C103" s="66"/>
      <c r="D103" s="59" t="str">
        <f>IFERROR(VLOOKUP(C103,Codes!$F$2:$I$64,4,FALSE),"&lt;--Select Here")</f>
        <v>&lt;--Select Here</v>
      </c>
      <c r="E103" s="64"/>
      <c r="F103" s="65"/>
      <c r="G103" s="135" t="str">
        <f t="shared" si="1"/>
        <v xml:space="preserve"> </v>
      </c>
    </row>
    <row r="104" spans="2:7" x14ac:dyDescent="0.35">
      <c r="B104" s="59" t="s">
        <v>356</v>
      </c>
      <c r="C104" s="66"/>
      <c r="D104" s="59" t="str">
        <f>IFERROR(VLOOKUP(C104,Codes!$F$2:$I$64,4,FALSE),"&lt;--Select Here")</f>
        <v>&lt;--Select Here</v>
      </c>
      <c r="E104" s="64"/>
      <c r="F104" s="65"/>
      <c r="G104" s="135" t="str">
        <f t="shared" si="1"/>
        <v xml:space="preserve"> </v>
      </c>
    </row>
    <row r="105" spans="2:7" x14ac:dyDescent="0.35">
      <c r="B105" s="59" t="s">
        <v>357</v>
      </c>
      <c r="C105" s="66"/>
      <c r="D105" s="59" t="str">
        <f>IFERROR(VLOOKUP(C105,Codes!$F$2:$I$64,4,FALSE),"&lt;--Select Here")</f>
        <v>&lt;--Select Here</v>
      </c>
      <c r="E105" s="64"/>
      <c r="F105" s="65"/>
      <c r="G105" s="135" t="str">
        <f t="shared" si="1"/>
        <v xml:space="preserve"> </v>
      </c>
    </row>
    <row r="106" spans="2:7" x14ac:dyDescent="0.35">
      <c r="B106" s="59" t="s">
        <v>358</v>
      </c>
      <c r="C106" s="66"/>
      <c r="D106" s="59" t="str">
        <f>IFERROR(VLOOKUP(C106,Codes!$F$2:$I$64,4,FALSE),"&lt;--Select Here")</f>
        <v>&lt;--Select Here</v>
      </c>
      <c r="E106" s="64"/>
      <c r="F106" s="65"/>
      <c r="G106" s="135" t="str">
        <f t="shared" si="1"/>
        <v xml:space="preserve"> </v>
      </c>
    </row>
    <row r="107" spans="2:7" x14ac:dyDescent="0.35">
      <c r="B107" s="59" t="s">
        <v>359</v>
      </c>
      <c r="C107" s="66"/>
      <c r="D107" s="59" t="str">
        <f>IFERROR(VLOOKUP(C107,Codes!$F$2:$I$64,4,FALSE),"&lt;--Select Here")</f>
        <v>&lt;--Select Here</v>
      </c>
      <c r="E107" s="64"/>
      <c r="F107" s="65"/>
      <c r="G107" s="135" t="str">
        <f t="shared" si="1"/>
        <v xml:space="preserve"> </v>
      </c>
    </row>
    <row r="108" spans="2:7" x14ac:dyDescent="0.35">
      <c r="B108" s="59" t="s">
        <v>360</v>
      </c>
      <c r="C108" s="66"/>
      <c r="D108" s="59" t="str">
        <f>IFERROR(VLOOKUP(C108,Codes!$F$2:$I$64,4,FALSE),"&lt;--Select Here")</f>
        <v>&lt;--Select Here</v>
      </c>
      <c r="E108" s="64"/>
      <c r="F108" s="65"/>
      <c r="G108" s="135" t="str">
        <f t="shared" si="1"/>
        <v xml:space="preserve"> </v>
      </c>
    </row>
    <row r="109" spans="2:7" x14ac:dyDescent="0.35">
      <c r="B109" s="59" t="s">
        <v>361</v>
      </c>
      <c r="C109" s="66"/>
      <c r="D109" s="59" t="str">
        <f>IFERROR(VLOOKUP(C109,Codes!$F$2:$I$64,4,FALSE),"&lt;--Select Here")</f>
        <v>&lt;--Select Here</v>
      </c>
      <c r="E109" s="64"/>
      <c r="F109" s="65"/>
      <c r="G109" s="135" t="str">
        <f t="shared" si="1"/>
        <v xml:space="preserve"> </v>
      </c>
    </row>
    <row r="110" spans="2:7" x14ac:dyDescent="0.35">
      <c r="B110" s="59" t="s">
        <v>362</v>
      </c>
      <c r="C110" s="66"/>
      <c r="D110" s="59" t="str">
        <f>IFERROR(VLOOKUP(C110,Codes!$F$2:$I$64,4,FALSE),"&lt;--Select Here")</f>
        <v>&lt;--Select Here</v>
      </c>
      <c r="E110" s="64"/>
      <c r="F110" s="65"/>
      <c r="G110" s="135" t="str">
        <f t="shared" si="1"/>
        <v xml:space="preserve"> </v>
      </c>
    </row>
    <row r="111" spans="2:7" x14ac:dyDescent="0.35">
      <c r="B111" s="59" t="s">
        <v>363</v>
      </c>
      <c r="C111" s="66"/>
      <c r="D111" s="59" t="str">
        <f>IFERROR(VLOOKUP(C111,Codes!$F$2:$I$64,4,FALSE),"&lt;--Select Here")</f>
        <v>&lt;--Select Here</v>
      </c>
      <c r="E111" s="64"/>
      <c r="F111" s="65"/>
      <c r="G111" s="135" t="str">
        <f t="shared" si="1"/>
        <v xml:space="preserve"> </v>
      </c>
    </row>
    <row r="112" spans="2:7" x14ac:dyDescent="0.35">
      <c r="B112" s="59" t="s">
        <v>364</v>
      </c>
      <c r="C112" s="66"/>
      <c r="D112" s="59" t="str">
        <f>IFERROR(VLOOKUP(C112,Codes!$F$2:$I$64,4,FALSE),"&lt;--Select Here")</f>
        <v>&lt;--Select Here</v>
      </c>
      <c r="E112" s="64"/>
      <c r="F112" s="65"/>
      <c r="G112" s="135" t="str">
        <f t="shared" si="1"/>
        <v xml:space="preserve"> </v>
      </c>
    </row>
    <row r="113" spans="2:7" x14ac:dyDescent="0.35">
      <c r="B113" s="59" t="s">
        <v>365</v>
      </c>
      <c r="C113" s="66"/>
      <c r="D113" s="59" t="str">
        <f>IFERROR(VLOOKUP(C113,Codes!$F$2:$I$64,4,FALSE),"&lt;--Select Here")</f>
        <v>&lt;--Select Here</v>
      </c>
      <c r="E113" s="64"/>
      <c r="F113" s="65"/>
      <c r="G113" s="135" t="str">
        <f t="shared" si="1"/>
        <v xml:space="preserve"> </v>
      </c>
    </row>
    <row r="114" spans="2:7" x14ac:dyDescent="0.35">
      <c r="B114" s="59" t="s">
        <v>366</v>
      </c>
      <c r="C114" s="66"/>
      <c r="D114" s="59" t="str">
        <f>IFERROR(VLOOKUP(C114,Codes!$F$2:$I$64,4,FALSE),"&lt;--Select Here")</f>
        <v>&lt;--Select Here</v>
      </c>
      <c r="E114" s="64"/>
      <c r="F114" s="65"/>
      <c r="G114" s="135" t="str">
        <f t="shared" si="1"/>
        <v xml:space="preserve"> </v>
      </c>
    </row>
    <row r="115" spans="2:7" x14ac:dyDescent="0.35">
      <c r="B115" s="59" t="s">
        <v>367</v>
      </c>
      <c r="C115" s="66"/>
      <c r="D115" s="59" t="str">
        <f>IFERROR(VLOOKUP(C115,Codes!$F$2:$I$64,4,FALSE),"&lt;--Select Here")</f>
        <v>&lt;--Select Here</v>
      </c>
      <c r="E115" s="64"/>
      <c r="F115" s="65"/>
      <c r="G115" s="135" t="str">
        <f t="shared" si="1"/>
        <v xml:space="preserve"> </v>
      </c>
    </row>
    <row r="116" spans="2:7" x14ac:dyDescent="0.35">
      <c r="B116" s="59" t="s">
        <v>368</v>
      </c>
      <c r="C116" s="66"/>
      <c r="D116" s="59" t="str">
        <f>IFERROR(VLOOKUP(C116,Codes!$F$2:$I$64,4,FALSE),"&lt;--Select Here")</f>
        <v>&lt;--Select Here</v>
      </c>
      <c r="E116" s="64"/>
      <c r="F116" s="65"/>
      <c r="G116" s="135" t="str">
        <f t="shared" si="1"/>
        <v xml:space="preserve"> </v>
      </c>
    </row>
    <row r="117" spans="2:7" x14ac:dyDescent="0.35">
      <c r="B117" s="59" t="s">
        <v>369</v>
      </c>
      <c r="C117" s="66"/>
      <c r="D117" s="59" t="str">
        <f>IFERROR(VLOOKUP(C117,Codes!$F$2:$I$64,4,FALSE),"&lt;--Select Here")</f>
        <v>&lt;--Select Here</v>
      </c>
      <c r="E117" s="64"/>
      <c r="F117" s="65"/>
      <c r="G117" s="135" t="str">
        <f t="shared" si="1"/>
        <v xml:space="preserve"> </v>
      </c>
    </row>
    <row r="118" spans="2:7" x14ac:dyDescent="0.35">
      <c r="B118" s="59" t="s">
        <v>370</v>
      </c>
      <c r="C118" s="66"/>
      <c r="D118" s="59" t="str">
        <f>IFERROR(VLOOKUP(C118,Codes!$F$2:$I$64,4,FALSE),"&lt;--Select Here")</f>
        <v>&lt;--Select Here</v>
      </c>
      <c r="E118" s="64"/>
      <c r="F118" s="65"/>
      <c r="G118" s="135" t="str">
        <f t="shared" si="1"/>
        <v xml:space="preserve"> </v>
      </c>
    </row>
    <row r="119" spans="2:7" x14ac:dyDescent="0.35">
      <c r="B119" s="59" t="s">
        <v>371</v>
      </c>
      <c r="C119" s="66"/>
      <c r="D119" s="59" t="str">
        <f>IFERROR(VLOOKUP(C119,Codes!$F$2:$I$64,4,FALSE),"&lt;--Select Here")</f>
        <v>&lt;--Select Here</v>
      </c>
      <c r="E119" s="64"/>
      <c r="F119" s="65"/>
      <c r="G119" s="135" t="str">
        <f t="shared" si="1"/>
        <v xml:space="preserve"> </v>
      </c>
    </row>
    <row r="120" spans="2:7" x14ac:dyDescent="0.35">
      <c r="B120" s="59" t="s">
        <v>372</v>
      </c>
      <c r="C120" s="66"/>
      <c r="D120" s="59" t="str">
        <f>IFERROR(VLOOKUP(C120,Codes!$F$2:$I$64,4,FALSE),"&lt;--Select Here")</f>
        <v>&lt;--Select Here</v>
      </c>
      <c r="E120" s="64"/>
      <c r="F120" s="65"/>
      <c r="G120" s="135" t="str">
        <f t="shared" si="1"/>
        <v xml:space="preserve"> </v>
      </c>
    </row>
    <row r="121" spans="2:7" x14ac:dyDescent="0.35">
      <c r="B121" s="59" t="s">
        <v>373</v>
      </c>
      <c r="C121" s="66"/>
      <c r="D121" s="59" t="str">
        <f>IFERROR(VLOOKUP(C121,Codes!$F$2:$I$64,4,FALSE),"&lt;--Select Here")</f>
        <v>&lt;--Select Here</v>
      </c>
      <c r="E121" s="64"/>
      <c r="F121" s="65"/>
      <c r="G121" s="135" t="str">
        <f t="shared" si="1"/>
        <v xml:space="preserve"> </v>
      </c>
    </row>
    <row r="122" spans="2:7" x14ac:dyDescent="0.35">
      <c r="B122" s="59" t="s">
        <v>374</v>
      </c>
      <c r="C122" s="66"/>
      <c r="D122" s="59" t="str">
        <f>IFERROR(VLOOKUP(C122,Codes!$F$2:$I$64,4,FALSE),"&lt;--Select Here")</f>
        <v>&lt;--Select Here</v>
      </c>
      <c r="E122" s="64"/>
      <c r="F122" s="65"/>
      <c r="G122" s="135" t="str">
        <f t="shared" si="1"/>
        <v xml:space="preserve"> </v>
      </c>
    </row>
    <row r="123" spans="2:7" x14ac:dyDescent="0.35">
      <c r="B123" s="59" t="s">
        <v>375</v>
      </c>
      <c r="C123" s="66"/>
      <c r="D123" s="59" t="str">
        <f>IFERROR(VLOOKUP(C123,Codes!$F$2:$I$64,4,FALSE),"&lt;--Select Here")</f>
        <v>&lt;--Select Here</v>
      </c>
      <c r="E123" s="64"/>
      <c r="F123" s="65"/>
      <c r="G123" s="135" t="str">
        <f t="shared" si="1"/>
        <v xml:space="preserve"> </v>
      </c>
    </row>
    <row r="124" spans="2:7" x14ac:dyDescent="0.35">
      <c r="B124" s="59" t="s">
        <v>376</v>
      </c>
      <c r="C124" s="66"/>
      <c r="D124" s="59" t="str">
        <f>IFERROR(VLOOKUP(C124,Codes!$F$2:$I$64,4,FALSE),"&lt;--Select Here")</f>
        <v>&lt;--Select Here</v>
      </c>
      <c r="E124" s="64"/>
      <c r="F124" s="65"/>
      <c r="G124" s="135" t="str">
        <f t="shared" si="1"/>
        <v xml:space="preserve"> </v>
      </c>
    </row>
    <row r="125" spans="2:7" x14ac:dyDescent="0.35">
      <c r="B125" s="59" t="s">
        <v>377</v>
      </c>
      <c r="C125" s="66"/>
      <c r="D125" s="59" t="str">
        <f>IFERROR(VLOOKUP(C125,Codes!$F$2:$I$64,4,FALSE),"&lt;--Select Here")</f>
        <v>&lt;--Select Here</v>
      </c>
      <c r="E125" s="64"/>
      <c r="F125" s="65"/>
      <c r="G125" s="135" t="str">
        <f t="shared" si="1"/>
        <v xml:space="preserve"> </v>
      </c>
    </row>
    <row r="126" spans="2:7" x14ac:dyDescent="0.35">
      <c r="C126" s="62"/>
      <c r="E126" s="183" t="s">
        <v>1039</v>
      </c>
      <c r="F126" s="183"/>
      <c r="G126" s="134">
        <f>SUM(G76:G125)</f>
        <v>0</v>
      </c>
    </row>
    <row r="127" spans="2:7" x14ac:dyDescent="0.35">
      <c r="C127" s="62"/>
      <c r="E127" s="183" t="s">
        <v>1042</v>
      </c>
      <c r="F127" s="183"/>
      <c r="G127" s="141">
        <f>E7</f>
        <v>0</v>
      </c>
    </row>
    <row r="128" spans="2:7" x14ac:dyDescent="0.35">
      <c r="C128" s="62"/>
      <c r="E128" s="183" t="s">
        <v>1040</v>
      </c>
      <c r="F128" s="183"/>
      <c r="G128" s="134">
        <f>IF(G126&lt;G127,0,IFERROR(G126-G127,0))</f>
        <v>0</v>
      </c>
    </row>
    <row r="129" spans="2:7" x14ac:dyDescent="0.35">
      <c r="C129" s="62"/>
      <c r="E129" s="183" t="s">
        <v>1041</v>
      </c>
      <c r="F129" s="183"/>
      <c r="G129" s="134">
        <f>IF(G126=0,0,G128*E12)</f>
        <v>0</v>
      </c>
    </row>
    <row r="130" spans="2:7" x14ac:dyDescent="0.35">
      <c r="C130" s="62"/>
      <c r="F130" s="63"/>
    </row>
    <row r="131" spans="2:7" x14ac:dyDescent="0.35">
      <c r="C131" s="62"/>
      <c r="F131" s="63"/>
    </row>
    <row r="132" spans="2:7" ht="18.5" x14ac:dyDescent="0.45">
      <c r="B132" s="194" t="s">
        <v>335</v>
      </c>
      <c r="C132" s="195"/>
      <c r="D132" s="195"/>
      <c r="E132" s="195"/>
      <c r="F132" s="195"/>
      <c r="G132" s="196"/>
    </row>
    <row r="133" spans="2:7" x14ac:dyDescent="0.35">
      <c r="B133" s="145"/>
      <c r="C133" s="146"/>
      <c r="D133" s="146"/>
      <c r="E133" s="193" t="s">
        <v>1059</v>
      </c>
      <c r="F133" s="197"/>
      <c r="G133" s="148">
        <f>E13</f>
        <v>0</v>
      </c>
    </row>
    <row r="134" spans="2:7" s="139" customFormat="1" ht="29" x14ac:dyDescent="0.35">
      <c r="B134" s="133"/>
      <c r="C134" s="138" t="s">
        <v>324</v>
      </c>
      <c r="D134" s="60" t="s">
        <v>337</v>
      </c>
      <c r="E134" s="138" t="s">
        <v>378</v>
      </c>
      <c r="F134" s="137" t="s">
        <v>1049</v>
      </c>
      <c r="G134" s="137" t="s">
        <v>1050</v>
      </c>
    </row>
    <row r="135" spans="2:7" x14ac:dyDescent="0.35">
      <c r="B135" s="59" t="s">
        <v>288</v>
      </c>
      <c r="C135" s="67"/>
      <c r="D135" s="59" t="str">
        <f>IFERROR(VLOOKUP(C135,Codes!$F$2:$I$64,4,FALSE),"&lt;--Select Here")</f>
        <v>&lt;--Select Here</v>
      </c>
      <c r="E135" s="64"/>
      <c r="F135" s="65"/>
      <c r="G135" s="136" t="str">
        <f>IFERROR(IF(F135=" "," ",(F135/$E$13))," ")</f>
        <v xml:space="preserve"> </v>
      </c>
    </row>
    <row r="136" spans="2:7" x14ac:dyDescent="0.35">
      <c r="B136" s="59" t="s">
        <v>325</v>
      </c>
      <c r="C136" s="67"/>
      <c r="D136" s="59" t="str">
        <f>IFERROR(VLOOKUP(C136,Codes!$F$2:$I$64,4,FALSE),"&lt;--Select Here")</f>
        <v>&lt;--Select Here</v>
      </c>
      <c r="E136" s="64"/>
      <c r="F136" s="65"/>
      <c r="G136" s="136" t="str">
        <f t="shared" ref="G136:G184" si="2">IFERROR(IF(F136=" "," ",(F136/$E$13))," ")</f>
        <v xml:space="preserve"> </v>
      </c>
    </row>
    <row r="137" spans="2:7" x14ac:dyDescent="0.35">
      <c r="B137" s="59" t="s">
        <v>326</v>
      </c>
      <c r="C137" s="67"/>
      <c r="D137" s="59" t="str">
        <f>IFERROR(VLOOKUP(C137,Codes!$F$2:$I$64,4,FALSE),"&lt;--Select Here")</f>
        <v>&lt;--Select Here</v>
      </c>
      <c r="E137" s="64"/>
      <c r="F137" s="65"/>
      <c r="G137" s="136" t="str">
        <f t="shared" si="2"/>
        <v xml:space="preserve"> </v>
      </c>
    </row>
    <row r="138" spans="2:7" x14ac:dyDescent="0.35">
      <c r="B138" s="59" t="s">
        <v>327</v>
      </c>
      <c r="C138" s="67"/>
      <c r="D138" s="59" t="str">
        <f>IFERROR(VLOOKUP(C138,Codes!$F$2:$I$64,4,FALSE),"&lt;--Select Here")</f>
        <v>&lt;--Select Here</v>
      </c>
      <c r="E138" s="64"/>
      <c r="F138" s="65"/>
      <c r="G138" s="136" t="str">
        <f t="shared" si="2"/>
        <v xml:space="preserve"> </v>
      </c>
    </row>
    <row r="139" spans="2:7" x14ac:dyDescent="0.35">
      <c r="B139" s="59" t="s">
        <v>328</v>
      </c>
      <c r="C139" s="67"/>
      <c r="D139" s="59" t="str">
        <f>IFERROR(VLOOKUP(C139,Codes!$F$2:$I$64,4,FALSE),"&lt;--Select Here")</f>
        <v>&lt;--Select Here</v>
      </c>
      <c r="E139" s="64"/>
      <c r="F139" s="65"/>
      <c r="G139" s="136" t="str">
        <f t="shared" si="2"/>
        <v xml:space="preserve"> </v>
      </c>
    </row>
    <row r="140" spans="2:7" x14ac:dyDescent="0.35">
      <c r="B140" s="59" t="s">
        <v>329</v>
      </c>
      <c r="C140" s="67"/>
      <c r="D140" s="59" t="str">
        <f>IFERROR(VLOOKUP(C140,Codes!$F$2:$I$64,4,FALSE),"&lt;--Select Here")</f>
        <v>&lt;--Select Here</v>
      </c>
      <c r="E140" s="64"/>
      <c r="F140" s="65"/>
      <c r="G140" s="136" t="str">
        <f t="shared" si="2"/>
        <v xml:space="preserve"> </v>
      </c>
    </row>
    <row r="141" spans="2:7" x14ac:dyDescent="0.35">
      <c r="B141" s="59" t="s">
        <v>330</v>
      </c>
      <c r="C141" s="67"/>
      <c r="D141" s="59" t="str">
        <f>IFERROR(VLOOKUP(C141,Codes!$F$2:$I$64,4,FALSE),"&lt;--Select Here")</f>
        <v>&lt;--Select Here</v>
      </c>
      <c r="E141" s="64"/>
      <c r="F141" s="65"/>
      <c r="G141" s="136" t="str">
        <f t="shared" si="2"/>
        <v xml:space="preserve"> </v>
      </c>
    </row>
    <row r="142" spans="2:7" x14ac:dyDescent="0.35">
      <c r="B142" s="59" t="s">
        <v>331</v>
      </c>
      <c r="C142" s="67"/>
      <c r="D142" s="59" t="str">
        <f>IFERROR(VLOOKUP(C142,Codes!$F$2:$I$64,4,FALSE),"&lt;--Select Here")</f>
        <v>&lt;--Select Here</v>
      </c>
      <c r="E142" s="64"/>
      <c r="F142" s="65"/>
      <c r="G142" s="136" t="str">
        <f t="shared" si="2"/>
        <v xml:space="preserve"> </v>
      </c>
    </row>
    <row r="143" spans="2:7" x14ac:dyDescent="0.35">
      <c r="B143" s="59" t="s">
        <v>332</v>
      </c>
      <c r="C143" s="67"/>
      <c r="D143" s="59" t="str">
        <f>IFERROR(VLOOKUP(C143,Codes!$F$2:$I$64,4,FALSE),"&lt;--Select Here")</f>
        <v>&lt;--Select Here</v>
      </c>
      <c r="E143" s="64"/>
      <c r="F143" s="65"/>
      <c r="G143" s="136" t="str">
        <f t="shared" si="2"/>
        <v xml:space="preserve"> </v>
      </c>
    </row>
    <row r="144" spans="2:7" x14ac:dyDescent="0.35">
      <c r="B144" s="59" t="s">
        <v>333</v>
      </c>
      <c r="C144" s="67"/>
      <c r="D144" s="59" t="str">
        <f>IFERROR(VLOOKUP(C144,Codes!$F$2:$I$64,4,FALSE),"&lt;--Select Here")</f>
        <v>&lt;--Select Here</v>
      </c>
      <c r="E144" s="64"/>
      <c r="F144" s="65"/>
      <c r="G144" s="136" t="str">
        <f t="shared" si="2"/>
        <v xml:space="preserve"> </v>
      </c>
    </row>
    <row r="145" spans="2:7" x14ac:dyDescent="0.35">
      <c r="B145" s="59" t="s">
        <v>338</v>
      </c>
      <c r="C145" s="67"/>
      <c r="D145" s="59" t="str">
        <f>IFERROR(VLOOKUP(C145,Codes!$F$2:$I$64,4,FALSE),"&lt;--Select Here")</f>
        <v>&lt;--Select Here</v>
      </c>
      <c r="E145" s="64"/>
      <c r="F145" s="65"/>
      <c r="G145" s="136" t="str">
        <f t="shared" si="2"/>
        <v xml:space="preserve"> </v>
      </c>
    </row>
    <row r="146" spans="2:7" x14ac:dyDescent="0.35">
      <c r="B146" s="59" t="s">
        <v>339</v>
      </c>
      <c r="C146" s="67"/>
      <c r="D146" s="59" t="str">
        <f>IFERROR(VLOOKUP(C146,Codes!$F$2:$I$64,4,FALSE),"&lt;--Select Here")</f>
        <v>&lt;--Select Here</v>
      </c>
      <c r="E146" s="64"/>
      <c r="F146" s="65"/>
      <c r="G146" s="136" t="str">
        <f t="shared" si="2"/>
        <v xml:space="preserve"> </v>
      </c>
    </row>
    <row r="147" spans="2:7" x14ac:dyDescent="0.35">
      <c r="B147" s="59" t="s">
        <v>340</v>
      </c>
      <c r="C147" s="67"/>
      <c r="D147" s="59" t="str">
        <f>IFERROR(VLOOKUP(C147,Codes!$F$2:$I$64,4,FALSE),"&lt;--Select Here")</f>
        <v>&lt;--Select Here</v>
      </c>
      <c r="E147" s="64"/>
      <c r="F147" s="65"/>
      <c r="G147" s="136" t="str">
        <f t="shared" si="2"/>
        <v xml:space="preserve"> </v>
      </c>
    </row>
    <row r="148" spans="2:7" x14ac:dyDescent="0.35">
      <c r="B148" s="59" t="s">
        <v>341</v>
      </c>
      <c r="C148" s="67"/>
      <c r="D148" s="59" t="str">
        <f>IFERROR(VLOOKUP(C148,Codes!$F$2:$I$64,4,FALSE),"&lt;--Select Here")</f>
        <v>&lt;--Select Here</v>
      </c>
      <c r="E148" s="64"/>
      <c r="F148" s="65"/>
      <c r="G148" s="136" t="str">
        <f t="shared" si="2"/>
        <v xml:space="preserve"> </v>
      </c>
    </row>
    <row r="149" spans="2:7" x14ac:dyDescent="0.35">
      <c r="B149" s="59" t="s">
        <v>342</v>
      </c>
      <c r="C149" s="67"/>
      <c r="D149" s="59" t="str">
        <f>IFERROR(VLOOKUP(C149,Codes!$F$2:$I$64,4,FALSE),"&lt;--Select Here")</f>
        <v>&lt;--Select Here</v>
      </c>
      <c r="E149" s="64"/>
      <c r="F149" s="65"/>
      <c r="G149" s="136" t="str">
        <f t="shared" si="2"/>
        <v xml:space="preserve"> </v>
      </c>
    </row>
    <row r="150" spans="2:7" x14ac:dyDescent="0.35">
      <c r="B150" s="59" t="s">
        <v>343</v>
      </c>
      <c r="C150" s="67"/>
      <c r="D150" s="59" t="str">
        <f>IFERROR(VLOOKUP(C150,Codes!$F$2:$I$64,4,FALSE),"&lt;--Select Here")</f>
        <v>&lt;--Select Here</v>
      </c>
      <c r="E150" s="64"/>
      <c r="F150" s="65"/>
      <c r="G150" s="136" t="str">
        <f t="shared" si="2"/>
        <v xml:space="preserve"> </v>
      </c>
    </row>
    <row r="151" spans="2:7" x14ac:dyDescent="0.35">
      <c r="B151" s="59" t="s">
        <v>344</v>
      </c>
      <c r="C151" s="67"/>
      <c r="D151" s="59" t="str">
        <f>IFERROR(VLOOKUP(C151,Codes!$F$2:$I$64,4,FALSE),"&lt;--Select Here")</f>
        <v>&lt;--Select Here</v>
      </c>
      <c r="E151" s="64"/>
      <c r="F151" s="65"/>
      <c r="G151" s="136" t="str">
        <f t="shared" si="2"/>
        <v xml:space="preserve"> </v>
      </c>
    </row>
    <row r="152" spans="2:7" x14ac:dyDescent="0.35">
      <c r="B152" s="59" t="s">
        <v>345</v>
      </c>
      <c r="C152" s="67"/>
      <c r="D152" s="59" t="str">
        <f>IFERROR(VLOOKUP(C152,Codes!$F$2:$I$64,4,FALSE),"&lt;--Select Here")</f>
        <v>&lt;--Select Here</v>
      </c>
      <c r="E152" s="64"/>
      <c r="F152" s="65"/>
      <c r="G152" s="136" t="str">
        <f t="shared" si="2"/>
        <v xml:space="preserve"> </v>
      </c>
    </row>
    <row r="153" spans="2:7" x14ac:dyDescent="0.35">
      <c r="B153" s="59" t="s">
        <v>346</v>
      </c>
      <c r="C153" s="67"/>
      <c r="D153" s="59" t="str">
        <f>IFERROR(VLOOKUP(C153,Codes!$F$2:$I$64,4,FALSE),"&lt;--Select Here")</f>
        <v>&lt;--Select Here</v>
      </c>
      <c r="E153" s="64"/>
      <c r="F153" s="65"/>
      <c r="G153" s="136" t="str">
        <f t="shared" si="2"/>
        <v xml:space="preserve"> </v>
      </c>
    </row>
    <row r="154" spans="2:7" x14ac:dyDescent="0.35">
      <c r="B154" s="59" t="s">
        <v>347</v>
      </c>
      <c r="C154" s="67"/>
      <c r="D154" s="59" t="str">
        <f>IFERROR(VLOOKUP(C154,Codes!$F$2:$I$64,4,FALSE),"&lt;--Select Here")</f>
        <v>&lt;--Select Here</v>
      </c>
      <c r="E154" s="64"/>
      <c r="F154" s="65"/>
      <c r="G154" s="136" t="str">
        <f t="shared" si="2"/>
        <v xml:space="preserve"> </v>
      </c>
    </row>
    <row r="155" spans="2:7" x14ac:dyDescent="0.35">
      <c r="B155" s="59" t="s">
        <v>348</v>
      </c>
      <c r="C155" s="67"/>
      <c r="D155" s="59" t="str">
        <f>IFERROR(VLOOKUP(C155,Codes!$F$2:$I$64,4,FALSE),"&lt;--Select Here")</f>
        <v>&lt;--Select Here</v>
      </c>
      <c r="E155" s="64"/>
      <c r="F155" s="65"/>
      <c r="G155" s="136" t="str">
        <f t="shared" si="2"/>
        <v xml:space="preserve"> </v>
      </c>
    </row>
    <row r="156" spans="2:7" x14ac:dyDescent="0.35">
      <c r="B156" s="59" t="s">
        <v>349</v>
      </c>
      <c r="C156" s="67"/>
      <c r="D156" s="59" t="str">
        <f>IFERROR(VLOOKUP(C156,Codes!$F$2:$I$64,4,FALSE),"&lt;--Select Here")</f>
        <v>&lt;--Select Here</v>
      </c>
      <c r="E156" s="64"/>
      <c r="F156" s="65"/>
      <c r="G156" s="136" t="str">
        <f t="shared" si="2"/>
        <v xml:space="preserve"> </v>
      </c>
    </row>
    <row r="157" spans="2:7" x14ac:dyDescent="0.35">
      <c r="B157" s="59" t="s">
        <v>350</v>
      </c>
      <c r="C157" s="67"/>
      <c r="D157" s="59" t="str">
        <f>IFERROR(VLOOKUP(C157,Codes!$F$2:$I$64,4,FALSE),"&lt;--Select Here")</f>
        <v>&lt;--Select Here</v>
      </c>
      <c r="E157" s="64"/>
      <c r="F157" s="65"/>
      <c r="G157" s="136" t="str">
        <f t="shared" si="2"/>
        <v xml:space="preserve"> </v>
      </c>
    </row>
    <row r="158" spans="2:7" x14ac:dyDescent="0.35">
      <c r="B158" s="59" t="s">
        <v>351</v>
      </c>
      <c r="C158" s="67"/>
      <c r="D158" s="59" t="str">
        <f>IFERROR(VLOOKUP(C158,Codes!$F$2:$I$64,4,FALSE),"&lt;--Select Here")</f>
        <v>&lt;--Select Here</v>
      </c>
      <c r="E158" s="64"/>
      <c r="F158" s="65"/>
      <c r="G158" s="136" t="str">
        <f t="shared" si="2"/>
        <v xml:space="preserve"> </v>
      </c>
    </row>
    <row r="159" spans="2:7" x14ac:dyDescent="0.35">
      <c r="B159" s="59" t="s">
        <v>352</v>
      </c>
      <c r="C159" s="67"/>
      <c r="D159" s="59" t="str">
        <f>IFERROR(VLOOKUP(C159,Codes!$F$2:$I$64,4,FALSE),"&lt;--Select Here")</f>
        <v>&lt;--Select Here</v>
      </c>
      <c r="E159" s="64"/>
      <c r="F159" s="65"/>
      <c r="G159" s="136" t="str">
        <f t="shared" si="2"/>
        <v xml:space="preserve"> </v>
      </c>
    </row>
    <row r="160" spans="2:7" x14ac:dyDescent="0.35">
      <c r="B160" s="59" t="s">
        <v>353</v>
      </c>
      <c r="C160" s="67"/>
      <c r="D160" s="59" t="str">
        <f>IFERROR(VLOOKUP(C160,Codes!$F$2:$I$64,4,FALSE),"&lt;--Select Here")</f>
        <v>&lt;--Select Here</v>
      </c>
      <c r="E160" s="64"/>
      <c r="F160" s="65"/>
      <c r="G160" s="136" t="str">
        <f t="shared" si="2"/>
        <v xml:space="preserve"> </v>
      </c>
    </row>
    <row r="161" spans="2:7" x14ac:dyDescent="0.35">
      <c r="B161" s="59" t="s">
        <v>354</v>
      </c>
      <c r="C161" s="67"/>
      <c r="D161" s="59" t="str">
        <f>IFERROR(VLOOKUP(C161,Codes!$F$2:$I$64,4,FALSE),"&lt;--Select Here")</f>
        <v>&lt;--Select Here</v>
      </c>
      <c r="E161" s="64"/>
      <c r="F161" s="65"/>
      <c r="G161" s="136" t="str">
        <f t="shared" si="2"/>
        <v xml:space="preserve"> </v>
      </c>
    </row>
    <row r="162" spans="2:7" x14ac:dyDescent="0.35">
      <c r="B162" s="59" t="s">
        <v>355</v>
      </c>
      <c r="C162" s="67"/>
      <c r="D162" s="59" t="str">
        <f>IFERROR(VLOOKUP(C162,Codes!$F$2:$I$64,4,FALSE),"&lt;--Select Here")</f>
        <v>&lt;--Select Here</v>
      </c>
      <c r="E162" s="64"/>
      <c r="F162" s="65"/>
      <c r="G162" s="136" t="str">
        <f t="shared" si="2"/>
        <v xml:space="preserve"> </v>
      </c>
    </row>
    <row r="163" spans="2:7" x14ac:dyDescent="0.35">
      <c r="B163" s="59" t="s">
        <v>356</v>
      </c>
      <c r="C163" s="67"/>
      <c r="D163" s="59" t="str">
        <f>IFERROR(VLOOKUP(C163,Codes!$F$2:$I$64,4,FALSE),"&lt;--Select Here")</f>
        <v>&lt;--Select Here</v>
      </c>
      <c r="E163" s="64"/>
      <c r="F163" s="65"/>
      <c r="G163" s="136" t="str">
        <f t="shared" si="2"/>
        <v xml:space="preserve"> </v>
      </c>
    </row>
    <row r="164" spans="2:7" x14ac:dyDescent="0.35">
      <c r="B164" s="59" t="s">
        <v>357</v>
      </c>
      <c r="C164" s="67"/>
      <c r="D164" s="59" t="str">
        <f>IFERROR(VLOOKUP(C164,Codes!$F$2:$I$64,4,FALSE),"&lt;--Select Here")</f>
        <v>&lt;--Select Here</v>
      </c>
      <c r="E164" s="64"/>
      <c r="F164" s="65"/>
      <c r="G164" s="136" t="str">
        <f t="shared" si="2"/>
        <v xml:space="preserve"> </v>
      </c>
    </row>
    <row r="165" spans="2:7" x14ac:dyDescent="0.35">
      <c r="B165" s="59" t="s">
        <v>358</v>
      </c>
      <c r="C165" s="67"/>
      <c r="D165" s="59" t="str">
        <f>IFERROR(VLOOKUP(C165,Codes!$F$2:$I$64,4,FALSE),"&lt;--Select Here")</f>
        <v>&lt;--Select Here</v>
      </c>
      <c r="E165" s="64"/>
      <c r="F165" s="65"/>
      <c r="G165" s="136" t="str">
        <f t="shared" si="2"/>
        <v xml:space="preserve"> </v>
      </c>
    </row>
    <row r="166" spans="2:7" x14ac:dyDescent="0.35">
      <c r="B166" s="59" t="s">
        <v>359</v>
      </c>
      <c r="C166" s="67"/>
      <c r="D166" s="59" t="str">
        <f>IFERROR(VLOOKUP(C166,Codes!$F$2:$I$64,4,FALSE),"&lt;--Select Here")</f>
        <v>&lt;--Select Here</v>
      </c>
      <c r="E166" s="64"/>
      <c r="F166" s="65"/>
      <c r="G166" s="136" t="str">
        <f t="shared" si="2"/>
        <v xml:space="preserve"> </v>
      </c>
    </row>
    <row r="167" spans="2:7" x14ac:dyDescent="0.35">
      <c r="B167" s="59" t="s">
        <v>360</v>
      </c>
      <c r="C167" s="67"/>
      <c r="D167" s="59" t="str">
        <f>IFERROR(VLOOKUP(C167,Codes!$F$2:$I$64,4,FALSE),"&lt;--Select Here")</f>
        <v>&lt;--Select Here</v>
      </c>
      <c r="E167" s="64"/>
      <c r="F167" s="65"/>
      <c r="G167" s="136" t="str">
        <f t="shared" si="2"/>
        <v xml:space="preserve"> </v>
      </c>
    </row>
    <row r="168" spans="2:7" x14ac:dyDescent="0.35">
      <c r="B168" s="59" t="s">
        <v>361</v>
      </c>
      <c r="C168" s="67"/>
      <c r="D168" s="59" t="str">
        <f>IFERROR(VLOOKUP(C168,Codes!$F$2:$I$64,4,FALSE),"&lt;--Select Here")</f>
        <v>&lt;--Select Here</v>
      </c>
      <c r="E168" s="64"/>
      <c r="F168" s="65"/>
      <c r="G168" s="136" t="str">
        <f t="shared" si="2"/>
        <v xml:space="preserve"> </v>
      </c>
    </row>
    <row r="169" spans="2:7" x14ac:dyDescent="0.35">
      <c r="B169" s="59" t="s">
        <v>362</v>
      </c>
      <c r="C169" s="67"/>
      <c r="D169" s="59" t="str">
        <f>IFERROR(VLOOKUP(C169,Codes!$F$2:$I$64,4,FALSE),"&lt;--Select Here")</f>
        <v>&lt;--Select Here</v>
      </c>
      <c r="E169" s="64"/>
      <c r="F169" s="65"/>
      <c r="G169" s="136" t="str">
        <f t="shared" si="2"/>
        <v xml:space="preserve"> </v>
      </c>
    </row>
    <row r="170" spans="2:7" x14ac:dyDescent="0.35">
      <c r="B170" s="59" t="s">
        <v>363</v>
      </c>
      <c r="C170" s="67"/>
      <c r="D170" s="59" t="str">
        <f>IFERROR(VLOOKUP(C170,Codes!$F$2:$I$64,4,FALSE),"&lt;--Select Here")</f>
        <v>&lt;--Select Here</v>
      </c>
      <c r="E170" s="64"/>
      <c r="F170" s="65"/>
      <c r="G170" s="136" t="str">
        <f t="shared" si="2"/>
        <v xml:space="preserve"> </v>
      </c>
    </row>
    <row r="171" spans="2:7" x14ac:dyDescent="0.35">
      <c r="B171" s="59" t="s">
        <v>364</v>
      </c>
      <c r="C171" s="67"/>
      <c r="D171" s="59" t="str">
        <f>IFERROR(VLOOKUP(C171,Codes!$F$2:$I$64,4,FALSE),"&lt;--Select Here")</f>
        <v>&lt;--Select Here</v>
      </c>
      <c r="E171" s="64"/>
      <c r="F171" s="65"/>
      <c r="G171" s="136" t="str">
        <f t="shared" si="2"/>
        <v xml:space="preserve"> </v>
      </c>
    </row>
    <row r="172" spans="2:7" x14ac:dyDescent="0.35">
      <c r="B172" s="59" t="s">
        <v>365</v>
      </c>
      <c r="C172" s="67"/>
      <c r="D172" s="59" t="str">
        <f>IFERROR(VLOOKUP(C172,Codes!$F$2:$I$64,4,FALSE),"&lt;--Select Here")</f>
        <v>&lt;--Select Here</v>
      </c>
      <c r="E172" s="64"/>
      <c r="F172" s="65"/>
      <c r="G172" s="136" t="str">
        <f t="shared" si="2"/>
        <v xml:space="preserve"> </v>
      </c>
    </row>
    <row r="173" spans="2:7" x14ac:dyDescent="0.35">
      <c r="B173" s="59" t="s">
        <v>366</v>
      </c>
      <c r="C173" s="67"/>
      <c r="D173" s="59" t="str">
        <f>IFERROR(VLOOKUP(C173,Codes!$F$2:$I$64,4,FALSE),"&lt;--Select Here")</f>
        <v>&lt;--Select Here</v>
      </c>
      <c r="E173" s="64"/>
      <c r="F173" s="65"/>
      <c r="G173" s="136" t="str">
        <f t="shared" si="2"/>
        <v xml:space="preserve"> </v>
      </c>
    </row>
    <row r="174" spans="2:7" x14ac:dyDescent="0.35">
      <c r="B174" s="59" t="s">
        <v>367</v>
      </c>
      <c r="C174" s="67"/>
      <c r="D174" s="59" t="str">
        <f>IFERROR(VLOOKUP(C174,Codes!$F$2:$I$64,4,FALSE),"&lt;--Select Here")</f>
        <v>&lt;--Select Here</v>
      </c>
      <c r="E174" s="64"/>
      <c r="F174" s="65"/>
      <c r="G174" s="136" t="str">
        <f t="shared" si="2"/>
        <v xml:space="preserve"> </v>
      </c>
    </row>
    <row r="175" spans="2:7" x14ac:dyDescent="0.35">
      <c r="B175" s="59" t="s">
        <v>368</v>
      </c>
      <c r="C175" s="67"/>
      <c r="D175" s="59" t="str">
        <f>IFERROR(VLOOKUP(C175,Codes!$F$2:$I$64,4,FALSE),"&lt;--Select Here")</f>
        <v>&lt;--Select Here</v>
      </c>
      <c r="E175" s="64"/>
      <c r="F175" s="65"/>
      <c r="G175" s="136" t="str">
        <f t="shared" si="2"/>
        <v xml:space="preserve"> </v>
      </c>
    </row>
    <row r="176" spans="2:7" x14ac:dyDescent="0.35">
      <c r="B176" s="59" t="s">
        <v>369</v>
      </c>
      <c r="C176" s="67"/>
      <c r="D176" s="59" t="str">
        <f>IFERROR(VLOOKUP(C176,Codes!$F$2:$I$64,4,FALSE),"&lt;--Select Here")</f>
        <v>&lt;--Select Here</v>
      </c>
      <c r="E176" s="64"/>
      <c r="F176" s="65"/>
      <c r="G176" s="136" t="str">
        <f t="shared" si="2"/>
        <v xml:space="preserve"> </v>
      </c>
    </row>
    <row r="177" spans="2:9" x14ac:dyDescent="0.35">
      <c r="B177" s="59" t="s">
        <v>370</v>
      </c>
      <c r="C177" s="67"/>
      <c r="D177" s="59" t="str">
        <f>IFERROR(VLOOKUP(C177,Codes!$F$2:$I$64,4,FALSE),"&lt;--Select Here")</f>
        <v>&lt;--Select Here</v>
      </c>
      <c r="E177" s="64"/>
      <c r="F177" s="65"/>
      <c r="G177" s="136" t="str">
        <f t="shared" si="2"/>
        <v xml:space="preserve"> </v>
      </c>
    </row>
    <row r="178" spans="2:9" x14ac:dyDescent="0.35">
      <c r="B178" s="59" t="s">
        <v>371</v>
      </c>
      <c r="C178" s="67"/>
      <c r="D178" s="59" t="str">
        <f>IFERROR(VLOOKUP(C178,Codes!$F$2:$I$64,4,FALSE),"&lt;--Select Here")</f>
        <v>&lt;--Select Here</v>
      </c>
      <c r="E178" s="64"/>
      <c r="F178" s="65"/>
      <c r="G178" s="136" t="str">
        <f t="shared" si="2"/>
        <v xml:space="preserve"> </v>
      </c>
    </row>
    <row r="179" spans="2:9" x14ac:dyDescent="0.35">
      <c r="B179" s="59" t="s">
        <v>372</v>
      </c>
      <c r="C179" s="67"/>
      <c r="D179" s="59" t="str">
        <f>IFERROR(VLOOKUP(C179,Codes!$F$2:$I$64,4,FALSE),"&lt;--Select Here")</f>
        <v>&lt;--Select Here</v>
      </c>
      <c r="E179" s="64"/>
      <c r="F179" s="65"/>
      <c r="G179" s="136" t="str">
        <f t="shared" si="2"/>
        <v xml:space="preserve"> </v>
      </c>
    </row>
    <row r="180" spans="2:9" x14ac:dyDescent="0.35">
      <c r="B180" s="59" t="s">
        <v>373</v>
      </c>
      <c r="C180" s="67"/>
      <c r="D180" s="59" t="str">
        <f>IFERROR(VLOOKUP(C180,Codes!$F$2:$I$64,4,FALSE),"&lt;--Select Here")</f>
        <v>&lt;--Select Here</v>
      </c>
      <c r="E180" s="64"/>
      <c r="F180" s="65"/>
      <c r="G180" s="136" t="str">
        <f t="shared" si="2"/>
        <v xml:space="preserve"> </v>
      </c>
    </row>
    <row r="181" spans="2:9" x14ac:dyDescent="0.35">
      <c r="B181" s="59" t="s">
        <v>374</v>
      </c>
      <c r="C181" s="67"/>
      <c r="D181" s="59" t="str">
        <f>IFERROR(VLOOKUP(C181,Codes!$F$2:$I$64,4,FALSE),"&lt;--Select Here")</f>
        <v>&lt;--Select Here</v>
      </c>
      <c r="E181" s="64"/>
      <c r="F181" s="65"/>
      <c r="G181" s="136" t="str">
        <f t="shared" si="2"/>
        <v xml:space="preserve"> </v>
      </c>
    </row>
    <row r="182" spans="2:9" x14ac:dyDescent="0.35">
      <c r="B182" s="59" t="s">
        <v>375</v>
      </c>
      <c r="C182" s="67"/>
      <c r="D182" s="59" t="str">
        <f>IFERROR(VLOOKUP(C182,Codes!$F$2:$I$64,4,FALSE),"&lt;--Select Here")</f>
        <v>&lt;--Select Here</v>
      </c>
      <c r="E182" s="64"/>
      <c r="F182" s="65"/>
      <c r="G182" s="136" t="str">
        <f t="shared" si="2"/>
        <v xml:space="preserve"> </v>
      </c>
    </row>
    <row r="183" spans="2:9" x14ac:dyDescent="0.35">
      <c r="B183" s="59" t="s">
        <v>376</v>
      </c>
      <c r="C183" s="67"/>
      <c r="D183" s="59" t="str">
        <f>IFERROR(VLOOKUP(C183,Codes!$F$2:$I$64,4,FALSE),"&lt;--Select Here")</f>
        <v>&lt;--Select Here</v>
      </c>
      <c r="E183" s="64"/>
      <c r="F183" s="65"/>
      <c r="G183" s="136" t="str">
        <f t="shared" si="2"/>
        <v xml:space="preserve"> </v>
      </c>
    </row>
    <row r="184" spans="2:9" x14ac:dyDescent="0.35">
      <c r="B184" s="59" t="s">
        <v>377</v>
      </c>
      <c r="C184" s="67"/>
      <c r="D184" s="59" t="str">
        <f>IFERROR(VLOOKUP(C184,Codes!$F$2:$I$64,4,FALSE),"&lt;--Select Here")</f>
        <v>&lt;--Select Here</v>
      </c>
      <c r="E184" s="64"/>
      <c r="F184" s="65"/>
      <c r="G184" s="136" t="str">
        <f t="shared" si="2"/>
        <v xml:space="preserve"> </v>
      </c>
    </row>
    <row r="185" spans="2:9" x14ac:dyDescent="0.35">
      <c r="E185" s="183" t="s">
        <v>1043</v>
      </c>
      <c r="F185" s="183"/>
      <c r="G185" s="134">
        <f>SUM(G135:G184)</f>
        <v>0</v>
      </c>
    </row>
    <row r="186" spans="2:9" x14ac:dyDescent="0.35">
      <c r="E186" s="183" t="s">
        <v>1042</v>
      </c>
      <c r="F186" s="183"/>
      <c r="G186" s="141">
        <f>E7</f>
        <v>0</v>
      </c>
    </row>
    <row r="187" spans="2:9" x14ac:dyDescent="0.35">
      <c r="E187" s="183" t="s">
        <v>1044</v>
      </c>
      <c r="F187" s="183"/>
      <c r="G187" s="134">
        <f>IF(G185&lt;G186,0,IFERROR(G185-G186,0))</f>
        <v>0</v>
      </c>
    </row>
    <row r="188" spans="2:9" x14ac:dyDescent="0.35">
      <c r="E188" s="183" t="s">
        <v>1045</v>
      </c>
      <c r="F188" s="183"/>
      <c r="G188" s="134">
        <f>IF(G185=0,0,G187*E13)</f>
        <v>0</v>
      </c>
    </row>
    <row r="190" spans="2:9" x14ac:dyDescent="0.35">
      <c r="E190" s="142" t="s">
        <v>1063</v>
      </c>
      <c r="F190" s="143" t="str">
        <f>E4</f>
        <v>Click on Cell to Access Drop Down on Right ----&gt;</v>
      </c>
      <c r="G190" s="135">
        <f>G188+G129+G71</f>
        <v>0</v>
      </c>
      <c r="H190" s="150" t="s">
        <v>1060</v>
      </c>
      <c r="I190" s="150"/>
    </row>
    <row r="191" spans="2:9" x14ac:dyDescent="0.35">
      <c r="E191" s="203" t="s">
        <v>1093</v>
      </c>
      <c r="F191" s="203"/>
      <c r="G191" s="151">
        <f>VLOOKUP(F190,Table1[[District Name]:[Amount Under Funded]],13,FALSE)</f>
        <v>82970741.799999356</v>
      </c>
      <c r="H191" s="150" t="s">
        <v>1061</v>
      </c>
      <c r="I191" s="150"/>
    </row>
    <row r="192" spans="2:9" x14ac:dyDescent="0.35">
      <c r="E192" s="201" t="s">
        <v>1071</v>
      </c>
      <c r="F192" s="202"/>
      <c r="G192" s="144">
        <f>MIN(G190:G191)</f>
        <v>0</v>
      </c>
      <c r="H192" s="150" t="s">
        <v>1062</v>
      </c>
      <c r="I192" s="150"/>
    </row>
    <row r="193" spans="5:7" ht="28.5" customHeight="1" x14ac:dyDescent="0.35">
      <c r="E193" s="198" t="s">
        <v>1088</v>
      </c>
      <c r="F193" s="199"/>
      <c r="G193" s="200"/>
    </row>
  </sheetData>
  <sheetProtection selectLockedCells="1"/>
  <protectedRanges>
    <protectedRange algorithmName="SHA-512" hashValue="xwHnUKMjlbIpwKiMBwHmIXCJXbE3scI/o4kcCRcraTvG0y4Xd4tmVBjPcvrG0Vnm67KECMmfQevFASKsXUKfTg==" saltValue="f+t7wd6dyjOTvpXVpTTkkQ==" spinCount="100000" sqref="E4:E13" name="Range1"/>
  </protectedRanges>
  <mergeCells count="24">
    <mergeCell ref="E193:G193"/>
    <mergeCell ref="E192:F192"/>
    <mergeCell ref="A1:G1"/>
    <mergeCell ref="E185:F185"/>
    <mergeCell ref="E186:F186"/>
    <mergeCell ref="E187:F187"/>
    <mergeCell ref="E191:F191"/>
    <mergeCell ref="E188:F188"/>
    <mergeCell ref="B3:G3"/>
    <mergeCell ref="B15:G15"/>
    <mergeCell ref="E68:F68"/>
    <mergeCell ref="E69:F69"/>
    <mergeCell ref="E70:F70"/>
    <mergeCell ref="B132:G132"/>
    <mergeCell ref="E133:F133"/>
    <mergeCell ref="E128:F128"/>
    <mergeCell ref="E129:F129"/>
    <mergeCell ref="J3:Q8"/>
    <mergeCell ref="E71:F71"/>
    <mergeCell ref="E126:F126"/>
    <mergeCell ref="E127:F127"/>
    <mergeCell ref="E16:F16"/>
    <mergeCell ref="B73:G73"/>
    <mergeCell ref="E74:F74"/>
  </mergeCells>
  <phoneticPr fontId="14" type="noConversion"/>
  <conditionalFormatting sqref="E4">
    <cfRule type="containsText" dxfId="4" priority="3" operator="containsText" text="Continue">
      <formula>NOT(ISERROR(SEARCH("Continue",E4)))</formula>
    </cfRule>
  </conditionalFormatting>
  <conditionalFormatting sqref="E5">
    <cfRule type="containsText" dxfId="3" priority="2" operator="containsText" text="Continue">
      <formula>NOT(ISERROR(SEARCH("Continue",E5)))</formula>
    </cfRule>
    <cfRule type="containsText" dxfId="2" priority="4" operator="containsText" text="Not">
      <formula>NOT(ISERROR(SEARCH("Not",E5)))</formula>
    </cfRule>
  </conditionalFormatting>
  <conditionalFormatting sqref="J3:Q8">
    <cfRule type="containsText" dxfId="1" priority="1" operator="containsText" text="Per">
      <formula>NOT(ISERROR(SEARCH("Per",J3)))</formula>
    </cfRule>
  </conditionalFormatting>
  <pageMargins left="0.7" right="0.7" top="0.75" bottom="0.75" header="0.3" footer="0.3"/>
  <pageSetup scale="63" orientation="portrait" r:id="rId1"/>
  <rowBreaks count="2" manualBreakCount="2">
    <brk id="72" max="16383" man="1"/>
    <brk id="130" max="16383"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9F8A292C-CC5C-4AF0-85EB-9BE5CB0AE2D8}">
          <x14:formula1>
            <xm:f>Codes!$F$67:$F$69</xm:f>
          </x14:formula1>
          <xm:sqref>C68:C71 C126:C131</xm:sqref>
        </x14:dataValidation>
        <x14:dataValidation type="list" allowBlank="1" showInputMessage="1" showErrorMessage="1" xr:uid="{B1913A3F-34A4-47F0-869F-F8D8BACC223A}">
          <x14:formula1>
            <xm:f>'LEA Names'!$A$1:$A$319</xm:f>
          </x14:formula1>
          <xm:sqref>E6</xm:sqref>
        </x14:dataValidation>
        <x14:dataValidation type="list" allowBlank="1" showInputMessage="1" showErrorMessage="1" xr:uid="{D9662E80-1E4F-4FFE-A34D-1BB937C41558}">
          <x14:formula1>
            <xm:f>'Data for Model'!$B$2:$B$281</xm:f>
          </x14:formula1>
          <xm:sqref>E4</xm:sqref>
        </x14:dataValidation>
        <x14:dataValidation type="list" allowBlank="1" showInputMessage="1" showErrorMessage="1" xr:uid="{B03E57C3-752A-45B5-BC37-06EF14DCD41C}">
          <x14:formula1>
            <xm:f>'Final Prog 99 XS NCES List'!$N$6:$N$9</xm:f>
          </x14:formula1>
          <xm:sqref>C18:C67 C76:C125 C135:C184</xm:sqref>
        </x14:dataValidation>
        <x14:dataValidation type="list" allowBlank="1" showInputMessage="1" showErrorMessage="1" xr:uid="{B6B408A6-1883-4199-BA9F-F2CF0571D914}">
          <x14:formula1>
            <xm:f>Codes!$K$2:$K$64</xm:f>
          </x14:formula1>
          <xm:sqref>E135:E184 E130:E131 E76:E125 E18:E67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CFB1E-918C-44B4-BD71-D79EF0985CAF}">
  <dimension ref="A1:V99"/>
  <sheetViews>
    <sheetView topLeftCell="A13" workbookViewId="0">
      <selection activeCell="N39" sqref="N39"/>
    </sheetView>
  </sheetViews>
  <sheetFormatPr defaultRowHeight="14.5" x14ac:dyDescent="0.35"/>
  <cols>
    <col min="1" max="1" width="3.453125" customWidth="1"/>
    <col min="2" max="2" width="11.7265625" bestFit="1" customWidth="1"/>
    <col min="3" max="3" width="7.453125" customWidth="1"/>
    <col min="4" max="4" width="11.1796875" bestFit="1" customWidth="1"/>
    <col min="5" max="5" width="1.81640625" customWidth="1"/>
    <col min="6" max="7" width="3" bestFit="1" customWidth="1"/>
    <col min="8" max="8" width="3.453125" bestFit="1" customWidth="1"/>
    <col min="9" max="9" width="5.453125" bestFit="1" customWidth="1"/>
    <col min="10" max="10" width="28" bestFit="1" customWidth="1"/>
    <col min="11" max="11" width="18.1796875" bestFit="1" customWidth="1"/>
    <col min="12" max="12" width="66.7265625" bestFit="1" customWidth="1"/>
    <col min="13" max="13" width="5.453125" customWidth="1"/>
    <col min="14" max="14" width="3" bestFit="1" customWidth="1"/>
    <col min="15" max="15" width="23" bestFit="1" customWidth="1"/>
    <col min="16" max="16" width="5" bestFit="1" customWidth="1"/>
    <col min="17" max="22" width="8.81640625" customWidth="1"/>
  </cols>
  <sheetData>
    <row r="1" spans="1:22" ht="16.5" x14ac:dyDescent="0.35">
      <c r="J1" s="57" t="s">
        <v>283</v>
      </c>
      <c r="N1" s="204" t="s">
        <v>283</v>
      </c>
      <c r="O1" s="204"/>
      <c r="P1" s="204"/>
      <c r="Q1" s="204"/>
      <c r="R1" s="204"/>
      <c r="S1" s="204"/>
      <c r="T1" s="204"/>
      <c r="U1" s="204"/>
      <c r="V1" s="204"/>
    </row>
    <row r="2" spans="1:22" ht="16" x14ac:dyDescent="0.35">
      <c r="J2" s="58" t="s">
        <v>285</v>
      </c>
      <c r="N2" s="55" t="s">
        <v>285</v>
      </c>
      <c r="O2" s="55"/>
      <c r="P2" s="55"/>
      <c r="Q2" s="55"/>
      <c r="R2" s="55"/>
      <c r="S2" s="55"/>
      <c r="T2" s="55"/>
      <c r="U2" s="55"/>
      <c r="V2" s="55"/>
    </row>
    <row r="3" spans="1:22" ht="16.5" thickBot="1" x14ac:dyDescent="0.4">
      <c r="J3" s="58" t="s">
        <v>286</v>
      </c>
      <c r="N3" s="56" t="s">
        <v>284</v>
      </c>
      <c r="O3" s="56"/>
      <c r="P3" s="56"/>
      <c r="Q3" s="56"/>
      <c r="R3" s="56"/>
      <c r="S3" s="56"/>
      <c r="T3" s="56"/>
      <c r="U3" s="56"/>
      <c r="V3" s="56"/>
    </row>
    <row r="4" spans="1:22" x14ac:dyDescent="0.35">
      <c r="N4" s="26"/>
      <c r="O4" s="27"/>
      <c r="P4" s="27"/>
      <c r="Q4" s="28" t="s">
        <v>254</v>
      </c>
      <c r="R4" s="28" t="s">
        <v>257</v>
      </c>
      <c r="S4" s="28" t="s">
        <v>258</v>
      </c>
      <c r="T4" s="29" t="s">
        <v>67</v>
      </c>
      <c r="U4" s="28" t="s">
        <v>259</v>
      </c>
      <c r="V4" s="30" t="s">
        <v>260</v>
      </c>
    </row>
    <row r="5" spans="1:22" ht="16" thickBot="1" x14ac:dyDescent="0.4">
      <c r="A5" s="1" t="s">
        <v>0</v>
      </c>
      <c r="N5" s="31"/>
      <c r="O5" s="32"/>
      <c r="P5" s="32"/>
      <c r="Q5" s="33" t="s">
        <v>261</v>
      </c>
      <c r="R5" s="33" t="s">
        <v>262</v>
      </c>
      <c r="S5" s="33" t="s">
        <v>263</v>
      </c>
      <c r="T5" s="34" t="s">
        <v>264</v>
      </c>
      <c r="U5" s="33" t="s">
        <v>265</v>
      </c>
      <c r="V5" s="35" t="s">
        <v>266</v>
      </c>
    </row>
    <row r="6" spans="1:22" ht="15" thickBot="1" x14ac:dyDescent="0.4">
      <c r="B6" t="s">
        <v>1</v>
      </c>
      <c r="C6" t="s">
        <v>18</v>
      </c>
      <c r="L6" s="23" t="s">
        <v>280</v>
      </c>
      <c r="N6" s="31"/>
      <c r="O6" s="35" t="s">
        <v>267</v>
      </c>
      <c r="P6" s="35" t="s">
        <v>268</v>
      </c>
      <c r="Q6" s="36">
        <v>0</v>
      </c>
      <c r="R6" s="53">
        <v>-3</v>
      </c>
      <c r="S6" s="53">
        <v>-4</v>
      </c>
      <c r="T6" s="53">
        <v>-5</v>
      </c>
      <c r="U6" s="53">
        <v>-7</v>
      </c>
      <c r="V6" s="54">
        <v>-9</v>
      </c>
    </row>
    <row r="7" spans="1:22" ht="15" thickBot="1" x14ac:dyDescent="0.4">
      <c r="D7" s="2" t="s">
        <v>19</v>
      </c>
      <c r="F7" s="3">
        <v>99</v>
      </c>
      <c r="G7" s="4">
        <v>25</v>
      </c>
      <c r="H7" s="5">
        <v>3</v>
      </c>
      <c r="I7" s="5">
        <v>110</v>
      </c>
      <c r="J7" s="7" t="s">
        <v>5</v>
      </c>
      <c r="K7" s="7" t="s">
        <v>289</v>
      </c>
      <c r="L7" s="7" t="s">
        <v>7</v>
      </c>
      <c r="N7" s="37">
        <v>25</v>
      </c>
      <c r="O7" s="38" t="s">
        <v>281</v>
      </c>
      <c r="P7" s="39"/>
      <c r="Q7" s="40"/>
      <c r="R7" s="40"/>
      <c r="S7" s="40"/>
      <c r="T7" s="40"/>
      <c r="U7" s="40"/>
      <c r="V7" s="42"/>
    </row>
    <row r="8" spans="1:22" ht="15" thickBot="1" x14ac:dyDescent="0.4">
      <c r="D8" s="2" t="s">
        <v>21</v>
      </c>
      <c r="F8" s="3">
        <v>99</v>
      </c>
      <c r="G8" s="4">
        <v>25</v>
      </c>
      <c r="H8" s="5">
        <v>3</v>
      </c>
      <c r="I8" s="5">
        <v>120</v>
      </c>
      <c r="J8" s="7" t="s">
        <v>5</v>
      </c>
      <c r="K8" s="7" t="s">
        <v>289</v>
      </c>
      <c r="L8" s="7" t="s">
        <v>9</v>
      </c>
      <c r="N8" s="37">
        <v>52</v>
      </c>
      <c r="O8" s="38" t="s">
        <v>270</v>
      </c>
      <c r="P8" s="43"/>
      <c r="Q8" s="40"/>
      <c r="R8" s="40"/>
      <c r="S8" s="40"/>
      <c r="T8" s="40"/>
      <c r="U8" s="40"/>
      <c r="V8" s="42"/>
    </row>
    <row r="9" spans="1:22" ht="15" thickBot="1" x14ac:dyDescent="0.4">
      <c r="D9" s="2" t="s">
        <v>22</v>
      </c>
      <c r="F9" s="3">
        <v>99</v>
      </c>
      <c r="G9" s="4">
        <v>25</v>
      </c>
      <c r="H9" s="5">
        <v>3</v>
      </c>
      <c r="I9" s="5">
        <v>130</v>
      </c>
      <c r="J9" s="7" t="s">
        <v>5</v>
      </c>
      <c r="K9" s="7" t="s">
        <v>289</v>
      </c>
      <c r="L9" s="7" t="s">
        <v>23</v>
      </c>
      <c r="N9" s="37">
        <v>53</v>
      </c>
      <c r="O9" s="38" t="s">
        <v>271</v>
      </c>
      <c r="P9" s="43"/>
      <c r="Q9" s="40"/>
      <c r="R9" s="40"/>
      <c r="S9" s="40"/>
      <c r="T9" s="40"/>
      <c r="U9" s="40"/>
      <c r="V9" s="42"/>
    </row>
    <row r="10" spans="1:22" ht="15" thickBot="1" x14ac:dyDescent="0.4">
      <c r="N10" s="31"/>
      <c r="O10" s="42" t="s">
        <v>275</v>
      </c>
      <c r="P10" s="42"/>
      <c r="Q10" s="40"/>
      <c r="R10" s="40"/>
      <c r="S10" s="40"/>
      <c r="T10" s="40"/>
      <c r="U10" s="40"/>
      <c r="V10" s="42"/>
    </row>
    <row r="11" spans="1:22" x14ac:dyDescent="0.35">
      <c r="B11" t="s">
        <v>1</v>
      </c>
      <c r="C11" t="s">
        <v>27</v>
      </c>
      <c r="L11" s="23" t="s">
        <v>280</v>
      </c>
    </row>
    <row r="12" spans="1:22" x14ac:dyDescent="0.35">
      <c r="D12" s="2" t="s">
        <v>1029</v>
      </c>
      <c r="F12" s="3">
        <v>99</v>
      </c>
      <c r="G12" s="4">
        <v>25</v>
      </c>
      <c r="H12" s="5">
        <v>4</v>
      </c>
      <c r="I12" s="5">
        <v>100</v>
      </c>
      <c r="J12" s="7" t="s">
        <v>5</v>
      </c>
      <c r="K12" s="7" t="s">
        <v>29</v>
      </c>
      <c r="L12" s="7" t="s">
        <v>20</v>
      </c>
    </row>
    <row r="14" spans="1:22" x14ac:dyDescent="0.35">
      <c r="B14" t="s">
        <v>1</v>
      </c>
      <c r="C14" t="s">
        <v>65</v>
      </c>
      <c r="L14" s="23" t="s">
        <v>280</v>
      </c>
    </row>
    <row r="15" spans="1:22" x14ac:dyDescent="0.35">
      <c r="D15" s="2" t="s">
        <v>1035</v>
      </c>
      <c r="F15" s="3">
        <v>99</v>
      </c>
      <c r="G15" s="4">
        <v>25</v>
      </c>
      <c r="H15" s="5">
        <v>5</v>
      </c>
      <c r="I15" s="5">
        <v>600</v>
      </c>
      <c r="J15" s="7" t="s">
        <v>5</v>
      </c>
      <c r="K15" s="7" t="s">
        <v>290</v>
      </c>
      <c r="L15" s="7" t="s">
        <v>68</v>
      </c>
    </row>
    <row r="17" spans="2:12" x14ac:dyDescent="0.35">
      <c r="B17" t="s">
        <v>1</v>
      </c>
      <c r="C17" t="s">
        <v>75</v>
      </c>
      <c r="L17" s="23" t="s">
        <v>280</v>
      </c>
    </row>
    <row r="18" spans="2:12" x14ac:dyDescent="0.35">
      <c r="D18" s="2" t="s">
        <v>83</v>
      </c>
      <c r="F18" s="3">
        <v>99</v>
      </c>
      <c r="G18" s="4">
        <v>25</v>
      </c>
      <c r="H18" s="5">
        <v>7</v>
      </c>
      <c r="I18" s="5">
        <v>322</v>
      </c>
      <c r="J18" s="7" t="s">
        <v>5</v>
      </c>
      <c r="K18" s="7" t="s">
        <v>77</v>
      </c>
      <c r="L18" s="7" t="s">
        <v>84</v>
      </c>
    </row>
    <row r="19" spans="2:12" x14ac:dyDescent="0.35">
      <c r="D19" s="2" t="s">
        <v>85</v>
      </c>
      <c r="F19" s="3">
        <v>99</v>
      </c>
      <c r="G19" s="4">
        <v>25</v>
      </c>
      <c r="H19" s="5">
        <v>7</v>
      </c>
      <c r="I19" s="5">
        <v>330</v>
      </c>
      <c r="J19" s="7" t="s">
        <v>5</v>
      </c>
      <c r="K19" s="7" t="s">
        <v>77</v>
      </c>
      <c r="L19" s="7" t="s">
        <v>86</v>
      </c>
    </row>
    <row r="20" spans="2:12" x14ac:dyDescent="0.35">
      <c r="D20" s="2" t="s">
        <v>87</v>
      </c>
      <c r="F20" s="3">
        <v>99</v>
      </c>
      <c r="G20" s="4">
        <v>25</v>
      </c>
      <c r="H20" s="5">
        <v>7</v>
      </c>
      <c r="I20" s="5">
        <v>340</v>
      </c>
      <c r="J20" s="7" t="s">
        <v>5</v>
      </c>
      <c r="K20" s="7" t="s">
        <v>77</v>
      </c>
      <c r="L20" s="7" t="s">
        <v>88</v>
      </c>
    </row>
    <row r="21" spans="2:12" x14ac:dyDescent="0.35">
      <c r="D21" s="2" t="s">
        <v>89</v>
      </c>
      <c r="F21" s="3">
        <v>99</v>
      </c>
      <c r="G21" s="4">
        <v>25</v>
      </c>
      <c r="H21" s="5">
        <v>7</v>
      </c>
      <c r="I21" s="5">
        <v>350</v>
      </c>
      <c r="J21" s="7" t="s">
        <v>5</v>
      </c>
      <c r="K21" s="7" t="s">
        <v>77</v>
      </c>
      <c r="L21" s="7" t="s">
        <v>90</v>
      </c>
    </row>
    <row r="22" spans="2:12" x14ac:dyDescent="0.35">
      <c r="D22" s="2" t="s">
        <v>91</v>
      </c>
      <c r="F22" s="3">
        <v>99</v>
      </c>
      <c r="G22" s="4">
        <v>25</v>
      </c>
      <c r="H22" s="5">
        <v>7</v>
      </c>
      <c r="I22" s="5">
        <v>352</v>
      </c>
      <c r="J22" s="7" t="s">
        <v>5</v>
      </c>
      <c r="K22" s="7" t="s">
        <v>77</v>
      </c>
      <c r="L22" s="7" t="s">
        <v>92</v>
      </c>
    </row>
    <row r="23" spans="2:12" x14ac:dyDescent="0.35">
      <c r="D23" s="2" t="s">
        <v>95</v>
      </c>
      <c r="E23" s="9"/>
      <c r="F23" s="3">
        <v>99</v>
      </c>
      <c r="G23" s="4">
        <v>25</v>
      </c>
      <c r="H23" s="5">
        <v>7</v>
      </c>
      <c r="I23" s="5">
        <v>431</v>
      </c>
      <c r="J23" s="7" t="s">
        <v>5</v>
      </c>
      <c r="K23" s="7" t="s">
        <v>77</v>
      </c>
      <c r="L23" s="7" t="s">
        <v>96</v>
      </c>
    </row>
    <row r="24" spans="2:12" x14ac:dyDescent="0.35">
      <c r="D24" s="2" t="s">
        <v>97</v>
      </c>
      <c r="F24" s="3">
        <v>99</v>
      </c>
      <c r="G24" s="4">
        <v>25</v>
      </c>
      <c r="H24" s="5">
        <v>7</v>
      </c>
      <c r="I24" s="5">
        <v>432</v>
      </c>
      <c r="J24" s="7" t="s">
        <v>5</v>
      </c>
      <c r="K24" s="7" t="s">
        <v>77</v>
      </c>
      <c r="L24" s="7" t="s">
        <v>98</v>
      </c>
    </row>
    <row r="25" spans="2:12" x14ac:dyDescent="0.35">
      <c r="D25" s="2" t="s">
        <v>99</v>
      </c>
      <c r="F25" s="3">
        <v>99</v>
      </c>
      <c r="G25" s="4">
        <v>25</v>
      </c>
      <c r="H25" s="5">
        <v>7</v>
      </c>
      <c r="I25" s="5">
        <v>442</v>
      </c>
      <c r="J25" s="7" t="s">
        <v>5</v>
      </c>
      <c r="K25" s="7" t="s">
        <v>77</v>
      </c>
      <c r="L25" s="7" t="s">
        <v>100</v>
      </c>
    </row>
    <row r="27" spans="2:12" x14ac:dyDescent="0.35">
      <c r="B27" t="s">
        <v>1</v>
      </c>
      <c r="C27" t="s">
        <v>117</v>
      </c>
      <c r="L27" s="23" t="s">
        <v>280</v>
      </c>
    </row>
    <row r="28" spans="2:12" x14ac:dyDescent="0.35">
      <c r="D28" s="2" t="s">
        <v>120</v>
      </c>
      <c r="F28" s="3">
        <v>99</v>
      </c>
      <c r="G28" s="4">
        <v>25</v>
      </c>
      <c r="H28" s="5">
        <v>9</v>
      </c>
      <c r="I28" s="5">
        <v>739</v>
      </c>
      <c r="J28" s="7" t="s">
        <v>5</v>
      </c>
      <c r="K28" s="7" t="s">
        <v>117</v>
      </c>
      <c r="L28" s="7" t="s">
        <v>121</v>
      </c>
    </row>
    <row r="30" spans="2:12" x14ac:dyDescent="0.35">
      <c r="B30" t="s">
        <v>1</v>
      </c>
      <c r="C30" t="s">
        <v>126</v>
      </c>
      <c r="L30" s="23" t="s">
        <v>280</v>
      </c>
    </row>
    <row r="31" spans="2:12" x14ac:dyDescent="0.35">
      <c r="D31" s="2" t="s">
        <v>127</v>
      </c>
      <c r="F31" s="3">
        <v>99</v>
      </c>
      <c r="G31" s="4">
        <v>25</v>
      </c>
      <c r="H31" s="11" t="s">
        <v>128</v>
      </c>
      <c r="I31" s="11" t="s">
        <v>129</v>
      </c>
      <c r="J31" s="7" t="s">
        <v>5</v>
      </c>
      <c r="K31" s="7" t="s">
        <v>130</v>
      </c>
      <c r="L31" s="7" t="s">
        <v>130</v>
      </c>
    </row>
    <row r="33" spans="1:12" ht="15.5" x14ac:dyDescent="0.35">
      <c r="A33" s="1" t="s">
        <v>155</v>
      </c>
    </row>
    <row r="34" spans="1:12" x14ac:dyDescent="0.35">
      <c r="B34" t="s">
        <v>156</v>
      </c>
      <c r="C34" t="s">
        <v>157</v>
      </c>
      <c r="L34" s="23" t="s">
        <v>280</v>
      </c>
    </row>
    <row r="35" spans="1:12" x14ac:dyDescent="0.35">
      <c r="D35" s="2" t="s">
        <v>158</v>
      </c>
      <c r="F35" s="3">
        <v>99</v>
      </c>
      <c r="G35" s="4">
        <v>52</v>
      </c>
      <c r="H35" s="5">
        <v>3</v>
      </c>
      <c r="I35" s="5">
        <v>110</v>
      </c>
      <c r="J35" s="7" t="s">
        <v>159</v>
      </c>
      <c r="K35" s="7" t="s">
        <v>289</v>
      </c>
      <c r="L35" s="7" t="s">
        <v>7</v>
      </c>
    </row>
    <row r="36" spans="1:12" x14ac:dyDescent="0.35">
      <c r="D36" s="2" t="s">
        <v>160</v>
      </c>
      <c r="F36" s="3">
        <v>99</v>
      </c>
      <c r="G36" s="4">
        <v>52</v>
      </c>
      <c r="H36" s="5">
        <v>3</v>
      </c>
      <c r="I36" s="5">
        <v>120</v>
      </c>
      <c r="J36" s="7" t="s">
        <v>159</v>
      </c>
      <c r="K36" s="7" t="s">
        <v>289</v>
      </c>
      <c r="L36" s="7" t="s">
        <v>9</v>
      </c>
    </row>
    <row r="37" spans="1:12" x14ac:dyDescent="0.35">
      <c r="D37" s="2" t="s">
        <v>161</v>
      </c>
      <c r="F37" s="3">
        <v>99</v>
      </c>
      <c r="G37" s="4">
        <v>52</v>
      </c>
      <c r="H37" s="5">
        <v>3</v>
      </c>
      <c r="I37" s="5">
        <v>130</v>
      </c>
      <c r="J37" s="7" t="s">
        <v>159</v>
      </c>
      <c r="K37" s="7" t="s">
        <v>289</v>
      </c>
      <c r="L37" s="7" t="s">
        <v>23</v>
      </c>
    </row>
    <row r="39" spans="1:12" x14ac:dyDescent="0.35">
      <c r="B39" t="s">
        <v>156</v>
      </c>
      <c r="C39" t="s">
        <v>27</v>
      </c>
      <c r="L39" s="23" t="s">
        <v>280</v>
      </c>
    </row>
    <row r="40" spans="1:12" x14ac:dyDescent="0.35">
      <c r="D40" s="2" t="s">
        <v>1030</v>
      </c>
      <c r="F40" s="3">
        <v>99</v>
      </c>
      <c r="G40" s="4">
        <v>52</v>
      </c>
      <c r="H40" s="5">
        <v>4</v>
      </c>
      <c r="I40" s="5">
        <v>100</v>
      </c>
      <c r="J40" s="7" t="s">
        <v>159</v>
      </c>
      <c r="K40" s="7" t="s">
        <v>29</v>
      </c>
      <c r="L40" s="7" t="s">
        <v>20</v>
      </c>
    </row>
    <row r="42" spans="1:12" x14ac:dyDescent="0.35">
      <c r="B42" t="s">
        <v>156</v>
      </c>
      <c r="C42" t="s">
        <v>65</v>
      </c>
      <c r="L42" s="23" t="s">
        <v>280</v>
      </c>
    </row>
    <row r="43" spans="1:12" x14ac:dyDescent="0.35">
      <c r="D43" s="2" t="s">
        <v>174</v>
      </c>
      <c r="F43" s="3">
        <v>99</v>
      </c>
      <c r="G43" s="4">
        <v>52</v>
      </c>
      <c r="H43" s="5">
        <v>5</v>
      </c>
      <c r="I43" s="5">
        <v>610</v>
      </c>
      <c r="J43" s="7" t="s">
        <v>159</v>
      </c>
      <c r="K43" s="7" t="s">
        <v>67</v>
      </c>
      <c r="L43" s="7" t="s">
        <v>68</v>
      </c>
    </row>
    <row r="44" spans="1:12" x14ac:dyDescent="0.35">
      <c r="D44" s="2" t="s">
        <v>175</v>
      </c>
      <c r="F44" s="3">
        <v>99</v>
      </c>
      <c r="G44" s="4">
        <v>52</v>
      </c>
      <c r="H44" s="5">
        <v>5</v>
      </c>
      <c r="I44" s="5">
        <v>626</v>
      </c>
      <c r="J44" s="7" t="s">
        <v>159</v>
      </c>
      <c r="K44" s="7" t="s">
        <v>67</v>
      </c>
      <c r="L44" s="7" t="s">
        <v>70</v>
      </c>
    </row>
    <row r="45" spans="1:12" x14ac:dyDescent="0.35">
      <c r="D45" s="2" t="s">
        <v>176</v>
      </c>
      <c r="F45" s="3">
        <v>99</v>
      </c>
      <c r="G45" s="4">
        <v>52</v>
      </c>
      <c r="H45" s="5">
        <v>5</v>
      </c>
      <c r="I45" s="5">
        <v>640</v>
      </c>
      <c r="J45" s="7" t="s">
        <v>159</v>
      </c>
      <c r="K45" s="7" t="s">
        <v>67</v>
      </c>
      <c r="L45" s="7" t="s">
        <v>72</v>
      </c>
    </row>
    <row r="46" spans="1:12" x14ac:dyDescent="0.35">
      <c r="D46" s="2" t="s">
        <v>177</v>
      </c>
      <c r="F46" s="3">
        <v>99</v>
      </c>
      <c r="G46" s="4">
        <v>52</v>
      </c>
      <c r="H46" s="5">
        <v>5</v>
      </c>
      <c r="I46" s="5">
        <v>650</v>
      </c>
      <c r="J46" s="7" t="s">
        <v>159</v>
      </c>
      <c r="K46" s="7" t="s">
        <v>67</v>
      </c>
      <c r="L46" s="7" t="s">
        <v>74</v>
      </c>
    </row>
    <row r="48" spans="1:12" x14ac:dyDescent="0.35">
      <c r="B48" t="s">
        <v>156</v>
      </c>
      <c r="C48" t="s">
        <v>75</v>
      </c>
      <c r="L48" s="23" t="s">
        <v>280</v>
      </c>
    </row>
    <row r="49" spans="2:12" x14ac:dyDescent="0.35">
      <c r="D49" s="2" t="s">
        <v>179</v>
      </c>
      <c r="F49" s="3">
        <v>99</v>
      </c>
      <c r="G49" s="4">
        <v>52</v>
      </c>
      <c r="H49" s="5">
        <v>7</v>
      </c>
      <c r="I49" s="5">
        <v>330</v>
      </c>
      <c r="J49" s="7" t="s">
        <v>159</v>
      </c>
      <c r="K49" s="7" t="s">
        <v>77</v>
      </c>
      <c r="L49" s="7" t="s">
        <v>86</v>
      </c>
    </row>
    <row r="50" spans="2:12" x14ac:dyDescent="0.35">
      <c r="D50" s="2" t="s">
        <v>180</v>
      </c>
      <c r="F50" s="3">
        <v>99</v>
      </c>
      <c r="G50" s="4">
        <v>52</v>
      </c>
      <c r="H50" s="5">
        <v>7</v>
      </c>
      <c r="I50" s="5">
        <v>340</v>
      </c>
      <c r="J50" s="7" t="s">
        <v>159</v>
      </c>
      <c r="K50" s="7" t="s">
        <v>77</v>
      </c>
      <c r="L50" s="7" t="s">
        <v>88</v>
      </c>
    </row>
    <row r="51" spans="2:12" x14ac:dyDescent="0.35">
      <c r="D51" s="2" t="s">
        <v>181</v>
      </c>
      <c r="F51" s="3">
        <v>99</v>
      </c>
      <c r="G51" s="4">
        <v>52</v>
      </c>
      <c r="H51" s="5">
        <v>7</v>
      </c>
      <c r="I51" s="5">
        <v>350</v>
      </c>
      <c r="J51" s="7" t="s">
        <v>159</v>
      </c>
      <c r="K51" s="7" t="s">
        <v>77</v>
      </c>
      <c r="L51" s="7" t="s">
        <v>90</v>
      </c>
    </row>
    <row r="52" spans="2:12" x14ac:dyDescent="0.35">
      <c r="D52" s="2" t="s">
        <v>182</v>
      </c>
      <c r="F52" s="3">
        <v>99</v>
      </c>
      <c r="G52" s="4">
        <v>52</v>
      </c>
      <c r="H52" s="5">
        <v>7</v>
      </c>
      <c r="I52" s="5">
        <v>352</v>
      </c>
      <c r="J52" s="7" t="s">
        <v>159</v>
      </c>
      <c r="K52" s="7" t="s">
        <v>77</v>
      </c>
      <c r="L52" s="7" t="s">
        <v>92</v>
      </c>
    </row>
    <row r="53" spans="2:12" x14ac:dyDescent="0.35">
      <c r="D53" s="2" t="s">
        <v>183</v>
      </c>
      <c r="F53" s="3">
        <v>99</v>
      </c>
      <c r="G53" s="5">
        <v>52</v>
      </c>
      <c r="H53" s="5">
        <v>7</v>
      </c>
      <c r="I53" s="5">
        <v>420</v>
      </c>
      <c r="J53" s="8" t="s">
        <v>159</v>
      </c>
      <c r="K53" s="7" t="s">
        <v>77</v>
      </c>
      <c r="L53" s="7" t="s">
        <v>94</v>
      </c>
    </row>
    <row r="54" spans="2:12" x14ac:dyDescent="0.35">
      <c r="D54" s="2" t="s">
        <v>184</v>
      </c>
      <c r="F54" s="3">
        <v>99</v>
      </c>
      <c r="G54" s="4">
        <v>52</v>
      </c>
      <c r="H54" s="5">
        <v>7</v>
      </c>
      <c r="I54" s="5">
        <v>431</v>
      </c>
      <c r="J54" s="7" t="s">
        <v>159</v>
      </c>
      <c r="K54" s="7" t="s">
        <v>77</v>
      </c>
      <c r="L54" s="7" t="s">
        <v>96</v>
      </c>
    </row>
    <row r="55" spans="2:12" x14ac:dyDescent="0.35">
      <c r="D55" s="2" t="s">
        <v>185</v>
      </c>
      <c r="F55" s="3">
        <v>99</v>
      </c>
      <c r="G55" s="4">
        <v>52</v>
      </c>
      <c r="H55" s="5">
        <v>7</v>
      </c>
      <c r="I55" s="5">
        <v>432</v>
      </c>
      <c r="J55" s="7" t="s">
        <v>159</v>
      </c>
      <c r="K55" s="7" t="s">
        <v>77</v>
      </c>
      <c r="L55" s="7" t="s">
        <v>98</v>
      </c>
    </row>
    <row r="56" spans="2:12" x14ac:dyDescent="0.35">
      <c r="D56" s="2" t="s">
        <v>186</v>
      </c>
      <c r="F56" s="3">
        <v>99</v>
      </c>
      <c r="G56" s="4">
        <v>52</v>
      </c>
      <c r="H56" s="5">
        <v>7</v>
      </c>
      <c r="I56" s="5">
        <v>442</v>
      </c>
      <c r="J56" s="7" t="s">
        <v>159</v>
      </c>
      <c r="K56" s="7" t="s">
        <v>77</v>
      </c>
      <c r="L56" s="7" t="s">
        <v>100</v>
      </c>
    </row>
    <row r="57" spans="2:12" x14ac:dyDescent="0.35">
      <c r="D57" s="2" t="s">
        <v>189</v>
      </c>
      <c r="F57" s="3">
        <v>99</v>
      </c>
      <c r="G57" s="4">
        <v>52</v>
      </c>
      <c r="H57" s="5">
        <v>7</v>
      </c>
      <c r="I57" s="5">
        <v>511</v>
      </c>
      <c r="J57" s="7" t="s">
        <v>159</v>
      </c>
      <c r="K57" s="7" t="s">
        <v>77</v>
      </c>
      <c r="L57" s="7" t="s">
        <v>149</v>
      </c>
    </row>
    <row r="58" spans="2:12" x14ac:dyDescent="0.35">
      <c r="D58" s="2" t="s">
        <v>190</v>
      </c>
      <c r="F58" s="3">
        <v>99</v>
      </c>
      <c r="G58" s="4">
        <v>52</v>
      </c>
      <c r="H58" s="5">
        <v>7</v>
      </c>
      <c r="I58" s="5">
        <v>512</v>
      </c>
      <c r="J58" s="7" t="s">
        <v>159</v>
      </c>
      <c r="K58" s="7" t="s">
        <v>77</v>
      </c>
      <c r="L58" s="7" t="s">
        <v>151</v>
      </c>
    </row>
    <row r="59" spans="2:12" x14ac:dyDescent="0.35">
      <c r="D59" s="2" t="s">
        <v>191</v>
      </c>
      <c r="F59" s="3">
        <v>99</v>
      </c>
      <c r="G59" s="4">
        <v>52</v>
      </c>
      <c r="H59" s="5">
        <v>7</v>
      </c>
      <c r="I59" s="5">
        <v>519</v>
      </c>
      <c r="J59" s="7" t="s">
        <v>159</v>
      </c>
      <c r="K59" s="7" t="s">
        <v>77</v>
      </c>
      <c r="L59" s="7" t="s">
        <v>153</v>
      </c>
    </row>
    <row r="60" spans="2:12" x14ac:dyDescent="0.35">
      <c r="D60" s="2" t="s">
        <v>194</v>
      </c>
      <c r="F60" s="3">
        <v>99</v>
      </c>
      <c r="G60" s="4">
        <v>52</v>
      </c>
      <c r="H60" s="5">
        <v>7</v>
      </c>
      <c r="I60" s="5">
        <v>591</v>
      </c>
      <c r="J60" s="7" t="s">
        <v>159</v>
      </c>
      <c r="K60" s="7" t="s">
        <v>77</v>
      </c>
      <c r="L60" s="7" t="s">
        <v>195</v>
      </c>
    </row>
    <row r="61" spans="2:12" x14ac:dyDescent="0.35">
      <c r="D61" s="2" t="s">
        <v>196</v>
      </c>
      <c r="F61" s="3">
        <v>99</v>
      </c>
      <c r="G61" s="4">
        <v>52</v>
      </c>
      <c r="H61" s="5">
        <v>7</v>
      </c>
      <c r="I61" s="5">
        <v>592</v>
      </c>
      <c r="J61" s="7" t="s">
        <v>159</v>
      </c>
      <c r="K61" s="7" t="s">
        <v>77</v>
      </c>
      <c r="L61" s="7" t="s">
        <v>197</v>
      </c>
    </row>
    <row r="62" spans="2:12" x14ac:dyDescent="0.35">
      <c r="D62" s="2" t="s">
        <v>198</v>
      </c>
      <c r="F62" s="3">
        <v>99</v>
      </c>
      <c r="G62" s="4">
        <v>52</v>
      </c>
      <c r="H62" s="5">
        <v>7</v>
      </c>
      <c r="I62" s="5">
        <v>623</v>
      </c>
      <c r="J62" s="7" t="s">
        <v>159</v>
      </c>
      <c r="K62" s="7" t="s">
        <v>77</v>
      </c>
      <c r="L62" s="7" t="s">
        <v>199</v>
      </c>
    </row>
    <row r="64" spans="2:12" x14ac:dyDescent="0.35">
      <c r="B64" t="s">
        <v>156</v>
      </c>
      <c r="C64" t="s">
        <v>117</v>
      </c>
      <c r="L64" s="23" t="s">
        <v>280</v>
      </c>
    </row>
    <row r="65" spans="1:12" x14ac:dyDescent="0.35">
      <c r="D65" s="2" t="s">
        <v>1034</v>
      </c>
      <c r="F65" s="3">
        <v>99</v>
      </c>
      <c r="G65" s="4">
        <v>52</v>
      </c>
      <c r="H65" s="5">
        <v>9</v>
      </c>
      <c r="I65" s="5">
        <v>700</v>
      </c>
      <c r="J65" s="7" t="s">
        <v>159</v>
      </c>
      <c r="K65" s="7" t="s">
        <v>117</v>
      </c>
      <c r="L65" s="7" t="s">
        <v>1033</v>
      </c>
    </row>
    <row r="67" spans="1:12" x14ac:dyDescent="0.35">
      <c r="B67" t="s">
        <v>156</v>
      </c>
      <c r="C67" t="s">
        <v>126</v>
      </c>
      <c r="L67" s="23" t="s">
        <v>280</v>
      </c>
    </row>
    <row r="68" spans="1:12" x14ac:dyDescent="0.35">
      <c r="D68" s="2" t="s">
        <v>206</v>
      </c>
      <c r="F68" s="3">
        <v>99</v>
      </c>
      <c r="G68" s="4">
        <v>52</v>
      </c>
      <c r="H68" s="11" t="s">
        <v>128</v>
      </c>
      <c r="I68" s="11" t="s">
        <v>129</v>
      </c>
      <c r="J68" s="7" t="s">
        <v>159</v>
      </c>
      <c r="K68" s="7" t="s">
        <v>130</v>
      </c>
      <c r="L68" s="7" t="s">
        <v>130</v>
      </c>
    </row>
    <row r="70" spans="1:12" ht="15.5" x14ac:dyDescent="0.35">
      <c r="A70" s="1" t="s">
        <v>207</v>
      </c>
    </row>
    <row r="71" spans="1:12" x14ac:dyDescent="0.35">
      <c r="B71" t="s">
        <v>208</v>
      </c>
      <c r="C71" t="s">
        <v>209</v>
      </c>
      <c r="L71" s="23" t="s">
        <v>280</v>
      </c>
    </row>
    <row r="72" spans="1:12" x14ac:dyDescent="0.35">
      <c r="D72" s="2" t="s">
        <v>210</v>
      </c>
      <c r="F72" s="3">
        <v>99</v>
      </c>
      <c r="G72" s="4">
        <v>53</v>
      </c>
      <c r="H72" s="5">
        <v>3</v>
      </c>
      <c r="I72" s="5">
        <v>110</v>
      </c>
      <c r="J72" s="7" t="s">
        <v>211</v>
      </c>
      <c r="K72" s="7" t="s">
        <v>289</v>
      </c>
      <c r="L72" s="7" t="s">
        <v>7</v>
      </c>
    </row>
    <row r="73" spans="1:12" x14ac:dyDescent="0.35">
      <c r="D73" s="2" t="s">
        <v>212</v>
      </c>
      <c r="F73" s="3">
        <v>99</v>
      </c>
      <c r="G73" s="4">
        <v>53</v>
      </c>
      <c r="H73" s="5">
        <v>3</v>
      </c>
      <c r="I73" s="5">
        <v>120</v>
      </c>
      <c r="J73" s="7" t="s">
        <v>211</v>
      </c>
      <c r="K73" s="7" t="s">
        <v>289</v>
      </c>
      <c r="L73" s="7" t="s">
        <v>9</v>
      </c>
    </row>
    <row r="74" spans="1:12" x14ac:dyDescent="0.35">
      <c r="D74" s="2" t="s">
        <v>213</v>
      </c>
      <c r="F74" s="3">
        <v>99</v>
      </c>
      <c r="G74" s="4">
        <v>53</v>
      </c>
      <c r="H74" s="5">
        <v>3</v>
      </c>
      <c r="I74" s="5">
        <v>130</v>
      </c>
      <c r="J74" s="7" t="s">
        <v>211</v>
      </c>
      <c r="K74" s="7" t="s">
        <v>289</v>
      </c>
      <c r="L74" s="7" t="s">
        <v>23</v>
      </c>
    </row>
    <row r="76" spans="1:12" x14ac:dyDescent="0.35">
      <c r="B76" t="s">
        <v>208</v>
      </c>
      <c r="C76" t="s">
        <v>27</v>
      </c>
      <c r="L76" s="23" t="s">
        <v>280</v>
      </c>
    </row>
    <row r="77" spans="1:12" x14ac:dyDescent="0.35">
      <c r="D77" s="2" t="s">
        <v>1031</v>
      </c>
      <c r="F77" s="3">
        <v>99</v>
      </c>
      <c r="G77" s="4">
        <v>53</v>
      </c>
      <c r="H77" s="5">
        <v>4</v>
      </c>
      <c r="I77" s="5">
        <v>100</v>
      </c>
      <c r="J77" s="7" t="s">
        <v>211</v>
      </c>
      <c r="K77" s="7" t="s">
        <v>29</v>
      </c>
      <c r="L77" s="7" t="s">
        <v>20</v>
      </c>
    </row>
    <row r="79" spans="1:12" x14ac:dyDescent="0.35">
      <c r="B79" t="s">
        <v>208</v>
      </c>
      <c r="C79" t="s">
        <v>65</v>
      </c>
      <c r="L79" s="23" t="s">
        <v>280</v>
      </c>
    </row>
    <row r="80" spans="1:12" x14ac:dyDescent="0.35">
      <c r="D80" s="2" t="s">
        <v>226</v>
      </c>
      <c r="F80" s="3">
        <v>99</v>
      </c>
      <c r="G80" s="4">
        <v>53</v>
      </c>
      <c r="H80" s="5">
        <v>5</v>
      </c>
      <c r="I80" s="5">
        <v>610</v>
      </c>
      <c r="J80" s="7" t="s">
        <v>211</v>
      </c>
      <c r="K80" s="7" t="s">
        <v>290</v>
      </c>
      <c r="L80" s="7" t="s">
        <v>68</v>
      </c>
    </row>
    <row r="81" spans="2:12" x14ac:dyDescent="0.35">
      <c r="D81" s="2" t="s">
        <v>229</v>
      </c>
      <c r="F81" s="3">
        <v>99</v>
      </c>
      <c r="G81" s="4">
        <v>53</v>
      </c>
      <c r="H81" s="5">
        <v>5</v>
      </c>
      <c r="I81" s="5">
        <v>650</v>
      </c>
      <c r="J81" s="7" t="s">
        <v>211</v>
      </c>
      <c r="K81" s="7" t="s">
        <v>292</v>
      </c>
      <c r="L81" s="7" t="s">
        <v>74</v>
      </c>
    </row>
    <row r="83" spans="2:12" x14ac:dyDescent="0.35">
      <c r="B83" t="s">
        <v>208</v>
      </c>
      <c r="C83" t="s">
        <v>75</v>
      </c>
      <c r="L83" s="23" t="s">
        <v>280</v>
      </c>
    </row>
    <row r="84" spans="2:12" x14ac:dyDescent="0.35">
      <c r="D84" s="2" t="s">
        <v>230</v>
      </c>
      <c r="F84" s="3">
        <v>99</v>
      </c>
      <c r="G84" s="4">
        <v>53</v>
      </c>
      <c r="H84" s="5">
        <v>7</v>
      </c>
      <c r="I84" s="5">
        <v>330</v>
      </c>
      <c r="J84" s="7" t="s">
        <v>211</v>
      </c>
      <c r="K84" s="7" t="s">
        <v>77</v>
      </c>
      <c r="L84" s="7" t="s">
        <v>86</v>
      </c>
    </row>
    <row r="85" spans="2:12" x14ac:dyDescent="0.35">
      <c r="D85" s="2" t="s">
        <v>231</v>
      </c>
      <c r="F85" s="3">
        <v>99</v>
      </c>
      <c r="G85" s="4">
        <v>53</v>
      </c>
      <c r="H85" s="5">
        <v>7</v>
      </c>
      <c r="I85" s="5">
        <v>340</v>
      </c>
      <c r="J85" s="7" t="s">
        <v>211</v>
      </c>
      <c r="K85" s="7" t="s">
        <v>77</v>
      </c>
      <c r="L85" s="7" t="s">
        <v>88</v>
      </c>
    </row>
    <row r="86" spans="2:12" x14ac:dyDescent="0.35">
      <c r="D86" s="2" t="s">
        <v>232</v>
      </c>
      <c r="F86" s="3">
        <v>99</v>
      </c>
      <c r="G86" s="4">
        <v>53</v>
      </c>
      <c r="H86" s="5">
        <v>7</v>
      </c>
      <c r="I86" s="5">
        <v>350</v>
      </c>
      <c r="J86" s="7" t="s">
        <v>211</v>
      </c>
      <c r="K86" s="7" t="s">
        <v>77</v>
      </c>
      <c r="L86" s="7" t="s">
        <v>90</v>
      </c>
    </row>
    <row r="87" spans="2:12" x14ac:dyDescent="0.35">
      <c r="D87" s="2" t="s">
        <v>233</v>
      </c>
      <c r="F87" s="3">
        <v>99</v>
      </c>
      <c r="G87" s="4">
        <v>53</v>
      </c>
      <c r="H87" s="5">
        <v>7</v>
      </c>
      <c r="I87" s="5">
        <v>352</v>
      </c>
      <c r="J87" s="7" t="s">
        <v>211</v>
      </c>
      <c r="K87" s="7" t="s">
        <v>77</v>
      </c>
      <c r="L87" s="7" t="s">
        <v>92</v>
      </c>
    </row>
    <row r="88" spans="2:12" x14ac:dyDescent="0.35">
      <c r="D88" s="2" t="s">
        <v>234</v>
      </c>
      <c r="F88" s="3">
        <v>99</v>
      </c>
      <c r="G88" s="4">
        <v>53</v>
      </c>
      <c r="H88" s="5">
        <v>7</v>
      </c>
      <c r="I88" s="5">
        <v>420</v>
      </c>
      <c r="J88" s="7" t="s">
        <v>211</v>
      </c>
      <c r="K88" s="7" t="s">
        <v>77</v>
      </c>
      <c r="L88" s="7" t="s">
        <v>94</v>
      </c>
    </row>
    <row r="89" spans="2:12" x14ac:dyDescent="0.35">
      <c r="D89" s="2" t="s">
        <v>235</v>
      </c>
      <c r="F89" s="3">
        <v>99</v>
      </c>
      <c r="G89" s="4">
        <v>53</v>
      </c>
      <c r="H89" s="5">
        <v>7</v>
      </c>
      <c r="I89" s="5">
        <v>431</v>
      </c>
      <c r="J89" s="7" t="s">
        <v>211</v>
      </c>
      <c r="K89" s="7" t="s">
        <v>77</v>
      </c>
      <c r="L89" s="7" t="s">
        <v>96</v>
      </c>
    </row>
    <row r="90" spans="2:12" x14ac:dyDescent="0.35">
      <c r="D90" s="2" t="s">
        <v>236</v>
      </c>
      <c r="F90" s="3">
        <v>99</v>
      </c>
      <c r="G90" s="4">
        <v>53</v>
      </c>
      <c r="H90" s="5">
        <v>7</v>
      </c>
      <c r="I90" s="5">
        <v>432</v>
      </c>
      <c r="J90" s="7" t="s">
        <v>211</v>
      </c>
      <c r="K90" s="7" t="s">
        <v>77</v>
      </c>
      <c r="L90" s="7" t="s">
        <v>98</v>
      </c>
    </row>
    <row r="91" spans="2:12" x14ac:dyDescent="0.35">
      <c r="D91" s="2" t="s">
        <v>242</v>
      </c>
      <c r="F91" s="3">
        <v>99</v>
      </c>
      <c r="G91" s="4">
        <v>53</v>
      </c>
      <c r="H91" s="5">
        <v>7</v>
      </c>
      <c r="I91" s="5">
        <v>591</v>
      </c>
      <c r="J91" s="7" t="s">
        <v>211</v>
      </c>
      <c r="K91" s="7" t="s">
        <v>77</v>
      </c>
      <c r="L91" s="7" t="s">
        <v>195</v>
      </c>
    </row>
    <row r="92" spans="2:12" x14ac:dyDescent="0.35">
      <c r="D92" s="2" t="s">
        <v>243</v>
      </c>
      <c r="F92" s="3">
        <v>99</v>
      </c>
      <c r="G92" s="4">
        <v>53</v>
      </c>
      <c r="H92" s="5">
        <v>7</v>
      </c>
      <c r="I92" s="5">
        <v>592</v>
      </c>
      <c r="J92" s="7" t="s">
        <v>211</v>
      </c>
      <c r="K92" s="7" t="s">
        <v>77</v>
      </c>
      <c r="L92" s="7" t="s">
        <v>197</v>
      </c>
    </row>
    <row r="93" spans="2:12" x14ac:dyDescent="0.35">
      <c r="D93" s="2" t="s">
        <v>244</v>
      </c>
      <c r="F93" s="3">
        <v>99</v>
      </c>
      <c r="G93" s="4">
        <v>53</v>
      </c>
      <c r="H93" s="5">
        <v>7</v>
      </c>
      <c r="I93" s="5">
        <v>623</v>
      </c>
      <c r="J93" s="7" t="s">
        <v>211</v>
      </c>
      <c r="K93" s="7" t="s">
        <v>77</v>
      </c>
      <c r="L93" s="7" t="s">
        <v>199</v>
      </c>
    </row>
    <row r="95" spans="2:12" x14ac:dyDescent="0.35">
      <c r="B95" t="s">
        <v>208</v>
      </c>
      <c r="C95" t="s">
        <v>117</v>
      </c>
      <c r="L95" s="23" t="s">
        <v>280</v>
      </c>
    </row>
    <row r="96" spans="2:12" x14ac:dyDescent="0.35">
      <c r="D96" s="2" t="s">
        <v>1032</v>
      </c>
      <c r="F96" s="3">
        <v>99</v>
      </c>
      <c r="G96" s="4">
        <v>53</v>
      </c>
      <c r="H96" s="5">
        <v>9</v>
      </c>
      <c r="I96" s="5">
        <v>700</v>
      </c>
      <c r="J96" s="7" t="s">
        <v>211</v>
      </c>
      <c r="K96" s="7" t="s">
        <v>117</v>
      </c>
      <c r="L96" s="7" t="s">
        <v>1033</v>
      </c>
    </row>
    <row r="98" spans="2:12" x14ac:dyDescent="0.35">
      <c r="B98" t="s">
        <v>208</v>
      </c>
      <c r="C98" t="s">
        <v>126</v>
      </c>
      <c r="L98" s="23" t="s">
        <v>280</v>
      </c>
    </row>
    <row r="99" spans="2:12" x14ac:dyDescent="0.35">
      <c r="D99" s="2" t="s">
        <v>252</v>
      </c>
      <c r="F99" s="3">
        <v>99</v>
      </c>
      <c r="G99" s="4">
        <v>53</v>
      </c>
      <c r="H99" s="11" t="s">
        <v>128</v>
      </c>
      <c r="I99" s="11" t="s">
        <v>129</v>
      </c>
      <c r="J99" s="7" t="s">
        <v>211</v>
      </c>
      <c r="K99" s="7" t="s">
        <v>130</v>
      </c>
      <c r="L99" s="7" t="s">
        <v>130</v>
      </c>
    </row>
  </sheetData>
  <mergeCells count="1">
    <mergeCell ref="N1:V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BF946-11EE-407D-87F2-96FD95CEE6E4}">
  <dimension ref="B2:I44"/>
  <sheetViews>
    <sheetView workbookViewId="0">
      <selection activeCell="H16" sqref="H16"/>
    </sheetView>
  </sheetViews>
  <sheetFormatPr defaultRowHeight="14.5" x14ac:dyDescent="0.35"/>
  <cols>
    <col min="2" max="2" width="39" bestFit="1" customWidth="1"/>
    <col min="3" max="3" width="28" customWidth="1"/>
    <col min="4" max="4" width="26.81640625" customWidth="1"/>
    <col min="5" max="5" width="22.7265625" customWidth="1"/>
    <col min="6" max="6" width="29.54296875" customWidth="1"/>
    <col min="7" max="7" width="30.1796875" bestFit="1" customWidth="1"/>
    <col min="8" max="8" width="26.453125" bestFit="1" customWidth="1"/>
    <col min="9" max="9" width="26" customWidth="1"/>
  </cols>
  <sheetData>
    <row r="2" spans="2:9" ht="15" thickBot="1" x14ac:dyDescent="0.4"/>
    <row r="3" spans="2:9" x14ac:dyDescent="0.35">
      <c r="B3" s="68" t="s">
        <v>699</v>
      </c>
      <c r="C3" s="69"/>
      <c r="D3" s="69"/>
      <c r="E3" s="69"/>
      <c r="F3" s="69"/>
      <c r="G3" s="69"/>
      <c r="H3" s="70"/>
    </row>
    <row r="4" spans="2:9" x14ac:dyDescent="0.35">
      <c r="B4" s="71" t="s">
        <v>700</v>
      </c>
      <c r="H4" s="72"/>
    </row>
    <row r="5" spans="2:9" x14ac:dyDescent="0.35">
      <c r="B5" s="71" t="s">
        <v>701</v>
      </c>
      <c r="H5" s="72"/>
    </row>
    <row r="6" spans="2:9" ht="15" thickBot="1" x14ac:dyDescent="0.4">
      <c r="B6" s="73" t="s">
        <v>702</v>
      </c>
      <c r="C6" s="74"/>
      <c r="D6" s="74"/>
      <c r="E6" s="74"/>
      <c r="F6" s="74"/>
      <c r="G6" s="74"/>
      <c r="H6" s="75"/>
    </row>
    <row r="8" spans="2:9" ht="25" customHeight="1" x14ac:dyDescent="0.35">
      <c r="B8" s="23" t="s">
        <v>703</v>
      </c>
      <c r="C8" s="23" t="s">
        <v>704</v>
      </c>
      <c r="D8" s="76" t="e">
        <v>#REF!</v>
      </c>
      <c r="E8" s="205" t="s">
        <v>705</v>
      </c>
      <c r="F8" s="205"/>
      <c r="G8" s="205"/>
      <c r="H8" s="205"/>
    </row>
    <row r="9" spans="2:9" ht="25" customHeight="1" x14ac:dyDescent="0.35">
      <c r="B9" s="23"/>
      <c r="E9" s="205"/>
      <c r="F9" s="205"/>
      <c r="G9" s="205"/>
      <c r="H9" s="205"/>
    </row>
    <row r="10" spans="2:9" x14ac:dyDescent="0.35">
      <c r="B10" s="23" t="s">
        <v>706</v>
      </c>
      <c r="C10" s="77" t="e">
        <v>#REF!</v>
      </c>
      <c r="D10" s="206" t="s">
        <v>707</v>
      </c>
      <c r="E10" s="206"/>
      <c r="F10" s="206"/>
      <c r="G10" s="206"/>
      <c r="H10" s="206"/>
    </row>
    <row r="11" spans="2:9" x14ac:dyDescent="0.35">
      <c r="B11" s="23" t="s">
        <v>708</v>
      </c>
      <c r="C11" s="78" t="e">
        <v>#REF!</v>
      </c>
    </row>
    <row r="12" spans="2:9" ht="15" thickBot="1" x14ac:dyDescent="0.4"/>
    <row r="13" spans="2:9" ht="29" x14ac:dyDescent="0.35">
      <c r="B13" s="79"/>
      <c r="C13" s="80" t="s">
        <v>709</v>
      </c>
      <c r="D13" s="80" t="s">
        <v>710</v>
      </c>
      <c r="E13" s="81" t="s">
        <v>711</v>
      </c>
      <c r="F13" s="82" t="s">
        <v>712</v>
      </c>
      <c r="G13" s="83" t="s">
        <v>713</v>
      </c>
    </row>
    <row r="14" spans="2:9" x14ac:dyDescent="0.35">
      <c r="B14" s="84" t="s">
        <v>714</v>
      </c>
      <c r="C14" s="61">
        <v>30</v>
      </c>
      <c r="D14" s="85">
        <f>SUMIFS($G$22:$G$44,$H$22:$H$44,"Homeless")</f>
        <v>0</v>
      </c>
      <c r="E14" s="85">
        <f>D14/C14</f>
        <v>0</v>
      </c>
      <c r="F14" s="86" t="e">
        <f>C10</f>
        <v>#REF!</v>
      </c>
      <c r="G14" s="87" t="str">
        <f>IFERROR(C14*(E14-F14),"Ineligible")</f>
        <v>Ineligible</v>
      </c>
      <c r="H14" s="88"/>
    </row>
    <row r="15" spans="2:9" x14ac:dyDescent="0.35">
      <c r="B15" s="84" t="s">
        <v>715</v>
      </c>
      <c r="C15" s="61">
        <v>20</v>
      </c>
      <c r="D15" s="85">
        <f>SUMIFS($G$22:$G$44,$H$22:$H$44,"Special Ed")</f>
        <v>1643850</v>
      </c>
      <c r="E15" s="85">
        <f>D15/C15</f>
        <v>82192.5</v>
      </c>
      <c r="F15" s="86" t="e">
        <f>C10</f>
        <v>#REF!</v>
      </c>
      <c r="G15" s="87" t="str">
        <f>IFERROR(C15*(E15-F15),"Ineligible")</f>
        <v>Ineligible</v>
      </c>
      <c r="I15" s="88"/>
    </row>
    <row r="16" spans="2:9" x14ac:dyDescent="0.35">
      <c r="B16" s="84" t="s">
        <v>716</v>
      </c>
      <c r="C16" s="61">
        <v>10</v>
      </c>
      <c r="D16" s="85">
        <f>SUMIFS($G$22:$G$44,$H$22:$H$44,"Foster")</f>
        <v>0</v>
      </c>
      <c r="E16" s="85">
        <f>D16/C16</f>
        <v>0</v>
      </c>
      <c r="F16" s="86" t="e">
        <f>C10</f>
        <v>#REF!</v>
      </c>
      <c r="G16" s="87" t="str">
        <f>IFERROR(C16*(E16-F16),"Ineligible")</f>
        <v>Ineligible</v>
      </c>
    </row>
    <row r="17" spans="2:8" ht="15" thickBot="1" x14ac:dyDescent="0.4">
      <c r="B17" s="89" t="s">
        <v>268</v>
      </c>
      <c r="C17" s="90"/>
      <c r="D17" s="91">
        <f>SUM(D14:D16)</f>
        <v>1643850</v>
      </c>
      <c r="E17" s="91"/>
      <c r="F17" s="92"/>
      <c r="G17" s="93">
        <f>SUM(G14:G16)</f>
        <v>0</v>
      </c>
    </row>
    <row r="18" spans="2:8" x14ac:dyDescent="0.35">
      <c r="B18" s="94" t="s">
        <v>717</v>
      </c>
      <c r="C18" s="94"/>
      <c r="D18" s="95">
        <f>G36</f>
        <v>1643850</v>
      </c>
      <c r="E18" s="95"/>
      <c r="F18" s="96"/>
    </row>
    <row r="20" spans="2:8" ht="15" thickBot="1" x14ac:dyDescent="0.4"/>
    <row r="21" spans="2:8" x14ac:dyDescent="0.35">
      <c r="B21" s="97" t="s">
        <v>710</v>
      </c>
      <c r="C21" s="98" t="s">
        <v>718</v>
      </c>
      <c r="D21" s="98" t="s">
        <v>719</v>
      </c>
      <c r="E21" s="98" t="s">
        <v>720</v>
      </c>
      <c r="F21" s="98" t="s">
        <v>721</v>
      </c>
      <c r="G21" s="98" t="s">
        <v>722</v>
      </c>
      <c r="H21" s="99" t="s">
        <v>723</v>
      </c>
    </row>
    <row r="22" spans="2:8" x14ac:dyDescent="0.35">
      <c r="B22" s="100" t="s">
        <v>724</v>
      </c>
      <c r="C22" s="61">
        <v>56</v>
      </c>
      <c r="D22" s="101">
        <f>C22*180</f>
        <v>10080</v>
      </c>
      <c r="E22" s="102">
        <v>1.25</v>
      </c>
      <c r="F22" s="103">
        <f>H40+H41</f>
        <v>1631250</v>
      </c>
      <c r="G22" s="104">
        <f>(D22*E22)+F22</f>
        <v>1643850</v>
      </c>
      <c r="H22" s="105" t="s">
        <v>725</v>
      </c>
    </row>
    <row r="23" spans="2:8" x14ac:dyDescent="0.35">
      <c r="B23" s="100" t="s">
        <v>726</v>
      </c>
      <c r="C23" s="61"/>
      <c r="D23" s="101">
        <f t="shared" ref="D23:D35" si="0">C23*180</f>
        <v>0</v>
      </c>
      <c r="E23" s="102"/>
      <c r="F23" s="103">
        <f>H42</f>
        <v>0</v>
      </c>
      <c r="G23" s="104">
        <f t="shared" ref="G23:G35" si="1">(D23*E23)+F23</f>
        <v>0</v>
      </c>
      <c r="H23" s="105" t="s">
        <v>727</v>
      </c>
    </row>
    <row r="24" spans="2:8" x14ac:dyDescent="0.35">
      <c r="B24" s="100" t="s">
        <v>728</v>
      </c>
      <c r="C24" s="61"/>
      <c r="D24" s="101">
        <f t="shared" si="0"/>
        <v>0</v>
      </c>
      <c r="E24" s="102"/>
      <c r="F24" s="103"/>
      <c r="G24" s="104">
        <f t="shared" si="1"/>
        <v>0</v>
      </c>
      <c r="H24" s="105" t="s">
        <v>729</v>
      </c>
    </row>
    <row r="25" spans="2:8" x14ac:dyDescent="0.35">
      <c r="B25" s="100" t="s">
        <v>730</v>
      </c>
      <c r="C25" s="61"/>
      <c r="D25" s="59">
        <f t="shared" si="0"/>
        <v>0</v>
      </c>
      <c r="E25" s="102"/>
      <c r="F25" s="103"/>
      <c r="G25" s="104">
        <f t="shared" si="1"/>
        <v>0</v>
      </c>
      <c r="H25" s="105"/>
    </row>
    <row r="26" spans="2:8" x14ac:dyDescent="0.35">
      <c r="B26" s="100" t="s">
        <v>731</v>
      </c>
      <c r="C26" s="61"/>
      <c r="D26" s="59">
        <f t="shared" si="0"/>
        <v>0</v>
      </c>
      <c r="E26" s="102"/>
      <c r="F26" s="103"/>
      <c r="G26" s="104">
        <f t="shared" si="1"/>
        <v>0</v>
      </c>
      <c r="H26" s="105"/>
    </row>
    <row r="27" spans="2:8" x14ac:dyDescent="0.35">
      <c r="B27" s="100"/>
      <c r="C27" s="61"/>
      <c r="D27" s="59">
        <f t="shared" si="0"/>
        <v>0</v>
      </c>
      <c r="E27" s="102"/>
      <c r="F27" s="103"/>
      <c r="G27" s="104">
        <f t="shared" si="1"/>
        <v>0</v>
      </c>
      <c r="H27" s="105"/>
    </row>
    <row r="28" spans="2:8" x14ac:dyDescent="0.35">
      <c r="B28" s="100"/>
      <c r="C28" s="61"/>
      <c r="D28" s="59">
        <f t="shared" si="0"/>
        <v>0</v>
      </c>
      <c r="E28" s="102"/>
      <c r="F28" s="103"/>
      <c r="G28" s="104">
        <f t="shared" si="1"/>
        <v>0</v>
      </c>
      <c r="H28" s="105"/>
    </row>
    <row r="29" spans="2:8" x14ac:dyDescent="0.35">
      <c r="B29" s="100"/>
      <c r="C29" s="61"/>
      <c r="D29" s="59">
        <f t="shared" si="0"/>
        <v>0</v>
      </c>
      <c r="E29" s="102"/>
      <c r="F29" s="103"/>
      <c r="G29" s="104">
        <f t="shared" si="1"/>
        <v>0</v>
      </c>
      <c r="H29" s="105"/>
    </row>
    <row r="30" spans="2:8" x14ac:dyDescent="0.35">
      <c r="B30" s="100"/>
      <c r="C30" s="61"/>
      <c r="D30" s="59">
        <f t="shared" si="0"/>
        <v>0</v>
      </c>
      <c r="E30" s="102"/>
      <c r="F30" s="103"/>
      <c r="G30" s="104">
        <f t="shared" si="1"/>
        <v>0</v>
      </c>
      <c r="H30" s="105"/>
    </row>
    <row r="31" spans="2:8" x14ac:dyDescent="0.35">
      <c r="B31" s="100"/>
      <c r="C31" s="61"/>
      <c r="D31" s="59">
        <f t="shared" si="0"/>
        <v>0</v>
      </c>
      <c r="E31" s="102"/>
      <c r="F31" s="103"/>
      <c r="G31" s="104">
        <f t="shared" si="1"/>
        <v>0</v>
      </c>
      <c r="H31" s="105"/>
    </row>
    <row r="32" spans="2:8" x14ac:dyDescent="0.35">
      <c r="B32" s="100"/>
      <c r="C32" s="61"/>
      <c r="D32" s="59">
        <f t="shared" si="0"/>
        <v>0</v>
      </c>
      <c r="E32" s="102"/>
      <c r="F32" s="103"/>
      <c r="G32" s="104">
        <f t="shared" si="1"/>
        <v>0</v>
      </c>
      <c r="H32" s="105"/>
    </row>
    <row r="33" spans="2:8" x14ac:dyDescent="0.35">
      <c r="B33" s="100"/>
      <c r="C33" s="61"/>
      <c r="D33" s="59">
        <f t="shared" si="0"/>
        <v>0</v>
      </c>
      <c r="E33" s="102"/>
      <c r="F33" s="103"/>
      <c r="G33" s="104">
        <f t="shared" si="1"/>
        <v>0</v>
      </c>
      <c r="H33" s="105"/>
    </row>
    <row r="34" spans="2:8" x14ac:dyDescent="0.35">
      <c r="B34" s="100"/>
      <c r="C34" s="61"/>
      <c r="D34" s="59">
        <f t="shared" si="0"/>
        <v>0</v>
      </c>
      <c r="E34" s="102"/>
      <c r="F34" s="103"/>
      <c r="G34" s="104">
        <f t="shared" si="1"/>
        <v>0</v>
      </c>
      <c r="H34" s="105"/>
    </row>
    <row r="35" spans="2:8" ht="15" thickBot="1" x14ac:dyDescent="0.4">
      <c r="B35" s="106"/>
      <c r="C35" s="107"/>
      <c r="D35" s="108">
        <f t="shared" si="0"/>
        <v>0</v>
      </c>
      <c r="E35" s="109"/>
      <c r="F35" s="110"/>
      <c r="G35" s="111">
        <f t="shared" si="1"/>
        <v>0</v>
      </c>
      <c r="H35" s="112"/>
    </row>
    <row r="36" spans="2:8" s="23" customFormat="1" ht="15" thickBot="1" x14ac:dyDescent="0.4">
      <c r="B36" s="113" t="s">
        <v>268</v>
      </c>
      <c r="C36" s="114"/>
      <c r="D36" s="114"/>
      <c r="E36" s="114"/>
      <c r="F36" s="115">
        <f>SUM(F22:F35)</f>
        <v>1631250</v>
      </c>
      <c r="G36" s="116">
        <f>SUM(G22:G35)</f>
        <v>1643850</v>
      </c>
      <c r="H36" s="117"/>
    </row>
    <row r="37" spans="2:8" s="23" customFormat="1" x14ac:dyDescent="0.35">
      <c r="B37" s="94" t="s">
        <v>717</v>
      </c>
      <c r="F37" s="118">
        <f>H44</f>
        <v>1631250</v>
      </c>
      <c r="G37" s="119"/>
    </row>
    <row r="38" spans="2:8" ht="15" thickBot="1" x14ac:dyDescent="0.4"/>
    <row r="39" spans="2:8" x14ac:dyDescent="0.35">
      <c r="B39" s="97" t="s">
        <v>732</v>
      </c>
      <c r="C39" s="98" t="s">
        <v>733</v>
      </c>
      <c r="D39" s="98" t="s">
        <v>734</v>
      </c>
      <c r="E39" s="98" t="s">
        <v>735</v>
      </c>
      <c r="F39" s="98" t="s">
        <v>736</v>
      </c>
      <c r="G39" s="98" t="s">
        <v>737</v>
      </c>
      <c r="H39" s="99" t="s">
        <v>738</v>
      </c>
    </row>
    <row r="40" spans="2:8" x14ac:dyDescent="0.35">
      <c r="B40" s="100" t="s">
        <v>725</v>
      </c>
      <c r="C40" s="61">
        <v>25</v>
      </c>
      <c r="D40" s="61">
        <v>250</v>
      </c>
      <c r="E40" s="102">
        <v>25</v>
      </c>
      <c r="F40" s="120">
        <f>E40*1.45</f>
        <v>36.25</v>
      </c>
      <c r="G40" s="104">
        <f>D40*F40</f>
        <v>9062.5</v>
      </c>
      <c r="H40" s="121">
        <f>G40*180</f>
        <v>1631250</v>
      </c>
    </row>
    <row r="41" spans="2:8" x14ac:dyDescent="0.35">
      <c r="B41" s="100" t="s">
        <v>725</v>
      </c>
      <c r="C41" s="61"/>
      <c r="D41" s="61"/>
      <c r="E41" s="102"/>
      <c r="F41" s="120">
        <f>E41*1.45</f>
        <v>0</v>
      </c>
      <c r="G41" s="104">
        <f t="shared" ref="G41:G42" si="2">D41*F41</f>
        <v>0</v>
      </c>
      <c r="H41" s="121">
        <f>G41*180</f>
        <v>0</v>
      </c>
    </row>
    <row r="42" spans="2:8" x14ac:dyDescent="0.35">
      <c r="B42" s="100" t="s">
        <v>729</v>
      </c>
      <c r="C42" s="61"/>
      <c r="D42" s="61"/>
      <c r="E42" s="102"/>
      <c r="F42" s="120">
        <f t="shared" ref="F42" si="3">E42*1.45</f>
        <v>0</v>
      </c>
      <c r="G42" s="104">
        <f t="shared" si="2"/>
        <v>0</v>
      </c>
      <c r="H42" s="121">
        <f t="shared" ref="H42:H43" si="4">G42*180</f>
        <v>0</v>
      </c>
    </row>
    <row r="43" spans="2:8" ht="15" thickBot="1" x14ac:dyDescent="0.4">
      <c r="B43" s="106" t="s">
        <v>727</v>
      </c>
      <c r="C43" s="107"/>
      <c r="D43" s="107"/>
      <c r="E43" s="110"/>
      <c r="F43" s="111">
        <f t="shared" ref="F43:G43" si="5">D43*E43</f>
        <v>0</v>
      </c>
      <c r="G43" s="111">
        <f t="shared" si="5"/>
        <v>0</v>
      </c>
      <c r="H43" s="122">
        <f t="shared" si="4"/>
        <v>0</v>
      </c>
    </row>
    <row r="44" spans="2:8" s="23" customFormat="1" ht="15" thickBot="1" x14ac:dyDescent="0.4">
      <c r="B44" s="113" t="s">
        <v>268</v>
      </c>
      <c r="C44" s="114"/>
      <c r="D44" s="114"/>
      <c r="E44" s="114"/>
      <c r="F44" s="114"/>
      <c r="G44" s="114"/>
      <c r="H44" s="123">
        <f>SUM(H40:H43)</f>
        <v>1631250</v>
      </c>
    </row>
  </sheetData>
  <mergeCells count="2">
    <mergeCell ref="E8:H9"/>
    <mergeCell ref="D10:H10"/>
  </mergeCells>
  <conditionalFormatting sqref="D8">
    <cfRule type="containsText" dxfId="0" priority="1" operator="containsText" text="In">
      <formula>NOT(ISERROR(SEARCH("In",D8)))</formula>
    </cfRule>
  </conditionalFormatting>
  <dataValidations count="1">
    <dataValidation type="list" allowBlank="1" showInputMessage="1" showErrorMessage="1" sqref="H22:H35" xr:uid="{61A44C6D-E367-4D8C-8B46-913224C124CD}">
      <formula1>"Homeless, Special Ed, Foster"</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88BF6-7681-435F-916E-DB8BF99B6A09}">
  <dimension ref="A1:N282"/>
  <sheetViews>
    <sheetView tabSelected="1" workbookViewId="0">
      <selection activeCell="C6" sqref="C6"/>
    </sheetView>
  </sheetViews>
  <sheetFormatPr defaultRowHeight="14.5" x14ac:dyDescent="0.35"/>
  <cols>
    <col min="2" max="2" width="23.54296875" bestFit="1" customWidth="1"/>
    <col min="3" max="3" width="22" customWidth="1"/>
    <col min="4" max="4" width="20.1796875" customWidth="1"/>
    <col min="5" max="6" width="21.54296875" customWidth="1"/>
    <col min="7" max="7" width="17" customWidth="1"/>
    <col min="8" max="8" width="28.81640625" customWidth="1"/>
    <col min="9" max="9" width="20" customWidth="1"/>
    <col min="10" max="10" width="18.1796875" style="126" customWidth="1"/>
    <col min="11" max="11" width="24.453125" customWidth="1"/>
    <col min="12" max="12" width="17.453125" customWidth="1"/>
    <col min="13" max="13" width="21.81640625" customWidth="1"/>
    <col min="14" max="14" width="24" bestFit="1" customWidth="1"/>
  </cols>
  <sheetData>
    <row r="1" spans="1:14" ht="33.65" customHeight="1" x14ac:dyDescent="0.35">
      <c r="A1" t="s">
        <v>739</v>
      </c>
      <c r="B1" t="s">
        <v>740</v>
      </c>
      <c r="C1" s="124" t="s">
        <v>1084</v>
      </c>
      <c r="D1" t="s">
        <v>741</v>
      </c>
      <c r="E1" s="124" t="s">
        <v>742</v>
      </c>
      <c r="F1" s="125" t="s">
        <v>743</v>
      </c>
      <c r="G1" s="124" t="s">
        <v>744</v>
      </c>
      <c r="H1" t="s">
        <v>745</v>
      </c>
      <c r="I1" s="124" t="s">
        <v>746</v>
      </c>
      <c r="J1" s="126" t="s">
        <v>747</v>
      </c>
      <c r="K1" s="124" t="s">
        <v>748</v>
      </c>
      <c r="L1" s="124" t="s">
        <v>749</v>
      </c>
      <c r="M1" s="124" t="s">
        <v>750</v>
      </c>
      <c r="N1" t="s">
        <v>1064</v>
      </c>
    </row>
    <row r="2" spans="1:14" ht="15" customHeight="1" x14ac:dyDescent="0.35">
      <c r="B2" t="s">
        <v>1070</v>
      </c>
      <c r="C2" s="127">
        <f>SUM(C3:C281)</f>
        <v>787602521.1099993</v>
      </c>
      <c r="D2" s="127">
        <f>SUM(D3:D281)</f>
        <v>704631779.30999994</v>
      </c>
      <c r="E2" s="154">
        <v>0</v>
      </c>
      <c r="F2" s="155">
        <v>0</v>
      </c>
      <c r="G2" s="156">
        <v>0</v>
      </c>
      <c r="H2">
        <v>0</v>
      </c>
      <c r="I2" s="157">
        <v>0</v>
      </c>
      <c r="J2" s="126">
        <v>0</v>
      </c>
      <c r="K2" s="157">
        <v>0</v>
      </c>
      <c r="L2" s="157">
        <v>0</v>
      </c>
      <c r="M2" s="158">
        <v>0</v>
      </c>
      <c r="N2" s="127">
        <f>IF(Table1[[#This Row],[Percent Funded of Adjusted PYE]]=1,0,Table1[[#This Row],[AdjPriorYear 
Expenditures]]-Table1[[#This Row],[Allocation]])</f>
        <v>82970741.799999356</v>
      </c>
    </row>
    <row r="3" spans="1:14" x14ac:dyDescent="0.35">
      <c r="A3">
        <v>14005</v>
      </c>
      <c r="B3" t="s">
        <v>751</v>
      </c>
      <c r="C3" s="127">
        <v>1742964.71</v>
      </c>
      <c r="D3" s="127">
        <v>1671449.48</v>
      </c>
      <c r="E3" s="128">
        <v>1327</v>
      </c>
      <c r="F3" s="128">
        <v>205.875</v>
      </c>
      <c r="G3" s="129">
        <v>1532.875</v>
      </c>
      <c r="H3" s="128">
        <v>766.4375</v>
      </c>
      <c r="I3" s="127">
        <f>Table1[[#This Row],[AdjPriorYear 
Expenditures]]/Table1[[#This Row],[Total Riders (AM/PM counts)]]</f>
        <v>1137.0559960857865</v>
      </c>
      <c r="J3" s="165">
        <f>Table1[[#This Row],[AdjPriorYear 
Expenditures]]/Table1[[#This Row],[Total Students]]</f>
        <v>2274.1119921715731</v>
      </c>
      <c r="K3" s="127">
        <f>Table1[[#This Row],[Allocation]]/Table1[[#This Row],[Total Riders (AM/PM counts)]]</f>
        <v>1090.4016831117997</v>
      </c>
      <c r="L3" s="127">
        <f>Table1[[#This Row],[Allocation]]/Table1[[#This Row],[Total Students]]</f>
        <v>2180.8033662235994</v>
      </c>
      <c r="M3" s="130">
        <f>IF(Table1[[#This Row],[Allocation]]&gt;Table1[[#This Row],[AdjPriorYear 
Expenditures]],100%, Table1[[#This Row],[Allocation]]/Table1[[#This Row],[AdjPriorYear 
Expenditures]])</f>
        <v>0.95896920368513949</v>
      </c>
      <c r="N3" s="127">
        <f>IF(Table1[[#This Row],[Percent Funded of Adjusted PYE]]=1,0,Table1[[#This Row],[AdjPriorYear 
Expenditures]]-Table1[[#This Row],[Allocation]])</f>
        <v>71515.229999999981</v>
      </c>
    </row>
    <row r="4" spans="1:14" x14ac:dyDescent="0.35">
      <c r="A4">
        <v>21226</v>
      </c>
      <c r="B4" t="s">
        <v>752</v>
      </c>
      <c r="C4" s="127">
        <v>412810.25999999995</v>
      </c>
      <c r="D4" s="127">
        <v>382356.71</v>
      </c>
      <c r="E4" s="128">
        <v>441</v>
      </c>
      <c r="F4" s="128">
        <v>0</v>
      </c>
      <c r="G4" s="129">
        <v>441</v>
      </c>
      <c r="H4" s="128">
        <v>220.5</v>
      </c>
      <c r="I4" s="127">
        <f>Table1[[#This Row],[AdjPriorYear 
Expenditures]]/Table1[[#This Row],[Total Riders (AM/PM counts)]]</f>
        <v>936.07768707482978</v>
      </c>
      <c r="J4" s="165">
        <f>Table1[[#This Row],[AdjPriorYear 
Expenditures]]/Table1[[#This Row],[Total Students]]</f>
        <v>1872.1553741496596</v>
      </c>
      <c r="K4" s="127">
        <f>Table1[[#This Row],[Allocation]]/Table1[[#This Row],[Total Riders (AM/PM counts)]]</f>
        <v>867.02201814058958</v>
      </c>
      <c r="L4" s="127">
        <f>Table1[[#This Row],[Allocation]]/Table1[[#This Row],[Total Students]]</f>
        <v>1734.0440362811792</v>
      </c>
      <c r="M4" s="130">
        <f>IF(Table1[[#This Row],[Allocation]]&gt;Table1[[#This Row],[AdjPriorYear 
Expenditures]],100%, Table1[[#This Row],[Allocation]]/Table1[[#This Row],[AdjPriorYear 
Expenditures]])</f>
        <v>0.92622869887003312</v>
      </c>
      <c r="N4" s="127">
        <f>IF(Table1[[#This Row],[Percent Funded of Adjusted PYE]]=1,0,Table1[[#This Row],[AdjPriorYear 
Expenditures]]-Table1[[#This Row],[Allocation]])</f>
        <v>30453.54999999993</v>
      </c>
    </row>
    <row r="5" spans="1:14" x14ac:dyDescent="0.35">
      <c r="A5">
        <v>22017</v>
      </c>
      <c r="B5" t="s">
        <v>753</v>
      </c>
      <c r="C5" s="127">
        <v>238241.22000000003</v>
      </c>
      <c r="D5" s="127">
        <v>286262.47000000003</v>
      </c>
      <c r="E5" s="128">
        <v>121.125</v>
      </c>
      <c r="F5" s="128">
        <v>2</v>
      </c>
      <c r="G5" s="129">
        <v>124.125</v>
      </c>
      <c r="H5" s="128">
        <v>62.0625</v>
      </c>
      <c r="I5" s="127">
        <f>Table1[[#This Row],[AdjPriorYear 
Expenditures]]/Table1[[#This Row],[Total Riders (AM/PM counts)]]</f>
        <v>1919.3653172205441</v>
      </c>
      <c r="J5" s="165">
        <f>Table1[[#This Row],[AdjPriorYear 
Expenditures]]/Table1[[#This Row],[Total Students]]</f>
        <v>3838.7306344410881</v>
      </c>
      <c r="K5" s="127">
        <f>Table1[[#This Row],[Allocation]]/Table1[[#This Row],[Total Riders (AM/PM counts)]]</f>
        <v>2306.2434642497483</v>
      </c>
      <c r="L5" s="127">
        <f>Table1[[#This Row],[Allocation]]/Table1[[#This Row],[Total Students]]</f>
        <v>4612.4869284994966</v>
      </c>
      <c r="M5" s="130">
        <f>IF(Table1[[#This Row],[Allocation]]&gt;Table1[[#This Row],[AdjPriorYear 
Expenditures]],100%, Table1[[#This Row],[Allocation]]/Table1[[#This Row],[AdjPriorYear 
Expenditures]])</f>
        <v>1</v>
      </c>
      <c r="N5" s="127">
        <f>IF(Table1[[#This Row],[Percent Funded of Adjusted PYE]]=1,0,Table1[[#This Row],[AdjPriorYear 
Expenditures]]-Table1[[#This Row],[Allocation]])</f>
        <v>0</v>
      </c>
    </row>
    <row r="6" spans="1:14" x14ac:dyDescent="0.35">
      <c r="A6">
        <v>29103</v>
      </c>
      <c r="B6" t="s">
        <v>754</v>
      </c>
      <c r="C6" s="127">
        <v>2032493.2699999998</v>
      </c>
      <c r="D6" s="127">
        <v>1383204.55</v>
      </c>
      <c r="E6" s="128">
        <v>1214.875</v>
      </c>
      <c r="F6" s="128">
        <v>79.375</v>
      </c>
      <c r="G6" s="129">
        <v>1294.5</v>
      </c>
      <c r="H6" s="128">
        <v>647.25</v>
      </c>
      <c r="I6" s="127">
        <f>Table1[[#This Row],[AdjPriorYear 
Expenditures]]/Table1[[#This Row],[Total Riders (AM/PM counts)]]</f>
        <v>1570.0990884511393</v>
      </c>
      <c r="J6" s="165">
        <f>Table1[[#This Row],[AdjPriorYear 
Expenditures]]/Table1[[#This Row],[Total Students]]</f>
        <v>3140.1981769022786</v>
      </c>
      <c r="K6" s="127">
        <f>Table1[[#This Row],[Allocation]]/Table1[[#This Row],[Total Riders (AM/PM counts)]]</f>
        <v>1068.524179219776</v>
      </c>
      <c r="L6" s="127">
        <f>Table1[[#This Row],[Allocation]]/Table1[[#This Row],[Total Students]]</f>
        <v>2137.048358439552</v>
      </c>
      <c r="M6" s="130">
        <f>IF(Table1[[#This Row],[Allocation]]&gt;Table1[[#This Row],[AdjPriorYear 
Expenditures]],100%, Table1[[#This Row],[Allocation]]/Table1[[#This Row],[AdjPriorYear 
Expenditures]])</f>
        <v>0.68054569745266624</v>
      </c>
      <c r="N6" s="127">
        <f>IF(Table1[[#This Row],[Percent Funded of Adjusted PYE]]=1,0,Table1[[#This Row],[AdjPriorYear 
Expenditures]]-Table1[[#This Row],[Allocation]])</f>
        <v>649288.71999999974</v>
      </c>
    </row>
    <row r="7" spans="1:14" x14ac:dyDescent="0.35">
      <c r="A7">
        <v>31016</v>
      </c>
      <c r="B7" t="s">
        <v>755</v>
      </c>
      <c r="C7" s="127">
        <v>4500211.6899999995</v>
      </c>
      <c r="D7" s="127">
        <v>4167889.14</v>
      </c>
      <c r="E7" s="128">
        <v>3988.25</v>
      </c>
      <c r="F7" s="128">
        <v>199.25</v>
      </c>
      <c r="G7" s="129">
        <v>4158.125</v>
      </c>
      <c r="H7" s="128">
        <v>2079.0625</v>
      </c>
      <c r="I7" s="127">
        <f>Table1[[#This Row],[AdjPriorYear 
Expenditures]]/Table1[[#This Row],[Total Riders (AM/PM counts)]]</f>
        <v>1082.2694579888771</v>
      </c>
      <c r="J7" s="165">
        <f>Table1[[#This Row],[AdjPriorYear 
Expenditures]]/Table1[[#This Row],[Total Students]]</f>
        <v>2164.5389159777542</v>
      </c>
      <c r="K7" s="127">
        <f>Table1[[#This Row],[Allocation]]/Table1[[#This Row],[Total Riders (AM/PM counts)]]</f>
        <v>1002.3482074252217</v>
      </c>
      <c r="L7" s="127">
        <f>Table1[[#This Row],[Allocation]]/Table1[[#This Row],[Total Students]]</f>
        <v>2004.6964148504435</v>
      </c>
      <c r="M7" s="130">
        <f>IF(Table1[[#This Row],[Allocation]]&gt;Table1[[#This Row],[AdjPriorYear 
Expenditures]],100%, Table1[[#This Row],[Allocation]]/Table1[[#This Row],[AdjPriorYear 
Expenditures]])</f>
        <v>0.92615401832352484</v>
      </c>
      <c r="N7" s="127">
        <f>IF(Table1[[#This Row],[Percent Funded of Adjusted PYE]]=1,0,Table1[[#This Row],[AdjPriorYear 
Expenditures]]-Table1[[#This Row],[Allocation]])</f>
        <v>332322.54999999935</v>
      </c>
    </row>
    <row r="8" spans="1:14" x14ac:dyDescent="0.35">
      <c r="A8">
        <v>2420</v>
      </c>
      <c r="B8" t="s">
        <v>756</v>
      </c>
      <c r="C8" s="127">
        <v>404855.65</v>
      </c>
      <c r="D8" s="127">
        <v>381133.11</v>
      </c>
      <c r="E8" s="128">
        <v>300.375</v>
      </c>
      <c r="F8" s="128">
        <v>4.75</v>
      </c>
      <c r="G8" s="129">
        <v>304.75</v>
      </c>
      <c r="H8" s="128">
        <v>152.375</v>
      </c>
      <c r="I8" s="127">
        <f>Table1[[#This Row],[AdjPriorYear 
Expenditures]]/Table1[[#This Row],[Total Riders (AM/PM counts)]]</f>
        <v>1328.484495488105</v>
      </c>
      <c r="J8" s="165">
        <f>Table1[[#This Row],[AdjPriorYear 
Expenditures]]/Table1[[#This Row],[Total Students]]</f>
        <v>2656.9689909762101</v>
      </c>
      <c r="K8" s="127">
        <f>Table1[[#This Row],[Allocation]]/Table1[[#This Row],[Total Riders (AM/PM counts)]]</f>
        <v>1250.6418703855618</v>
      </c>
      <c r="L8" s="127">
        <f>Table1[[#This Row],[Allocation]]/Table1[[#This Row],[Total Students]]</f>
        <v>2501.2837407711236</v>
      </c>
      <c r="M8" s="130">
        <f>IF(Table1[[#This Row],[Allocation]]&gt;Table1[[#This Row],[AdjPriorYear 
Expenditures]],100%, Table1[[#This Row],[Allocation]]/Table1[[#This Row],[AdjPriorYear 
Expenditures]])</f>
        <v>0.94140494272464759</v>
      </c>
      <c r="N8" s="127">
        <f>IF(Table1[[#This Row],[Percent Funded of Adjusted PYE]]=1,0,Table1[[#This Row],[AdjPriorYear 
Expenditures]]-Table1[[#This Row],[Allocation]])</f>
        <v>23722.540000000037</v>
      </c>
    </row>
    <row r="9" spans="1:14" x14ac:dyDescent="0.35">
      <c r="A9">
        <v>17408</v>
      </c>
      <c r="B9" t="s">
        <v>757</v>
      </c>
      <c r="C9" s="127">
        <v>11947946.98</v>
      </c>
      <c r="D9" s="127">
        <v>11457284.99</v>
      </c>
      <c r="E9" s="128">
        <v>13224.125</v>
      </c>
      <c r="F9" s="128">
        <v>741.625</v>
      </c>
      <c r="G9" s="129">
        <v>14146.375</v>
      </c>
      <c r="H9" s="128">
        <v>7073.1875</v>
      </c>
      <c r="I9" s="127">
        <f>Table1[[#This Row],[AdjPriorYear 
Expenditures]]/Table1[[#This Row],[Total Riders (AM/PM counts)]]</f>
        <v>844.59424976363209</v>
      </c>
      <c r="J9" s="165">
        <f>Table1[[#This Row],[AdjPriorYear 
Expenditures]]/Table1[[#This Row],[Total Students]]</f>
        <v>1689.1884995272642</v>
      </c>
      <c r="K9" s="127">
        <f>Table1[[#This Row],[Allocation]]/Table1[[#This Row],[Total Riders (AM/PM counts)]]</f>
        <v>809.90960511084995</v>
      </c>
      <c r="L9" s="127">
        <f>Table1[[#This Row],[Allocation]]/Table1[[#This Row],[Total Students]]</f>
        <v>1619.8192102216999</v>
      </c>
      <c r="M9" s="130">
        <f>IF(Table1[[#This Row],[Allocation]]&gt;Table1[[#This Row],[AdjPriorYear 
Expenditures]],100%, Table1[[#This Row],[Allocation]]/Table1[[#This Row],[AdjPriorYear 
Expenditures]])</f>
        <v>0.95893336396442563</v>
      </c>
      <c r="N9" s="127">
        <f>IF(Table1[[#This Row],[Percent Funded of Adjusted PYE]]=1,0,Table1[[#This Row],[AdjPriorYear 
Expenditures]]-Table1[[#This Row],[Allocation]])</f>
        <v>490661.99000000022</v>
      </c>
    </row>
    <row r="10" spans="1:14" x14ac:dyDescent="0.35">
      <c r="A10">
        <v>18303</v>
      </c>
      <c r="B10" t="s">
        <v>704</v>
      </c>
      <c r="C10" s="127">
        <v>2329982.9600000004</v>
      </c>
      <c r="D10" s="127">
        <v>1738947.8</v>
      </c>
      <c r="E10" s="128">
        <v>2016</v>
      </c>
      <c r="F10" s="128">
        <v>60</v>
      </c>
      <c r="G10" s="129">
        <v>2075.125</v>
      </c>
      <c r="H10" s="128">
        <v>1037.5625</v>
      </c>
      <c r="I10" s="127">
        <f>Table1[[#This Row],[AdjPriorYear 
Expenditures]]/Table1[[#This Row],[Total Riders (AM/PM counts)]]</f>
        <v>1122.8157147159811</v>
      </c>
      <c r="J10" s="165">
        <f>Table1[[#This Row],[AdjPriorYear 
Expenditures]]/Table1[[#This Row],[Total Students]]</f>
        <v>2245.6314294319623</v>
      </c>
      <c r="K10" s="127">
        <f>Table1[[#This Row],[Allocation]]/Table1[[#This Row],[Total Riders (AM/PM counts)]]</f>
        <v>837.99665080416844</v>
      </c>
      <c r="L10" s="127">
        <f>Table1[[#This Row],[Allocation]]/Table1[[#This Row],[Total Students]]</f>
        <v>1675.9933016083369</v>
      </c>
      <c r="M10" s="130">
        <f>IF(Table1[[#This Row],[Allocation]]&gt;Table1[[#This Row],[AdjPriorYear 
Expenditures]],100%, Table1[[#This Row],[Allocation]]/Table1[[#This Row],[AdjPriorYear 
Expenditures]])</f>
        <v>0.74633498607217275</v>
      </c>
      <c r="N10" s="127">
        <f>IF(Table1[[#This Row],[Percent Funded of Adjusted PYE]]=1,0,Table1[[#This Row],[AdjPriorYear 
Expenditures]]-Table1[[#This Row],[Allocation]])</f>
        <v>591035.16000000038</v>
      </c>
    </row>
    <row r="11" spans="1:14" x14ac:dyDescent="0.35">
      <c r="A11">
        <v>6119</v>
      </c>
      <c r="B11" t="s">
        <v>758</v>
      </c>
      <c r="C11" s="127">
        <v>12512775.6</v>
      </c>
      <c r="D11" s="127">
        <v>11745672.35</v>
      </c>
      <c r="E11" s="128">
        <v>10055.125</v>
      </c>
      <c r="F11" s="128">
        <v>516.75</v>
      </c>
      <c r="G11" s="129">
        <v>10625</v>
      </c>
      <c r="H11" s="128">
        <v>5312.5</v>
      </c>
      <c r="I11" s="127">
        <f>Table1[[#This Row],[AdjPriorYear 
Expenditures]]/Table1[[#This Row],[Total Riders (AM/PM counts)]]</f>
        <v>1177.6729976470588</v>
      </c>
      <c r="J11" s="165">
        <f>Table1[[#This Row],[AdjPriorYear 
Expenditures]]/Table1[[#This Row],[Total Students]]</f>
        <v>2355.3459952941175</v>
      </c>
      <c r="K11" s="127">
        <f>Table1[[#This Row],[Allocation]]/Table1[[#This Row],[Total Riders (AM/PM counts)]]</f>
        <v>1105.4750447058823</v>
      </c>
      <c r="L11" s="127">
        <f>Table1[[#This Row],[Allocation]]/Table1[[#This Row],[Total Students]]</f>
        <v>2210.9500894117646</v>
      </c>
      <c r="M11" s="130">
        <f>IF(Table1[[#This Row],[Allocation]]&gt;Table1[[#This Row],[AdjPriorYear 
Expenditures]],100%, Table1[[#This Row],[Allocation]]/Table1[[#This Row],[AdjPriorYear 
Expenditures]])</f>
        <v>0.93869439726866033</v>
      </c>
      <c r="N11" s="127">
        <f>IF(Table1[[#This Row],[Percent Funded of Adjusted PYE]]=1,0,Table1[[#This Row],[AdjPriorYear 
Expenditures]]-Table1[[#This Row],[Allocation]])</f>
        <v>767103.25</v>
      </c>
    </row>
    <row r="12" spans="1:14" x14ac:dyDescent="0.35">
      <c r="A12">
        <v>17405</v>
      </c>
      <c r="B12" t="s">
        <v>759</v>
      </c>
      <c r="C12" s="127">
        <v>10033058.07</v>
      </c>
      <c r="D12" s="127">
        <v>6622657.0099999998</v>
      </c>
      <c r="E12" s="128">
        <v>4984</v>
      </c>
      <c r="F12" s="128">
        <v>2274.375</v>
      </c>
      <c r="G12" s="129">
        <v>7497.375</v>
      </c>
      <c r="H12" s="128">
        <v>3748.6875</v>
      </c>
      <c r="I12" s="127">
        <f>Table1[[#This Row],[AdjPriorYear 
Expenditures]]/Table1[[#This Row],[Total Riders (AM/PM counts)]]</f>
        <v>1338.2094493072575</v>
      </c>
      <c r="J12" s="165">
        <f>Table1[[#This Row],[AdjPriorYear 
Expenditures]]/Table1[[#This Row],[Total Students]]</f>
        <v>2676.418898614515</v>
      </c>
      <c r="K12" s="127">
        <f>Table1[[#This Row],[Allocation]]/Table1[[#This Row],[Total Riders (AM/PM counts)]]</f>
        <v>883.3301002017372</v>
      </c>
      <c r="L12" s="127">
        <f>Table1[[#This Row],[Allocation]]/Table1[[#This Row],[Total Students]]</f>
        <v>1766.6602004034744</v>
      </c>
      <c r="M12" s="130">
        <f>IF(Table1[[#This Row],[Allocation]]&gt;Table1[[#This Row],[AdjPriorYear 
Expenditures]],100%, Table1[[#This Row],[Allocation]]/Table1[[#This Row],[AdjPriorYear 
Expenditures]])</f>
        <v>0.66008359204084621</v>
      </c>
      <c r="N12" s="127">
        <f>IF(Table1[[#This Row],[Percent Funded of Adjusted PYE]]=1,0,Table1[[#This Row],[AdjPriorYear 
Expenditures]]-Table1[[#This Row],[Allocation]])</f>
        <v>3410401.0600000005</v>
      </c>
    </row>
    <row r="13" spans="1:14" x14ac:dyDescent="0.35">
      <c r="A13">
        <v>37501</v>
      </c>
      <c r="B13" t="s">
        <v>760</v>
      </c>
      <c r="C13" s="127">
        <v>6110876.8699999992</v>
      </c>
      <c r="D13" s="127">
        <v>5395502.8399999999</v>
      </c>
      <c r="E13" s="128">
        <v>5513.625</v>
      </c>
      <c r="F13" s="128">
        <v>336.125</v>
      </c>
      <c r="G13" s="129">
        <v>5833.375</v>
      </c>
      <c r="H13" s="128">
        <v>2916.6875</v>
      </c>
      <c r="I13" s="127">
        <f>Table1[[#This Row],[AdjPriorYear 
Expenditures]]/Table1[[#This Row],[Total Riders (AM/PM counts)]]</f>
        <v>1047.571409347076</v>
      </c>
      <c r="J13" s="165">
        <f>Table1[[#This Row],[AdjPriorYear 
Expenditures]]/Table1[[#This Row],[Total Students]]</f>
        <v>2095.1428186941521</v>
      </c>
      <c r="K13" s="127">
        <f>Table1[[#This Row],[Allocation]]/Table1[[#This Row],[Total Riders (AM/PM counts)]]</f>
        <v>924.93673730901924</v>
      </c>
      <c r="L13" s="127">
        <f>Table1[[#This Row],[Allocation]]/Table1[[#This Row],[Total Students]]</f>
        <v>1849.8734746180385</v>
      </c>
      <c r="M13" s="130">
        <f>IF(Table1[[#This Row],[Allocation]]&gt;Table1[[#This Row],[AdjPriorYear 
Expenditures]],100%, Table1[[#This Row],[Allocation]]/Table1[[#This Row],[AdjPriorYear 
Expenditures]])</f>
        <v>0.88293430792036243</v>
      </c>
      <c r="N13" s="127">
        <f>IF(Table1[[#This Row],[Percent Funded of Adjusted PYE]]=1,0,Table1[[#This Row],[AdjPriorYear 
Expenditures]]-Table1[[#This Row],[Allocation]])</f>
        <v>715374.02999999933</v>
      </c>
    </row>
    <row r="14" spans="1:14" x14ac:dyDescent="0.35">
      <c r="A14">
        <v>1122</v>
      </c>
      <c r="B14" t="s">
        <v>761</v>
      </c>
      <c r="C14" s="127">
        <v>88911.01</v>
      </c>
      <c r="D14" s="127">
        <v>87979.61</v>
      </c>
      <c r="E14" s="128">
        <v>20.5</v>
      </c>
      <c r="F14" s="128">
        <v>0</v>
      </c>
      <c r="G14" s="129">
        <v>20.5</v>
      </c>
      <c r="H14" s="128">
        <v>10.25</v>
      </c>
      <c r="I14" s="127">
        <f>Table1[[#This Row],[AdjPriorYear 
Expenditures]]/Table1[[#This Row],[Total Riders (AM/PM counts)]]</f>
        <v>4337.1224390243897</v>
      </c>
      <c r="J14" s="165">
        <f>Table1[[#This Row],[AdjPriorYear 
Expenditures]]/Table1[[#This Row],[Total Students]]</f>
        <v>8674.2448780487794</v>
      </c>
      <c r="K14" s="127">
        <f>Table1[[#This Row],[Allocation]]/Table1[[#This Row],[Total Riders (AM/PM counts)]]</f>
        <v>4291.6882926829267</v>
      </c>
      <c r="L14" s="127">
        <f>Table1[[#This Row],[Allocation]]/Table1[[#This Row],[Total Students]]</f>
        <v>8583.3765853658533</v>
      </c>
      <c r="M14" s="130">
        <f>IF(Table1[[#This Row],[Allocation]]&gt;Table1[[#This Row],[AdjPriorYear 
Expenditures]],100%, Table1[[#This Row],[Allocation]]/Table1[[#This Row],[AdjPriorYear 
Expenditures]])</f>
        <v>0.98952435699470742</v>
      </c>
      <c r="N14" s="127">
        <f>IF(Table1[[#This Row],[Percent Funded of Adjusted PYE]]=1,0,Table1[[#This Row],[AdjPriorYear 
Expenditures]]-Table1[[#This Row],[Allocation]])</f>
        <v>931.39999999999418</v>
      </c>
    </row>
    <row r="15" spans="1:14" x14ac:dyDescent="0.35">
      <c r="A15">
        <v>27403</v>
      </c>
      <c r="B15" t="s">
        <v>762</v>
      </c>
      <c r="C15" s="127">
        <v>18211307.25</v>
      </c>
      <c r="D15" s="127">
        <v>17755945.299999997</v>
      </c>
      <c r="E15" s="128">
        <v>16476.375</v>
      </c>
      <c r="F15" s="128">
        <v>1566.125</v>
      </c>
      <c r="G15" s="129">
        <v>18156.25</v>
      </c>
      <c r="H15" s="128">
        <v>9078.125</v>
      </c>
      <c r="I15" s="127">
        <f>Table1[[#This Row],[AdjPriorYear 
Expenditures]]/Table1[[#This Row],[Total Riders (AM/PM counts)]]</f>
        <v>1003.032413080895</v>
      </c>
      <c r="J15" s="165">
        <f>Table1[[#This Row],[AdjPriorYear 
Expenditures]]/Table1[[#This Row],[Total Students]]</f>
        <v>2006.0648261617901</v>
      </c>
      <c r="K15" s="127">
        <f>Table1[[#This Row],[Allocation]]/Table1[[#This Row],[Total Riders (AM/PM counts)]]</f>
        <v>977.9522368330463</v>
      </c>
      <c r="L15" s="127">
        <f>Table1[[#This Row],[Allocation]]/Table1[[#This Row],[Total Students]]</f>
        <v>1955.9044736660926</v>
      </c>
      <c r="M15" s="130">
        <f>IF(Table1[[#This Row],[Allocation]]&gt;Table1[[#This Row],[AdjPriorYear 
Expenditures]],100%, Table1[[#This Row],[Allocation]]/Table1[[#This Row],[AdjPriorYear 
Expenditures]])</f>
        <v>0.97499564727842347</v>
      </c>
      <c r="N15" s="127">
        <f>IF(Table1[[#This Row],[Percent Funded of Adjusted PYE]]=1,0,Table1[[#This Row],[AdjPriorYear 
Expenditures]]-Table1[[#This Row],[Allocation]])</f>
        <v>455361.95000000298</v>
      </c>
    </row>
    <row r="16" spans="1:14" x14ac:dyDescent="0.35">
      <c r="A16">
        <v>20203</v>
      </c>
      <c r="B16" t="s">
        <v>763</v>
      </c>
      <c r="C16" s="127">
        <v>225483.65999999997</v>
      </c>
      <c r="D16" s="127">
        <v>224398.77000000002</v>
      </c>
      <c r="E16" s="128">
        <v>126.75</v>
      </c>
      <c r="F16" s="128">
        <v>0</v>
      </c>
      <c r="G16" s="129">
        <v>126.75</v>
      </c>
      <c r="H16" s="128">
        <v>63.375</v>
      </c>
      <c r="I16" s="127">
        <f>Table1[[#This Row],[AdjPriorYear 
Expenditures]]/Table1[[#This Row],[Total Riders (AM/PM counts)]]</f>
        <v>1778.9637869822484</v>
      </c>
      <c r="J16" s="165">
        <f>Table1[[#This Row],[AdjPriorYear 
Expenditures]]/Table1[[#This Row],[Total Students]]</f>
        <v>3557.9275739644968</v>
      </c>
      <c r="K16" s="127">
        <f>Table1[[#This Row],[Allocation]]/Table1[[#This Row],[Total Riders (AM/PM counts)]]</f>
        <v>1770.4044970414202</v>
      </c>
      <c r="L16" s="127">
        <f>Table1[[#This Row],[Allocation]]/Table1[[#This Row],[Total Students]]</f>
        <v>3540.8089940828404</v>
      </c>
      <c r="M16" s="130">
        <f>IF(Table1[[#This Row],[Allocation]]&gt;Table1[[#This Row],[AdjPriorYear 
Expenditures]],100%, Table1[[#This Row],[Allocation]]/Table1[[#This Row],[AdjPriorYear 
Expenditures]])</f>
        <v>0.99518860923226116</v>
      </c>
      <c r="N16" s="127">
        <f>IF(Table1[[#This Row],[Percent Funded of Adjusted PYE]]=1,0,Table1[[#This Row],[AdjPriorYear 
Expenditures]]-Table1[[#This Row],[Allocation]])</f>
        <v>1084.8899999999558</v>
      </c>
    </row>
    <row r="17" spans="1:14" x14ac:dyDescent="0.35">
      <c r="A17">
        <v>37503</v>
      </c>
      <c r="B17" t="s">
        <v>764</v>
      </c>
      <c r="C17" s="127">
        <v>1705354.3800000001</v>
      </c>
      <c r="D17" s="127">
        <v>1709835.34</v>
      </c>
      <c r="E17" s="128">
        <v>1339</v>
      </c>
      <c r="F17" s="128">
        <v>67.75</v>
      </c>
      <c r="G17" s="129">
        <v>1426.375</v>
      </c>
      <c r="H17" s="128">
        <v>713.1875</v>
      </c>
      <c r="I17" s="127">
        <f>Table1[[#This Row],[AdjPriorYear 
Expenditures]]/Table1[[#This Row],[Total Riders (AM/PM counts)]]</f>
        <v>1195.5862799053546</v>
      </c>
      <c r="J17" s="165">
        <f>Table1[[#This Row],[AdjPriorYear 
Expenditures]]/Table1[[#This Row],[Total Students]]</f>
        <v>2391.1725598107091</v>
      </c>
      <c r="K17" s="127">
        <f>Table1[[#This Row],[Allocation]]/Table1[[#This Row],[Total Riders (AM/PM counts)]]</f>
        <v>1198.7277819647709</v>
      </c>
      <c r="L17" s="127">
        <f>Table1[[#This Row],[Allocation]]/Table1[[#This Row],[Total Students]]</f>
        <v>2397.4555639295418</v>
      </c>
      <c r="M17" s="130">
        <f>IF(Table1[[#This Row],[Allocation]]&gt;Table1[[#This Row],[AdjPriorYear 
Expenditures]],100%, Table1[[#This Row],[Allocation]]/Table1[[#This Row],[AdjPriorYear 
Expenditures]])</f>
        <v>1</v>
      </c>
      <c r="N17" s="127">
        <f>IF(Table1[[#This Row],[Percent Funded of Adjusted PYE]]=1,0,Table1[[#This Row],[AdjPriorYear 
Expenditures]]-Table1[[#This Row],[Allocation]])</f>
        <v>0</v>
      </c>
    </row>
    <row r="18" spans="1:14" x14ac:dyDescent="0.35">
      <c r="A18">
        <v>21234</v>
      </c>
      <c r="B18" t="s">
        <v>765</v>
      </c>
      <c r="C18" s="127">
        <v>212957.38</v>
      </c>
      <c r="D18" s="127">
        <v>230879.45</v>
      </c>
      <c r="E18" s="128">
        <v>157.375</v>
      </c>
      <c r="F18" s="128">
        <v>0</v>
      </c>
      <c r="G18" s="129">
        <v>157.375</v>
      </c>
      <c r="H18" s="128">
        <v>78.6875</v>
      </c>
      <c r="I18" s="127">
        <f>Table1[[#This Row],[AdjPriorYear 
Expenditures]]/Table1[[#This Row],[Total Riders (AM/PM counts)]]</f>
        <v>1353.1843050039715</v>
      </c>
      <c r="J18" s="165">
        <f>Table1[[#This Row],[AdjPriorYear 
Expenditures]]/Table1[[#This Row],[Total Students]]</f>
        <v>2706.3686100079431</v>
      </c>
      <c r="K18" s="127">
        <f>Table1[[#This Row],[Allocation]]/Table1[[#This Row],[Total Riders (AM/PM counts)]]</f>
        <v>1467.0656076250993</v>
      </c>
      <c r="L18" s="127">
        <f>Table1[[#This Row],[Allocation]]/Table1[[#This Row],[Total Students]]</f>
        <v>2934.1312152501987</v>
      </c>
      <c r="M18" s="130">
        <f>IF(Table1[[#This Row],[Allocation]]&gt;Table1[[#This Row],[AdjPriorYear 
Expenditures]],100%, Table1[[#This Row],[Allocation]]/Table1[[#This Row],[AdjPriorYear 
Expenditures]])</f>
        <v>1</v>
      </c>
      <c r="N18" s="127">
        <f>IF(Table1[[#This Row],[Percent Funded of Adjusted PYE]]=1,0,Table1[[#This Row],[AdjPriorYear 
Expenditures]]-Table1[[#This Row],[Allocation]])</f>
        <v>0</v>
      </c>
    </row>
    <row r="19" spans="1:14" x14ac:dyDescent="0.35">
      <c r="A19">
        <v>18100</v>
      </c>
      <c r="B19" t="s">
        <v>766</v>
      </c>
      <c r="C19" s="127">
        <v>2659141.9299999997</v>
      </c>
      <c r="D19" s="127">
        <v>2609187.9500000002</v>
      </c>
      <c r="E19" s="128">
        <v>2801.75</v>
      </c>
      <c r="F19" s="128">
        <v>197.375</v>
      </c>
      <c r="G19" s="129">
        <v>3034.625</v>
      </c>
      <c r="H19" s="128">
        <v>1517.3125</v>
      </c>
      <c r="I19" s="127">
        <f>Table1[[#This Row],[AdjPriorYear 
Expenditures]]/Table1[[#This Row],[Total Riders (AM/PM counts)]]</f>
        <v>876.26706100424258</v>
      </c>
      <c r="J19" s="165">
        <f>Table1[[#This Row],[AdjPriorYear 
Expenditures]]/Table1[[#This Row],[Total Students]]</f>
        <v>1752.5341220084852</v>
      </c>
      <c r="K19" s="127">
        <f>Table1[[#This Row],[Allocation]]/Table1[[#This Row],[Total Riders (AM/PM counts)]]</f>
        <v>859.80572558388599</v>
      </c>
      <c r="L19" s="127">
        <f>Table1[[#This Row],[Allocation]]/Table1[[#This Row],[Total Students]]</f>
        <v>1719.611451167772</v>
      </c>
      <c r="M19" s="130">
        <f>IF(Table1[[#This Row],[Allocation]]&gt;Table1[[#This Row],[AdjPriorYear 
Expenditures]],100%, Table1[[#This Row],[Allocation]]/Table1[[#This Row],[AdjPriorYear 
Expenditures]])</f>
        <v>0.98121424831204873</v>
      </c>
      <c r="N19" s="127">
        <f>IF(Table1[[#This Row],[Percent Funded of Adjusted PYE]]=1,0,Table1[[#This Row],[AdjPriorYear 
Expenditures]]-Table1[[#This Row],[Allocation]])</f>
        <v>49953.979999999516</v>
      </c>
    </row>
    <row r="20" spans="1:14" x14ac:dyDescent="0.35">
      <c r="A20">
        <v>24111</v>
      </c>
      <c r="B20" t="s">
        <v>767</v>
      </c>
      <c r="C20" s="127">
        <v>265013.23</v>
      </c>
      <c r="D20" s="127">
        <v>272835.09000000003</v>
      </c>
      <c r="E20" s="128">
        <v>390.125</v>
      </c>
      <c r="F20" s="128">
        <v>9.5</v>
      </c>
      <c r="G20" s="129">
        <v>399.75</v>
      </c>
      <c r="H20" s="128">
        <v>199.875</v>
      </c>
      <c r="I20" s="127">
        <f>Table1[[#This Row],[AdjPriorYear 
Expenditures]]/Table1[[#This Row],[Total Riders (AM/PM counts)]]</f>
        <v>662.94741713570977</v>
      </c>
      <c r="J20" s="165">
        <f>Table1[[#This Row],[AdjPriorYear 
Expenditures]]/Table1[[#This Row],[Total Students]]</f>
        <v>1325.8948342714195</v>
      </c>
      <c r="K20" s="127">
        <f>Table1[[#This Row],[Allocation]]/Table1[[#This Row],[Total Riders (AM/PM counts)]]</f>
        <v>682.51429643527206</v>
      </c>
      <c r="L20" s="127">
        <f>Table1[[#This Row],[Allocation]]/Table1[[#This Row],[Total Students]]</f>
        <v>1365.0285928705441</v>
      </c>
      <c r="M20" s="130">
        <f>IF(Table1[[#This Row],[Allocation]]&gt;Table1[[#This Row],[AdjPriorYear 
Expenditures]],100%, Table1[[#This Row],[Allocation]]/Table1[[#This Row],[AdjPriorYear 
Expenditures]])</f>
        <v>1</v>
      </c>
      <c r="N20" s="127">
        <f>IF(Table1[[#This Row],[Percent Funded of Adjusted PYE]]=1,0,Table1[[#This Row],[AdjPriorYear 
Expenditures]]-Table1[[#This Row],[Allocation]])</f>
        <v>0</v>
      </c>
    </row>
    <row r="21" spans="1:14" x14ac:dyDescent="0.35">
      <c r="A21">
        <v>9075</v>
      </c>
      <c r="B21" t="s">
        <v>768</v>
      </c>
      <c r="C21" s="127">
        <v>199449.42</v>
      </c>
      <c r="D21" s="127">
        <v>225502.81</v>
      </c>
      <c r="E21" s="128">
        <v>222.5</v>
      </c>
      <c r="F21" s="128">
        <v>25.625</v>
      </c>
      <c r="G21" s="129">
        <v>241.75</v>
      </c>
      <c r="H21" s="128">
        <v>120.875</v>
      </c>
      <c r="I21" s="127">
        <f>Table1[[#This Row],[AdjPriorYear 
Expenditures]]/Table1[[#This Row],[Total Riders (AM/PM counts)]]</f>
        <v>825.02345398138573</v>
      </c>
      <c r="J21" s="165">
        <f>Table1[[#This Row],[AdjPriorYear 
Expenditures]]/Table1[[#This Row],[Total Students]]</f>
        <v>1650.0469079627715</v>
      </c>
      <c r="K21" s="127">
        <f>Table1[[#This Row],[Allocation]]/Table1[[#This Row],[Total Riders (AM/PM counts)]]</f>
        <v>932.7934229576008</v>
      </c>
      <c r="L21" s="127">
        <f>Table1[[#This Row],[Allocation]]/Table1[[#This Row],[Total Students]]</f>
        <v>1865.5868459152016</v>
      </c>
      <c r="M21" s="130">
        <f>IF(Table1[[#This Row],[Allocation]]&gt;Table1[[#This Row],[AdjPriorYear 
Expenditures]],100%, Table1[[#This Row],[Allocation]]/Table1[[#This Row],[AdjPriorYear 
Expenditures]])</f>
        <v>1</v>
      </c>
      <c r="N21" s="127">
        <f>IF(Table1[[#This Row],[Percent Funded of Adjusted PYE]]=1,0,Table1[[#This Row],[AdjPriorYear 
Expenditures]]-Table1[[#This Row],[Allocation]])</f>
        <v>0</v>
      </c>
    </row>
    <row r="22" spans="1:14" x14ac:dyDescent="0.35">
      <c r="A22">
        <v>16046</v>
      </c>
      <c r="B22" t="s">
        <v>769</v>
      </c>
      <c r="C22" s="127">
        <v>125581.01</v>
      </c>
      <c r="D22" s="127">
        <v>118369.65000000001</v>
      </c>
      <c r="E22" s="128">
        <v>80.25</v>
      </c>
      <c r="F22" s="128">
        <v>0</v>
      </c>
      <c r="G22" s="129">
        <v>80.25</v>
      </c>
      <c r="H22" s="128">
        <v>40.125</v>
      </c>
      <c r="I22" s="127">
        <f>Table1[[#This Row],[AdjPriorYear 
Expenditures]]/Table1[[#This Row],[Total Riders (AM/PM counts)]]</f>
        <v>1564.872398753894</v>
      </c>
      <c r="J22" s="165">
        <f>Table1[[#This Row],[AdjPriorYear 
Expenditures]]/Table1[[#This Row],[Total Students]]</f>
        <v>3129.744797507788</v>
      </c>
      <c r="K22" s="127">
        <f>Table1[[#This Row],[Allocation]]/Table1[[#This Row],[Total Riders (AM/PM counts)]]</f>
        <v>1475.0112149532711</v>
      </c>
      <c r="L22" s="127">
        <f>Table1[[#This Row],[Allocation]]/Table1[[#This Row],[Total Students]]</f>
        <v>2950.0224299065421</v>
      </c>
      <c r="M22" s="130">
        <f>IF(Table1[[#This Row],[Allocation]]&gt;Table1[[#This Row],[AdjPriorYear 
Expenditures]],100%, Table1[[#This Row],[Allocation]]/Table1[[#This Row],[AdjPriorYear 
Expenditures]])</f>
        <v>0.94257603120089584</v>
      </c>
      <c r="N22" s="127">
        <f>IF(Table1[[#This Row],[Percent Funded of Adjusted PYE]]=1,0,Table1[[#This Row],[AdjPriorYear 
Expenditures]]-Table1[[#This Row],[Allocation]])</f>
        <v>7211.359999999986</v>
      </c>
    </row>
    <row r="23" spans="1:14" x14ac:dyDescent="0.35">
      <c r="A23">
        <v>29100</v>
      </c>
      <c r="B23" t="s">
        <v>770</v>
      </c>
      <c r="C23" s="127">
        <v>2807200.6700000004</v>
      </c>
      <c r="D23" s="127">
        <v>2630273.5499999998</v>
      </c>
      <c r="E23" s="128">
        <v>2424.875</v>
      </c>
      <c r="F23" s="128">
        <v>193.75</v>
      </c>
      <c r="G23" s="129">
        <v>2638.75</v>
      </c>
      <c r="H23" s="128">
        <v>1319.375</v>
      </c>
      <c r="I23" s="127">
        <f>Table1[[#This Row],[AdjPriorYear 
Expenditures]]/Table1[[#This Row],[Total Riders (AM/PM counts)]]</f>
        <v>1063.8372979630508</v>
      </c>
      <c r="J23" s="165">
        <f>Table1[[#This Row],[AdjPriorYear 
Expenditures]]/Table1[[#This Row],[Total Students]]</f>
        <v>2127.6745959261016</v>
      </c>
      <c r="K23" s="127">
        <f>Table1[[#This Row],[Allocation]]/Table1[[#This Row],[Total Riders (AM/PM counts)]]</f>
        <v>996.78770251065839</v>
      </c>
      <c r="L23" s="127">
        <f>Table1[[#This Row],[Allocation]]/Table1[[#This Row],[Total Students]]</f>
        <v>1993.5754050213168</v>
      </c>
      <c r="M23" s="130">
        <f>IF(Table1[[#This Row],[Allocation]]&gt;Table1[[#This Row],[AdjPriorYear 
Expenditures]],100%, Table1[[#This Row],[Allocation]]/Table1[[#This Row],[AdjPriorYear 
Expenditures]])</f>
        <v>0.93697382524491901</v>
      </c>
      <c r="N23" s="127">
        <f>IF(Table1[[#This Row],[Percent Funded of Adjusted PYE]]=1,0,Table1[[#This Row],[AdjPriorYear 
Expenditures]]-Table1[[#This Row],[Allocation]])</f>
        <v>176927.12000000058</v>
      </c>
    </row>
    <row r="24" spans="1:14" x14ac:dyDescent="0.35">
      <c r="A24">
        <v>6117</v>
      </c>
      <c r="B24" t="s">
        <v>771</v>
      </c>
      <c r="C24" s="127">
        <v>4860404.7799999993</v>
      </c>
      <c r="D24" s="127">
        <v>4617687.84</v>
      </c>
      <c r="E24" s="128">
        <v>4578.5</v>
      </c>
      <c r="F24" s="128">
        <v>173.5</v>
      </c>
      <c r="G24" s="129">
        <v>4768.375</v>
      </c>
      <c r="H24" s="128">
        <v>2384.1875</v>
      </c>
      <c r="I24" s="127">
        <f>Table1[[#This Row],[AdjPriorYear 
Expenditures]]/Table1[[#This Row],[Total Riders (AM/PM counts)]]</f>
        <v>1019.3000298843945</v>
      </c>
      <c r="J24" s="165">
        <f>Table1[[#This Row],[AdjPriorYear 
Expenditures]]/Table1[[#This Row],[Total Students]]</f>
        <v>2038.6000597687889</v>
      </c>
      <c r="K24" s="127">
        <f>Table1[[#This Row],[Allocation]]/Table1[[#This Row],[Total Riders (AM/PM counts)]]</f>
        <v>968.39863475502659</v>
      </c>
      <c r="L24" s="127">
        <f>Table1[[#This Row],[Allocation]]/Table1[[#This Row],[Total Students]]</f>
        <v>1936.7972695100532</v>
      </c>
      <c r="M24" s="130">
        <f>IF(Table1[[#This Row],[Allocation]]&gt;Table1[[#This Row],[AdjPriorYear 
Expenditures]],100%, Table1[[#This Row],[Allocation]]/Table1[[#This Row],[AdjPriorYear 
Expenditures]])</f>
        <v>0.95006240200430392</v>
      </c>
      <c r="N24" s="127">
        <f>IF(Table1[[#This Row],[Percent Funded of Adjusted PYE]]=1,0,Table1[[#This Row],[AdjPriorYear 
Expenditures]]-Table1[[#This Row],[Allocation]])</f>
        <v>242716.93999999948</v>
      </c>
    </row>
    <row r="25" spans="1:14" x14ac:dyDescent="0.35">
      <c r="A25">
        <v>5401</v>
      </c>
      <c r="B25" t="s">
        <v>772</v>
      </c>
      <c r="C25" s="127">
        <v>376837.21</v>
      </c>
      <c r="D25" s="127">
        <v>370566.97</v>
      </c>
      <c r="E25" s="128">
        <v>307.875</v>
      </c>
      <c r="F25" s="128">
        <v>0</v>
      </c>
      <c r="G25" s="129">
        <v>307.875</v>
      </c>
      <c r="H25" s="128">
        <v>153.9375</v>
      </c>
      <c r="I25" s="127">
        <f>Table1[[#This Row],[AdjPriorYear 
Expenditures]]/Table1[[#This Row],[Total Riders (AM/PM counts)]]</f>
        <v>1223.9941859520909</v>
      </c>
      <c r="J25" s="165">
        <f>Table1[[#This Row],[AdjPriorYear 
Expenditures]]/Table1[[#This Row],[Total Students]]</f>
        <v>2447.9883719041818</v>
      </c>
      <c r="K25" s="127">
        <f>Table1[[#This Row],[Allocation]]/Table1[[#This Row],[Total Riders (AM/PM counts)]]</f>
        <v>1203.6279983759641</v>
      </c>
      <c r="L25" s="127">
        <f>Table1[[#This Row],[Allocation]]/Table1[[#This Row],[Total Students]]</f>
        <v>2407.2559967519283</v>
      </c>
      <c r="M25" s="130">
        <f>IF(Table1[[#This Row],[Allocation]]&gt;Table1[[#This Row],[AdjPriorYear 
Expenditures]],100%, Table1[[#This Row],[Allocation]]/Table1[[#This Row],[AdjPriorYear 
Expenditures]])</f>
        <v>0.98336087882616463</v>
      </c>
      <c r="N25" s="127">
        <f>IF(Table1[[#This Row],[Percent Funded of Adjusted PYE]]=1,0,Table1[[#This Row],[AdjPriorYear 
Expenditures]]-Table1[[#This Row],[Allocation]])</f>
        <v>6270.2400000000489</v>
      </c>
    </row>
    <row r="26" spans="1:14" x14ac:dyDescent="0.35">
      <c r="A26">
        <v>27019</v>
      </c>
      <c r="B26" t="s">
        <v>773</v>
      </c>
      <c r="C26" s="127">
        <v>144825.15</v>
      </c>
      <c r="D26" s="127">
        <v>112500.93999999999</v>
      </c>
      <c r="E26" s="128">
        <v>62.75</v>
      </c>
      <c r="F26" s="128">
        <v>2.875</v>
      </c>
      <c r="G26" s="129">
        <v>67.25</v>
      </c>
      <c r="H26" s="128">
        <v>33.625</v>
      </c>
      <c r="I26" s="127">
        <f>Table1[[#This Row],[AdjPriorYear 
Expenditures]]/Table1[[#This Row],[Total Riders (AM/PM counts)]]</f>
        <v>2153.5338289962824</v>
      </c>
      <c r="J26" s="165">
        <f>Table1[[#This Row],[AdjPriorYear 
Expenditures]]/Table1[[#This Row],[Total Students]]</f>
        <v>4307.0676579925648</v>
      </c>
      <c r="K26" s="127">
        <f>Table1[[#This Row],[Allocation]]/Table1[[#This Row],[Total Riders (AM/PM counts)]]</f>
        <v>1672.8764312267656</v>
      </c>
      <c r="L26" s="127">
        <f>Table1[[#This Row],[Allocation]]/Table1[[#This Row],[Total Students]]</f>
        <v>3345.7528624535312</v>
      </c>
      <c r="M26" s="130">
        <f>IF(Table1[[#This Row],[Allocation]]&gt;Table1[[#This Row],[AdjPriorYear 
Expenditures]],100%, Table1[[#This Row],[Allocation]]/Table1[[#This Row],[AdjPriorYear 
Expenditures]])</f>
        <v>0.7768052717362971</v>
      </c>
      <c r="N26" s="127">
        <f>IF(Table1[[#This Row],[Percent Funded of Adjusted PYE]]=1,0,Table1[[#This Row],[AdjPriorYear 
Expenditures]]-Table1[[#This Row],[Allocation]])</f>
        <v>32324.210000000006</v>
      </c>
    </row>
    <row r="27" spans="1:14" x14ac:dyDescent="0.35">
      <c r="A27">
        <v>4228</v>
      </c>
      <c r="B27" t="s">
        <v>774</v>
      </c>
      <c r="C27" s="127">
        <v>981435.54999999993</v>
      </c>
      <c r="D27" s="127">
        <v>1076257.5099999998</v>
      </c>
      <c r="E27" s="128">
        <v>739.5</v>
      </c>
      <c r="F27" s="128">
        <v>33.875</v>
      </c>
      <c r="G27" s="129">
        <v>785.375</v>
      </c>
      <c r="H27" s="128">
        <v>392.6875</v>
      </c>
      <c r="I27" s="127">
        <f>Table1[[#This Row],[AdjPriorYear 
Expenditures]]/Table1[[#This Row],[Total Riders (AM/PM counts)]]</f>
        <v>1249.6394079261499</v>
      </c>
      <c r="J27" s="165">
        <f>Table1[[#This Row],[AdjPriorYear 
Expenditures]]/Table1[[#This Row],[Total Students]]</f>
        <v>2499.2788158522999</v>
      </c>
      <c r="K27" s="127">
        <f>Table1[[#This Row],[Allocation]]/Table1[[#This Row],[Total Riders (AM/PM counts)]]</f>
        <v>1370.3740378799932</v>
      </c>
      <c r="L27" s="127">
        <f>Table1[[#This Row],[Allocation]]/Table1[[#This Row],[Total Students]]</f>
        <v>2740.7480757599865</v>
      </c>
      <c r="M27" s="130">
        <f>IF(Table1[[#This Row],[Allocation]]&gt;Table1[[#This Row],[AdjPriorYear 
Expenditures]],100%, Table1[[#This Row],[Allocation]]/Table1[[#This Row],[AdjPriorYear 
Expenditures]])</f>
        <v>1</v>
      </c>
      <c r="N27" s="127">
        <f>IF(Table1[[#This Row],[Percent Funded of Adjusted PYE]]=1,0,Table1[[#This Row],[AdjPriorYear 
Expenditures]]-Table1[[#This Row],[Allocation]])</f>
        <v>0</v>
      </c>
    </row>
    <row r="28" spans="1:14" x14ac:dyDescent="0.35">
      <c r="A28">
        <v>4222</v>
      </c>
      <c r="B28" t="s">
        <v>775</v>
      </c>
      <c r="C28" s="127">
        <v>564289.65</v>
      </c>
      <c r="D28" s="127">
        <v>583699.22</v>
      </c>
      <c r="E28" s="128">
        <v>606.625</v>
      </c>
      <c r="F28" s="128">
        <v>41.75</v>
      </c>
      <c r="G28" s="129">
        <v>655</v>
      </c>
      <c r="H28" s="128">
        <v>327.5</v>
      </c>
      <c r="I28" s="127">
        <f>Table1[[#This Row],[AdjPriorYear 
Expenditures]]/Table1[[#This Row],[Total Riders (AM/PM counts)]]</f>
        <v>861.51091603053442</v>
      </c>
      <c r="J28" s="165">
        <f>Table1[[#This Row],[AdjPriorYear 
Expenditures]]/Table1[[#This Row],[Total Students]]</f>
        <v>1723.0218320610688</v>
      </c>
      <c r="K28" s="127">
        <f>Table1[[#This Row],[Allocation]]/Table1[[#This Row],[Total Riders (AM/PM counts)]]</f>
        <v>891.14384732824419</v>
      </c>
      <c r="L28" s="127">
        <f>Table1[[#This Row],[Allocation]]/Table1[[#This Row],[Total Students]]</f>
        <v>1782.2876946564884</v>
      </c>
      <c r="M28" s="130">
        <f>IF(Table1[[#This Row],[Allocation]]&gt;Table1[[#This Row],[AdjPriorYear 
Expenditures]],100%, Table1[[#This Row],[Allocation]]/Table1[[#This Row],[AdjPriorYear 
Expenditures]])</f>
        <v>1</v>
      </c>
      <c r="N28" s="127">
        <f>IF(Table1[[#This Row],[Percent Funded of Adjusted PYE]]=1,0,Table1[[#This Row],[AdjPriorYear 
Expenditures]]-Table1[[#This Row],[Allocation]])</f>
        <v>0</v>
      </c>
    </row>
    <row r="29" spans="1:14" x14ac:dyDescent="0.35">
      <c r="A29">
        <v>8401</v>
      </c>
      <c r="B29" t="s">
        <v>776</v>
      </c>
      <c r="C29" s="127">
        <v>963234.76</v>
      </c>
      <c r="D29" s="127">
        <v>1038171.9800000001</v>
      </c>
      <c r="E29" s="128">
        <v>896.75</v>
      </c>
      <c r="F29" s="128">
        <v>50.125</v>
      </c>
      <c r="G29" s="129">
        <v>950.375</v>
      </c>
      <c r="H29" s="128">
        <v>475.1875</v>
      </c>
      <c r="I29" s="127">
        <f>Table1[[#This Row],[AdjPriorYear 
Expenditures]]/Table1[[#This Row],[Total Riders (AM/PM counts)]]</f>
        <v>1013.5312481915033</v>
      </c>
      <c r="J29" s="165">
        <f>Table1[[#This Row],[AdjPriorYear 
Expenditures]]/Table1[[#This Row],[Total Students]]</f>
        <v>2027.0624963830066</v>
      </c>
      <c r="K29" s="127">
        <f>Table1[[#This Row],[Allocation]]/Table1[[#This Row],[Total Riders (AM/PM counts)]]</f>
        <v>1092.3814073392084</v>
      </c>
      <c r="L29" s="127">
        <f>Table1[[#This Row],[Allocation]]/Table1[[#This Row],[Total Students]]</f>
        <v>2184.7628146784168</v>
      </c>
      <c r="M29" s="130">
        <f>IF(Table1[[#This Row],[Allocation]]&gt;Table1[[#This Row],[AdjPriorYear 
Expenditures]],100%, Table1[[#This Row],[Allocation]]/Table1[[#This Row],[AdjPriorYear 
Expenditures]])</f>
        <v>1</v>
      </c>
      <c r="N29" s="127">
        <f>IF(Table1[[#This Row],[Percent Funded of Adjusted PYE]]=1,0,Table1[[#This Row],[AdjPriorYear 
Expenditures]]-Table1[[#This Row],[Allocation]])</f>
        <v>0</v>
      </c>
    </row>
    <row r="30" spans="1:14" x14ac:dyDescent="0.35">
      <c r="A30">
        <v>20215</v>
      </c>
      <c r="B30" t="s">
        <v>777</v>
      </c>
      <c r="C30" s="127">
        <v>155975.31999999998</v>
      </c>
      <c r="D30" s="127">
        <v>176797.74</v>
      </c>
      <c r="E30" s="128">
        <v>106.375</v>
      </c>
      <c r="F30" s="128">
        <v>0</v>
      </c>
      <c r="G30" s="129">
        <v>106.375</v>
      </c>
      <c r="H30" s="128">
        <v>53.1875</v>
      </c>
      <c r="I30" s="127">
        <f>Table1[[#This Row],[AdjPriorYear 
Expenditures]]/Table1[[#This Row],[Total Riders (AM/PM counts)]]</f>
        <v>1466.2779788484133</v>
      </c>
      <c r="J30" s="165">
        <f>Table1[[#This Row],[AdjPriorYear 
Expenditures]]/Table1[[#This Row],[Total Students]]</f>
        <v>2932.5559576968267</v>
      </c>
      <c r="K30" s="127">
        <f>Table1[[#This Row],[Allocation]]/Table1[[#This Row],[Total Riders (AM/PM counts)]]</f>
        <v>1662.0234077555815</v>
      </c>
      <c r="L30" s="127">
        <f>Table1[[#This Row],[Allocation]]/Table1[[#This Row],[Total Students]]</f>
        <v>3324.046815511163</v>
      </c>
      <c r="M30" s="130">
        <f>IF(Table1[[#This Row],[Allocation]]&gt;Table1[[#This Row],[AdjPriorYear 
Expenditures]],100%, Table1[[#This Row],[Allocation]]/Table1[[#This Row],[AdjPriorYear 
Expenditures]])</f>
        <v>1</v>
      </c>
      <c r="N30" s="127">
        <f>IF(Table1[[#This Row],[Percent Funded of Adjusted PYE]]=1,0,Table1[[#This Row],[AdjPriorYear 
Expenditures]]-Table1[[#This Row],[Allocation]])</f>
        <v>0</v>
      </c>
    </row>
    <row r="31" spans="1:14" x14ac:dyDescent="0.35">
      <c r="A31">
        <v>18401</v>
      </c>
      <c r="B31" t="s">
        <v>778</v>
      </c>
      <c r="C31" s="127">
        <v>8034257.2700000005</v>
      </c>
      <c r="D31" s="127">
        <v>6901592.1299999999</v>
      </c>
      <c r="E31" s="128">
        <v>6910.75</v>
      </c>
      <c r="F31" s="128">
        <v>717.625</v>
      </c>
      <c r="G31" s="129">
        <v>7612.375</v>
      </c>
      <c r="H31" s="128">
        <v>3806.1875</v>
      </c>
      <c r="I31" s="127">
        <f>Table1[[#This Row],[AdjPriorYear 
Expenditures]]/Table1[[#This Row],[Total Riders (AM/PM counts)]]</f>
        <v>1055.4205842460467</v>
      </c>
      <c r="J31" s="165">
        <f>Table1[[#This Row],[AdjPriorYear 
Expenditures]]/Table1[[#This Row],[Total Students]]</f>
        <v>2110.8411684920934</v>
      </c>
      <c r="K31" s="127">
        <f>Table1[[#This Row],[Allocation]]/Table1[[#This Row],[Total Riders (AM/PM counts)]]</f>
        <v>906.62797484359351</v>
      </c>
      <c r="L31" s="127">
        <f>Table1[[#This Row],[Allocation]]/Table1[[#This Row],[Total Students]]</f>
        <v>1813.255949687187</v>
      </c>
      <c r="M31" s="130">
        <f>IF(Table1[[#This Row],[Allocation]]&gt;Table1[[#This Row],[AdjPriorYear 
Expenditures]],100%, Table1[[#This Row],[Allocation]]/Table1[[#This Row],[AdjPriorYear 
Expenditures]])</f>
        <v>0.8590205538688207</v>
      </c>
      <c r="N31" s="127">
        <f>IF(Table1[[#This Row],[Percent Funded of Adjusted PYE]]=1,0,Table1[[#This Row],[AdjPriorYear 
Expenditures]]-Table1[[#This Row],[Allocation]])</f>
        <v>1132665.1400000006</v>
      </c>
    </row>
    <row r="32" spans="1:14" x14ac:dyDescent="0.35">
      <c r="A32">
        <v>32356</v>
      </c>
      <c r="B32" t="s">
        <v>779</v>
      </c>
      <c r="C32" s="127">
        <v>7948731.5599999987</v>
      </c>
      <c r="D32" s="127">
        <v>7154268.3299999991</v>
      </c>
      <c r="E32" s="128">
        <v>6253.375</v>
      </c>
      <c r="F32" s="128">
        <v>754.25</v>
      </c>
      <c r="G32" s="129">
        <v>7182.125</v>
      </c>
      <c r="H32" s="128">
        <v>3591.0625</v>
      </c>
      <c r="I32" s="127">
        <f>Table1[[#This Row],[AdjPriorYear 
Expenditures]]/Table1[[#This Row],[Total Riders (AM/PM counts)]]</f>
        <v>1106.7381255547625</v>
      </c>
      <c r="J32" s="165">
        <f>Table1[[#This Row],[AdjPriorYear 
Expenditures]]/Table1[[#This Row],[Total Students]]</f>
        <v>2213.476251109525</v>
      </c>
      <c r="K32" s="127">
        <f>Table1[[#This Row],[Allocation]]/Table1[[#This Row],[Total Riders (AM/PM counts)]]</f>
        <v>996.1213888647161</v>
      </c>
      <c r="L32" s="127">
        <f>Table1[[#This Row],[Allocation]]/Table1[[#This Row],[Total Students]]</f>
        <v>1992.2427777294322</v>
      </c>
      <c r="M32" s="130">
        <f>IF(Table1[[#This Row],[Allocation]]&gt;Table1[[#This Row],[AdjPriorYear 
Expenditures]],100%, Table1[[#This Row],[Allocation]]/Table1[[#This Row],[AdjPriorYear 
Expenditures]])</f>
        <v>0.90005157124717394</v>
      </c>
      <c r="N32" s="127">
        <f>IF(Table1[[#This Row],[Percent Funded of Adjusted PYE]]=1,0,Table1[[#This Row],[AdjPriorYear 
Expenditures]]-Table1[[#This Row],[Allocation]])</f>
        <v>794463.22999999952</v>
      </c>
    </row>
    <row r="33" spans="1:14" x14ac:dyDescent="0.35">
      <c r="A33">
        <v>21401</v>
      </c>
      <c r="B33" t="s">
        <v>780</v>
      </c>
      <c r="C33" s="127">
        <v>2972386.47</v>
      </c>
      <c r="D33" s="127">
        <v>2833984.07</v>
      </c>
      <c r="E33" s="128">
        <v>2246.5</v>
      </c>
      <c r="F33" s="128">
        <v>120.75</v>
      </c>
      <c r="G33" s="129">
        <v>2385.75</v>
      </c>
      <c r="H33" s="128">
        <v>1192.875</v>
      </c>
      <c r="I33" s="127">
        <f>Table1[[#This Row],[AdjPriorYear 
Expenditures]]/Table1[[#This Row],[Total Riders (AM/PM counts)]]</f>
        <v>1245.8918453316569</v>
      </c>
      <c r="J33" s="165">
        <f>Table1[[#This Row],[AdjPriorYear 
Expenditures]]/Table1[[#This Row],[Total Students]]</f>
        <v>2491.7836906633138</v>
      </c>
      <c r="K33" s="127">
        <f>Table1[[#This Row],[Allocation]]/Table1[[#This Row],[Total Riders (AM/PM counts)]]</f>
        <v>1187.8797317405426</v>
      </c>
      <c r="L33" s="127">
        <f>Table1[[#This Row],[Allocation]]/Table1[[#This Row],[Total Students]]</f>
        <v>2375.7594634810853</v>
      </c>
      <c r="M33" s="130">
        <f>IF(Table1[[#This Row],[Allocation]]&gt;Table1[[#This Row],[AdjPriorYear 
Expenditures]],100%, Table1[[#This Row],[Allocation]]/Table1[[#This Row],[AdjPriorYear 
Expenditures]])</f>
        <v>0.95343727964149949</v>
      </c>
      <c r="N33" s="127">
        <f>IF(Table1[[#This Row],[Percent Funded of Adjusted PYE]]=1,0,Table1[[#This Row],[AdjPriorYear 
Expenditures]]-Table1[[#This Row],[Allocation]])</f>
        <v>138402.40000000037</v>
      </c>
    </row>
    <row r="34" spans="1:14" x14ac:dyDescent="0.35">
      <c r="A34">
        <v>21302</v>
      </c>
      <c r="B34" t="s">
        <v>781</v>
      </c>
      <c r="C34" s="127">
        <v>1644359.5400000003</v>
      </c>
      <c r="D34" s="127">
        <v>1593794.8</v>
      </c>
      <c r="E34" s="128">
        <v>1765</v>
      </c>
      <c r="F34" s="128">
        <v>40.125</v>
      </c>
      <c r="G34" s="129">
        <v>1806.5</v>
      </c>
      <c r="H34" s="128">
        <v>903.25</v>
      </c>
      <c r="I34" s="127">
        <f>Table1[[#This Row],[AdjPriorYear 
Expenditures]]/Table1[[#This Row],[Total Riders (AM/PM counts)]]</f>
        <v>910.24607805148094</v>
      </c>
      <c r="J34" s="165">
        <f>Table1[[#This Row],[AdjPriorYear 
Expenditures]]/Table1[[#This Row],[Total Students]]</f>
        <v>1820.4921561029619</v>
      </c>
      <c r="K34" s="127">
        <f>Table1[[#This Row],[Allocation]]/Table1[[#This Row],[Total Riders (AM/PM counts)]]</f>
        <v>882.25563243841691</v>
      </c>
      <c r="L34" s="127">
        <f>Table1[[#This Row],[Allocation]]/Table1[[#This Row],[Total Students]]</f>
        <v>1764.5112648768338</v>
      </c>
      <c r="M34" s="130">
        <f>IF(Table1[[#This Row],[Allocation]]&gt;Table1[[#This Row],[AdjPriorYear 
Expenditures]],100%, Table1[[#This Row],[Allocation]]/Table1[[#This Row],[AdjPriorYear 
Expenditures]])</f>
        <v>0.96924958394439686</v>
      </c>
      <c r="N34" s="127">
        <f>IF(Table1[[#This Row],[Percent Funded of Adjusted PYE]]=1,0,Table1[[#This Row],[AdjPriorYear 
Expenditures]]-Table1[[#This Row],[Allocation]])</f>
        <v>50564.740000000224</v>
      </c>
    </row>
    <row r="35" spans="1:14" x14ac:dyDescent="0.35">
      <c r="A35">
        <v>32360</v>
      </c>
      <c r="B35" t="s">
        <v>782</v>
      </c>
      <c r="C35" s="127">
        <v>3968863.2399999998</v>
      </c>
      <c r="D35" s="127">
        <v>3812696.29</v>
      </c>
      <c r="E35" s="128">
        <v>3983.875</v>
      </c>
      <c r="F35" s="128">
        <v>178.375</v>
      </c>
      <c r="G35" s="129">
        <v>4215.125</v>
      </c>
      <c r="H35" s="128">
        <v>2107.5625</v>
      </c>
      <c r="I35" s="127">
        <f>Table1[[#This Row],[AdjPriorYear 
Expenditures]]/Table1[[#This Row],[Total Riders (AM/PM counts)]]</f>
        <v>941.57664126212148</v>
      </c>
      <c r="J35" s="165">
        <f>Table1[[#This Row],[AdjPriorYear 
Expenditures]]/Table1[[#This Row],[Total Students]]</f>
        <v>1883.153282524243</v>
      </c>
      <c r="K35" s="127">
        <f>Table1[[#This Row],[Allocation]]/Table1[[#This Row],[Total Riders (AM/PM counts)]]</f>
        <v>904.52745529492006</v>
      </c>
      <c r="L35" s="127">
        <f>Table1[[#This Row],[Allocation]]/Table1[[#This Row],[Total Students]]</f>
        <v>1809.0549105898401</v>
      </c>
      <c r="M35" s="130">
        <f>IF(Table1[[#This Row],[Allocation]]&gt;Table1[[#This Row],[AdjPriorYear 
Expenditures]],100%, Table1[[#This Row],[Allocation]]/Table1[[#This Row],[AdjPriorYear 
Expenditures]])</f>
        <v>0.9606519699580276</v>
      </c>
      <c r="N35" s="127">
        <f>IF(Table1[[#This Row],[Percent Funded of Adjusted PYE]]=1,0,Table1[[#This Row],[AdjPriorYear 
Expenditures]]-Table1[[#This Row],[Allocation]])</f>
        <v>156166.94999999972</v>
      </c>
    </row>
    <row r="36" spans="1:14" x14ac:dyDescent="0.35">
      <c r="A36">
        <v>33036</v>
      </c>
      <c r="B36" t="s">
        <v>783</v>
      </c>
      <c r="C36" s="127">
        <v>671894.8600000001</v>
      </c>
      <c r="D36" s="127">
        <v>713883.06</v>
      </c>
      <c r="E36" s="128">
        <v>540.375</v>
      </c>
      <c r="F36" s="128">
        <v>16.875</v>
      </c>
      <c r="G36" s="129">
        <v>561</v>
      </c>
      <c r="H36" s="128">
        <v>280.5</v>
      </c>
      <c r="I36" s="127">
        <f>Table1[[#This Row],[AdjPriorYear 
Expenditures]]/Table1[[#This Row],[Total Riders (AM/PM counts)]]</f>
        <v>1197.6735472370767</v>
      </c>
      <c r="J36" s="165">
        <f>Table1[[#This Row],[AdjPriorYear 
Expenditures]]/Table1[[#This Row],[Total Students]]</f>
        <v>2395.3470944741534</v>
      </c>
      <c r="K36" s="127">
        <f>Table1[[#This Row],[Allocation]]/Table1[[#This Row],[Total Riders (AM/PM counts)]]</f>
        <v>1272.518823529412</v>
      </c>
      <c r="L36" s="127">
        <f>Table1[[#This Row],[Allocation]]/Table1[[#This Row],[Total Students]]</f>
        <v>2545.0376470588239</v>
      </c>
      <c r="M36" s="130">
        <f>IF(Table1[[#This Row],[Allocation]]&gt;Table1[[#This Row],[AdjPriorYear 
Expenditures]],100%, Table1[[#This Row],[Allocation]]/Table1[[#This Row],[AdjPriorYear 
Expenditures]])</f>
        <v>1</v>
      </c>
      <c r="N36" s="127">
        <f>IF(Table1[[#This Row],[Percent Funded of Adjusted PYE]]=1,0,Table1[[#This Row],[AdjPriorYear 
Expenditures]]-Table1[[#This Row],[Allocation]])</f>
        <v>0</v>
      </c>
    </row>
    <row r="37" spans="1:14" x14ac:dyDescent="0.35">
      <c r="A37">
        <v>16049</v>
      </c>
      <c r="B37" t="s">
        <v>784</v>
      </c>
      <c r="C37" s="127">
        <v>1257996.95</v>
      </c>
      <c r="D37" s="127">
        <v>920026.23999999987</v>
      </c>
      <c r="E37" s="128">
        <v>608.25</v>
      </c>
      <c r="F37" s="128">
        <v>26.75</v>
      </c>
      <c r="G37" s="129">
        <v>634.375</v>
      </c>
      <c r="H37" s="128">
        <v>317.1875</v>
      </c>
      <c r="I37" s="127">
        <f>Table1[[#This Row],[AdjPriorYear 
Expenditures]]/Table1[[#This Row],[Total Riders (AM/PM counts)]]</f>
        <v>1983.0493793103446</v>
      </c>
      <c r="J37" s="165">
        <f>Table1[[#This Row],[AdjPriorYear 
Expenditures]]/Table1[[#This Row],[Total Students]]</f>
        <v>3966.0987586206893</v>
      </c>
      <c r="K37" s="127">
        <f>Table1[[#This Row],[Allocation]]/Table1[[#This Row],[Total Riders (AM/PM counts)]]</f>
        <v>1450.287668965517</v>
      </c>
      <c r="L37" s="127">
        <f>Table1[[#This Row],[Allocation]]/Table1[[#This Row],[Total Students]]</f>
        <v>2900.575337931034</v>
      </c>
      <c r="M37" s="130">
        <f>IF(Table1[[#This Row],[Allocation]]&gt;Table1[[#This Row],[AdjPriorYear 
Expenditures]],100%, Table1[[#This Row],[Allocation]]/Table1[[#This Row],[AdjPriorYear 
Expenditures]])</f>
        <v>0.73134218648145366</v>
      </c>
      <c r="N37" s="127">
        <f>IF(Table1[[#This Row],[Percent Funded of Adjusted PYE]]=1,0,Table1[[#This Row],[AdjPriorYear 
Expenditures]]-Table1[[#This Row],[Allocation]])</f>
        <v>337970.71000000008</v>
      </c>
    </row>
    <row r="38" spans="1:14" x14ac:dyDescent="0.35">
      <c r="A38">
        <v>2250</v>
      </c>
      <c r="B38" t="s">
        <v>785</v>
      </c>
      <c r="C38" s="127">
        <v>1359937.71</v>
      </c>
      <c r="D38" s="127">
        <v>1344158.52</v>
      </c>
      <c r="E38" s="128">
        <v>1050.125</v>
      </c>
      <c r="F38" s="128">
        <v>160.125</v>
      </c>
      <c r="G38" s="129">
        <v>1252.125</v>
      </c>
      <c r="H38" s="128">
        <v>626.0625</v>
      </c>
      <c r="I38" s="127">
        <f>Table1[[#This Row],[AdjPriorYear 
Expenditures]]/Table1[[#This Row],[Total Riders (AM/PM counts)]]</f>
        <v>1086.1037915543575</v>
      </c>
      <c r="J38" s="165">
        <f>Table1[[#This Row],[AdjPriorYear 
Expenditures]]/Table1[[#This Row],[Total Students]]</f>
        <v>2172.207583108715</v>
      </c>
      <c r="K38" s="127">
        <f>Table1[[#This Row],[Allocation]]/Table1[[#This Row],[Total Riders (AM/PM counts)]]</f>
        <v>1073.5018628331836</v>
      </c>
      <c r="L38" s="127">
        <f>Table1[[#This Row],[Allocation]]/Table1[[#This Row],[Total Students]]</f>
        <v>2147.0037256663672</v>
      </c>
      <c r="M38" s="130">
        <f>IF(Table1[[#This Row],[Allocation]]&gt;Table1[[#This Row],[AdjPriorYear 
Expenditures]],100%, Table1[[#This Row],[Allocation]]/Table1[[#This Row],[AdjPriorYear 
Expenditures]])</f>
        <v>0.98839712298293436</v>
      </c>
      <c r="N38" s="127">
        <f>IF(Table1[[#This Row],[Percent Funded of Adjusted PYE]]=1,0,Table1[[#This Row],[AdjPriorYear 
Expenditures]]-Table1[[#This Row],[Allocation]])</f>
        <v>15779.189999999944</v>
      </c>
    </row>
    <row r="39" spans="1:14" x14ac:dyDescent="0.35">
      <c r="A39">
        <v>19404</v>
      </c>
      <c r="B39" t="s">
        <v>786</v>
      </c>
      <c r="C39" s="127">
        <v>650034.09</v>
      </c>
      <c r="D39" s="127">
        <v>704726.96000000008</v>
      </c>
      <c r="E39" s="128">
        <v>620.75</v>
      </c>
      <c r="F39" s="128">
        <v>28.25</v>
      </c>
      <c r="G39" s="129">
        <v>660.625</v>
      </c>
      <c r="H39" s="128">
        <v>330.3125</v>
      </c>
      <c r="I39" s="127">
        <f>Table1[[#This Row],[AdjPriorYear 
Expenditures]]/Table1[[#This Row],[Total Riders (AM/PM counts)]]</f>
        <v>983.96834815515604</v>
      </c>
      <c r="J39" s="165">
        <f>Table1[[#This Row],[AdjPriorYear 
Expenditures]]/Table1[[#This Row],[Total Students]]</f>
        <v>1967.9366963103121</v>
      </c>
      <c r="K39" s="127">
        <f>Table1[[#This Row],[Allocation]]/Table1[[#This Row],[Total Riders (AM/PM counts)]]</f>
        <v>1066.7579337748346</v>
      </c>
      <c r="L39" s="127">
        <f>Table1[[#This Row],[Allocation]]/Table1[[#This Row],[Total Students]]</f>
        <v>2133.5158675496691</v>
      </c>
      <c r="M39" s="130">
        <f>IF(Table1[[#This Row],[Allocation]]&gt;Table1[[#This Row],[AdjPriorYear 
Expenditures]],100%, Table1[[#This Row],[Allocation]]/Table1[[#This Row],[AdjPriorYear 
Expenditures]])</f>
        <v>1</v>
      </c>
      <c r="N39" s="127">
        <f>IF(Table1[[#This Row],[Percent Funded of Adjusted PYE]]=1,0,Table1[[#This Row],[AdjPriorYear 
Expenditures]]-Table1[[#This Row],[Allocation]])</f>
        <v>0</v>
      </c>
    </row>
    <row r="40" spans="1:14" x14ac:dyDescent="0.35">
      <c r="A40">
        <v>27400</v>
      </c>
      <c r="B40" t="s">
        <v>787</v>
      </c>
      <c r="C40" s="127">
        <v>9056734.7800000012</v>
      </c>
      <c r="D40" s="127">
        <v>8895508.3499999978</v>
      </c>
      <c r="E40" s="128">
        <v>7801.875</v>
      </c>
      <c r="F40" s="128">
        <v>693.125</v>
      </c>
      <c r="G40" s="129">
        <v>8471.625</v>
      </c>
      <c r="H40" s="128">
        <v>4235.8125</v>
      </c>
      <c r="I40" s="127">
        <f>Table1[[#This Row],[AdjPriorYear 
Expenditures]]/Table1[[#This Row],[Total Riders (AM/PM counts)]]</f>
        <v>1069.0670066250573</v>
      </c>
      <c r="J40" s="165">
        <f>Table1[[#This Row],[AdjPriorYear 
Expenditures]]/Table1[[#This Row],[Total Students]]</f>
        <v>2138.1340132501145</v>
      </c>
      <c r="K40" s="127">
        <f>Table1[[#This Row],[Allocation]]/Table1[[#This Row],[Total Riders (AM/PM counts)]]</f>
        <v>1050.035660218671</v>
      </c>
      <c r="L40" s="127">
        <f>Table1[[#This Row],[Allocation]]/Table1[[#This Row],[Total Students]]</f>
        <v>2100.0713204373419</v>
      </c>
      <c r="M40" s="130">
        <f>IF(Table1[[#This Row],[Allocation]]&gt;Table1[[#This Row],[AdjPriorYear 
Expenditures]],100%, Table1[[#This Row],[Allocation]]/Table1[[#This Row],[AdjPriorYear 
Expenditures]])</f>
        <v>0.98219817252945951</v>
      </c>
      <c r="N40" s="127">
        <f>IF(Table1[[#This Row],[Percent Funded of Adjusted PYE]]=1,0,Table1[[#This Row],[AdjPriorYear 
Expenditures]]-Table1[[#This Row],[Allocation]])</f>
        <v>161226.43000000343</v>
      </c>
    </row>
    <row r="41" spans="1:14" x14ac:dyDescent="0.35">
      <c r="A41">
        <v>38300</v>
      </c>
      <c r="B41" t="s">
        <v>788</v>
      </c>
      <c r="C41" s="127">
        <v>544534.66999999993</v>
      </c>
      <c r="D41" s="127">
        <v>542902.42000000004</v>
      </c>
      <c r="E41" s="128">
        <v>432.375</v>
      </c>
      <c r="F41" s="128">
        <v>3.75</v>
      </c>
      <c r="G41" s="129">
        <v>436.25</v>
      </c>
      <c r="H41" s="128">
        <v>218.125</v>
      </c>
      <c r="I41" s="127">
        <f>Table1[[#This Row],[AdjPriorYear 
Expenditures]]/Table1[[#This Row],[Total Riders (AM/PM counts)]]</f>
        <v>1248.2170085959883</v>
      </c>
      <c r="J41" s="165">
        <f>Table1[[#This Row],[AdjPriorYear 
Expenditures]]/Table1[[#This Row],[Total Students]]</f>
        <v>2496.4340171919766</v>
      </c>
      <c r="K41" s="127">
        <f>Table1[[#This Row],[Allocation]]/Table1[[#This Row],[Total Riders (AM/PM counts)]]</f>
        <v>1244.4754613180517</v>
      </c>
      <c r="L41" s="127">
        <f>Table1[[#This Row],[Allocation]]/Table1[[#This Row],[Total Students]]</f>
        <v>2488.9509226361033</v>
      </c>
      <c r="M41" s="130">
        <f>IF(Table1[[#This Row],[Allocation]]&gt;Table1[[#This Row],[AdjPriorYear 
Expenditures]],100%, Table1[[#This Row],[Allocation]]/Table1[[#This Row],[AdjPriorYear 
Expenditures]])</f>
        <v>0.99700248654507184</v>
      </c>
      <c r="N41" s="127">
        <f>IF(Table1[[#This Row],[Percent Funded of Adjusted PYE]]=1,0,Table1[[#This Row],[AdjPriorYear 
Expenditures]]-Table1[[#This Row],[Allocation]])</f>
        <v>1632.2499999998836</v>
      </c>
    </row>
    <row r="42" spans="1:14" x14ac:dyDescent="0.35">
      <c r="A42">
        <v>36250</v>
      </c>
      <c r="B42" t="s">
        <v>789</v>
      </c>
      <c r="C42" s="127">
        <v>637961.98</v>
      </c>
      <c r="D42" s="127">
        <v>715582.05999999994</v>
      </c>
      <c r="E42" s="128">
        <v>838.125</v>
      </c>
      <c r="F42" s="128">
        <v>64.5</v>
      </c>
      <c r="G42" s="129">
        <v>893</v>
      </c>
      <c r="H42" s="128">
        <v>446.5</v>
      </c>
      <c r="I42" s="127">
        <f>Table1[[#This Row],[AdjPriorYear 
Expenditures]]/Table1[[#This Row],[Total Riders (AM/PM counts)]]</f>
        <v>714.40311310190373</v>
      </c>
      <c r="J42" s="165">
        <f>Table1[[#This Row],[AdjPriorYear 
Expenditures]]/Table1[[#This Row],[Total Students]]</f>
        <v>1428.8062262038075</v>
      </c>
      <c r="K42" s="127">
        <f>Table1[[#This Row],[Allocation]]/Table1[[#This Row],[Total Riders (AM/PM counts)]]</f>
        <v>801.32369540873458</v>
      </c>
      <c r="L42" s="127">
        <f>Table1[[#This Row],[Allocation]]/Table1[[#This Row],[Total Students]]</f>
        <v>1602.6473908174692</v>
      </c>
      <c r="M42" s="130">
        <f>IF(Table1[[#This Row],[Allocation]]&gt;Table1[[#This Row],[AdjPriorYear 
Expenditures]],100%, Table1[[#This Row],[Allocation]]/Table1[[#This Row],[AdjPriorYear 
Expenditures]])</f>
        <v>1</v>
      </c>
      <c r="N42" s="127">
        <f>IF(Table1[[#This Row],[Percent Funded of Adjusted PYE]]=1,0,Table1[[#This Row],[AdjPriorYear 
Expenditures]]-Table1[[#This Row],[Allocation]])</f>
        <v>0</v>
      </c>
    </row>
    <row r="43" spans="1:14" x14ac:dyDescent="0.35">
      <c r="A43">
        <v>38306</v>
      </c>
      <c r="B43" t="s">
        <v>790</v>
      </c>
      <c r="C43" s="127">
        <v>177230.09</v>
      </c>
      <c r="D43" s="127">
        <v>195599.54</v>
      </c>
      <c r="E43" s="128">
        <v>115.625</v>
      </c>
      <c r="F43" s="128">
        <v>0</v>
      </c>
      <c r="G43" s="129">
        <v>115.625</v>
      </c>
      <c r="H43" s="128">
        <v>57.8125</v>
      </c>
      <c r="I43" s="127">
        <f>Table1[[#This Row],[AdjPriorYear 
Expenditures]]/Table1[[#This Row],[Total Riders (AM/PM counts)]]</f>
        <v>1532.8007783783783</v>
      </c>
      <c r="J43" s="165">
        <f>Table1[[#This Row],[AdjPriorYear 
Expenditures]]/Table1[[#This Row],[Total Students]]</f>
        <v>3065.6015567567565</v>
      </c>
      <c r="K43" s="127">
        <f>Table1[[#This Row],[Allocation]]/Table1[[#This Row],[Total Riders (AM/PM counts)]]</f>
        <v>1691.6716972972974</v>
      </c>
      <c r="L43" s="127">
        <f>Table1[[#This Row],[Allocation]]/Table1[[#This Row],[Total Students]]</f>
        <v>3383.3433945945949</v>
      </c>
      <c r="M43" s="130">
        <f>IF(Table1[[#This Row],[Allocation]]&gt;Table1[[#This Row],[AdjPriorYear 
Expenditures]],100%, Table1[[#This Row],[Allocation]]/Table1[[#This Row],[AdjPriorYear 
Expenditures]])</f>
        <v>1</v>
      </c>
      <c r="N43" s="127">
        <f>IF(Table1[[#This Row],[Percent Funded of Adjusted PYE]]=1,0,Table1[[#This Row],[AdjPriorYear 
Expenditures]]-Table1[[#This Row],[Allocation]])</f>
        <v>0</v>
      </c>
    </row>
    <row r="44" spans="1:14" x14ac:dyDescent="0.35">
      <c r="A44">
        <v>33206</v>
      </c>
      <c r="B44" t="s">
        <v>791</v>
      </c>
      <c r="C44" s="127">
        <v>256520.82999999996</v>
      </c>
      <c r="D44" s="127">
        <v>264863.33</v>
      </c>
      <c r="E44" s="128">
        <v>122.25</v>
      </c>
      <c r="F44" s="128">
        <v>0</v>
      </c>
      <c r="G44" s="129">
        <v>122.25</v>
      </c>
      <c r="H44" s="128">
        <v>61.125</v>
      </c>
      <c r="I44" s="127">
        <f>Table1[[#This Row],[AdjPriorYear 
Expenditures]]/Table1[[#This Row],[Total Riders (AM/PM counts)]]</f>
        <v>2098.329897750511</v>
      </c>
      <c r="J44" s="165">
        <f>Table1[[#This Row],[AdjPriorYear 
Expenditures]]/Table1[[#This Row],[Total Students]]</f>
        <v>4196.659795501022</v>
      </c>
      <c r="K44" s="127">
        <f>Table1[[#This Row],[Allocation]]/Table1[[#This Row],[Total Riders (AM/PM counts)]]</f>
        <v>2166.5712065439675</v>
      </c>
      <c r="L44" s="127">
        <f>Table1[[#This Row],[Allocation]]/Table1[[#This Row],[Total Students]]</f>
        <v>4333.142413087935</v>
      </c>
      <c r="M44" s="130">
        <f>IF(Table1[[#This Row],[Allocation]]&gt;Table1[[#This Row],[AdjPriorYear 
Expenditures]],100%, Table1[[#This Row],[Allocation]]/Table1[[#This Row],[AdjPriorYear 
Expenditures]])</f>
        <v>1</v>
      </c>
      <c r="N44" s="127">
        <f>IF(Table1[[#This Row],[Percent Funded of Adjusted PYE]]=1,0,Table1[[#This Row],[AdjPriorYear 
Expenditures]]-Table1[[#This Row],[Allocation]])</f>
        <v>0</v>
      </c>
    </row>
    <row r="45" spans="1:14" x14ac:dyDescent="0.35">
      <c r="A45">
        <v>36400</v>
      </c>
      <c r="B45" t="s">
        <v>792</v>
      </c>
      <c r="C45" s="127">
        <v>447847.56000000006</v>
      </c>
      <c r="D45" s="127">
        <v>462310.29000000004</v>
      </c>
      <c r="E45" s="128">
        <v>622.75</v>
      </c>
      <c r="F45" s="128">
        <v>19.5</v>
      </c>
      <c r="G45" s="129">
        <v>640.875</v>
      </c>
      <c r="H45" s="128">
        <v>320.4375</v>
      </c>
      <c r="I45" s="127">
        <f>Table1[[#This Row],[AdjPriorYear 
Expenditures]]/Table1[[#This Row],[Total Riders (AM/PM counts)]]</f>
        <v>698.80641310708029</v>
      </c>
      <c r="J45" s="165">
        <f>Table1[[#This Row],[AdjPriorYear 
Expenditures]]/Table1[[#This Row],[Total Students]]</f>
        <v>1397.6128262141606</v>
      </c>
      <c r="K45" s="127">
        <f>Table1[[#This Row],[Allocation]]/Table1[[#This Row],[Total Riders (AM/PM counts)]]</f>
        <v>721.37357519016973</v>
      </c>
      <c r="L45" s="127">
        <f>Table1[[#This Row],[Allocation]]/Table1[[#This Row],[Total Students]]</f>
        <v>1442.7471503803395</v>
      </c>
      <c r="M45" s="130">
        <f>IF(Table1[[#This Row],[Allocation]]&gt;Table1[[#This Row],[AdjPriorYear 
Expenditures]],100%, Table1[[#This Row],[Allocation]]/Table1[[#This Row],[AdjPriorYear 
Expenditures]])</f>
        <v>1</v>
      </c>
      <c r="N45" s="127">
        <f>IF(Table1[[#This Row],[Percent Funded of Adjusted PYE]]=1,0,Table1[[#This Row],[AdjPriorYear 
Expenditures]]-Table1[[#This Row],[Allocation]])</f>
        <v>0</v>
      </c>
    </row>
    <row r="46" spans="1:14" x14ac:dyDescent="0.35">
      <c r="A46">
        <v>33115</v>
      </c>
      <c r="B46" t="s">
        <v>793</v>
      </c>
      <c r="C46" s="127">
        <v>1812970.19</v>
      </c>
      <c r="D46" s="127">
        <v>1448948.57</v>
      </c>
      <c r="E46" s="128">
        <v>904</v>
      </c>
      <c r="F46" s="128">
        <v>37.875</v>
      </c>
      <c r="G46" s="129">
        <v>1004.25</v>
      </c>
      <c r="H46" s="128">
        <v>502.125</v>
      </c>
      <c r="I46" s="127">
        <f>Table1[[#This Row],[AdjPriorYear 
Expenditures]]/Table1[[#This Row],[Total Riders (AM/PM counts)]]</f>
        <v>1805.2976748817525</v>
      </c>
      <c r="J46" s="165">
        <f>Table1[[#This Row],[AdjPriorYear 
Expenditures]]/Table1[[#This Row],[Total Students]]</f>
        <v>3610.5953497635051</v>
      </c>
      <c r="K46" s="127">
        <f>Table1[[#This Row],[Allocation]]/Table1[[#This Row],[Total Riders (AM/PM counts)]]</f>
        <v>1442.8165994523276</v>
      </c>
      <c r="L46" s="127">
        <f>Table1[[#This Row],[Allocation]]/Table1[[#This Row],[Total Students]]</f>
        <v>2885.6331989046553</v>
      </c>
      <c r="M46" s="130">
        <f>IF(Table1[[#This Row],[Allocation]]&gt;Table1[[#This Row],[AdjPriorYear 
Expenditures]],100%, Table1[[#This Row],[Allocation]]/Table1[[#This Row],[AdjPriorYear 
Expenditures]])</f>
        <v>0.79921257282228131</v>
      </c>
      <c r="N46" s="127">
        <f>IF(Table1[[#This Row],[Percent Funded of Adjusted PYE]]=1,0,Table1[[#This Row],[AdjPriorYear 
Expenditures]]-Table1[[#This Row],[Allocation]])</f>
        <v>364021.61999999988</v>
      </c>
    </row>
    <row r="47" spans="1:14" x14ac:dyDescent="0.35">
      <c r="A47">
        <v>29011</v>
      </c>
      <c r="B47" t="s">
        <v>794</v>
      </c>
      <c r="C47" s="127">
        <v>733131.96999999986</v>
      </c>
      <c r="D47" s="127">
        <v>833190.51</v>
      </c>
      <c r="E47" s="128">
        <v>510</v>
      </c>
      <c r="F47" s="128">
        <v>51.75</v>
      </c>
      <c r="G47" s="129">
        <v>565.125</v>
      </c>
      <c r="H47" s="128">
        <v>282.5625</v>
      </c>
      <c r="I47" s="127">
        <f>Table1[[#This Row],[AdjPriorYear 
Expenditures]]/Table1[[#This Row],[Total Riders (AM/PM counts)]]</f>
        <v>1297.2916965273166</v>
      </c>
      <c r="J47" s="165">
        <f>Table1[[#This Row],[AdjPriorYear 
Expenditures]]/Table1[[#This Row],[Total Students]]</f>
        <v>2594.5833930546332</v>
      </c>
      <c r="K47" s="127">
        <f>Table1[[#This Row],[Allocation]]/Table1[[#This Row],[Total Riders (AM/PM counts)]]</f>
        <v>1474.347285998673</v>
      </c>
      <c r="L47" s="127">
        <f>Table1[[#This Row],[Allocation]]/Table1[[#This Row],[Total Students]]</f>
        <v>2948.694571997346</v>
      </c>
      <c r="M47" s="130">
        <f>IF(Table1[[#This Row],[Allocation]]&gt;Table1[[#This Row],[AdjPriorYear 
Expenditures]],100%, Table1[[#This Row],[Allocation]]/Table1[[#This Row],[AdjPriorYear 
Expenditures]])</f>
        <v>1</v>
      </c>
      <c r="N47" s="127">
        <f>IF(Table1[[#This Row],[Percent Funded of Adjusted PYE]]=1,0,Table1[[#This Row],[AdjPriorYear 
Expenditures]]-Table1[[#This Row],[Allocation]])</f>
        <v>0</v>
      </c>
    </row>
    <row r="48" spans="1:14" x14ac:dyDescent="0.35">
      <c r="A48">
        <v>29317</v>
      </c>
      <c r="B48" t="s">
        <v>795</v>
      </c>
      <c r="C48" s="127">
        <v>248409.7</v>
      </c>
      <c r="D48" s="127">
        <v>294212.07</v>
      </c>
      <c r="E48" s="128">
        <v>346.875</v>
      </c>
      <c r="F48" s="128">
        <v>5.75</v>
      </c>
      <c r="G48" s="129">
        <v>349.5</v>
      </c>
      <c r="H48" s="128">
        <v>174.75</v>
      </c>
      <c r="I48" s="127">
        <f>Table1[[#This Row],[AdjPriorYear 
Expenditures]]/Table1[[#This Row],[Total Riders (AM/PM counts)]]</f>
        <v>710.75736766809734</v>
      </c>
      <c r="J48" s="165">
        <f>Table1[[#This Row],[AdjPriorYear 
Expenditures]]/Table1[[#This Row],[Total Students]]</f>
        <v>1421.5147353361947</v>
      </c>
      <c r="K48" s="127">
        <f>Table1[[#This Row],[Allocation]]/Table1[[#This Row],[Total Riders (AM/PM counts)]]</f>
        <v>841.80849785407725</v>
      </c>
      <c r="L48" s="127">
        <f>Table1[[#This Row],[Allocation]]/Table1[[#This Row],[Total Students]]</f>
        <v>1683.6169957081545</v>
      </c>
      <c r="M48" s="130">
        <f>IF(Table1[[#This Row],[Allocation]]&gt;Table1[[#This Row],[AdjPriorYear 
Expenditures]],100%, Table1[[#This Row],[Allocation]]/Table1[[#This Row],[AdjPriorYear 
Expenditures]])</f>
        <v>1</v>
      </c>
      <c r="N48" s="127">
        <f>IF(Table1[[#This Row],[Percent Funded of Adjusted PYE]]=1,0,Table1[[#This Row],[AdjPriorYear 
Expenditures]]-Table1[[#This Row],[Allocation]])</f>
        <v>0</v>
      </c>
    </row>
    <row r="49" spans="1:14" x14ac:dyDescent="0.35">
      <c r="A49">
        <v>14099</v>
      </c>
      <c r="B49" t="s">
        <v>796</v>
      </c>
      <c r="C49" s="127">
        <v>84751.4</v>
      </c>
      <c r="D49" s="127">
        <v>65955.62</v>
      </c>
      <c r="E49" s="128">
        <v>73.75</v>
      </c>
      <c r="F49" s="128">
        <v>0</v>
      </c>
      <c r="G49" s="129">
        <v>73.75</v>
      </c>
      <c r="H49" s="128">
        <v>36.875</v>
      </c>
      <c r="I49" s="127">
        <f>Table1[[#This Row],[AdjPriorYear 
Expenditures]]/Table1[[#This Row],[Total Riders (AM/PM counts)]]</f>
        <v>1149.1715254237288</v>
      </c>
      <c r="J49" s="165">
        <f>Table1[[#This Row],[AdjPriorYear 
Expenditures]]/Table1[[#This Row],[Total Students]]</f>
        <v>2298.3430508474576</v>
      </c>
      <c r="K49" s="127">
        <f>Table1[[#This Row],[Allocation]]/Table1[[#This Row],[Total Riders (AM/PM counts)]]</f>
        <v>894.31349152542361</v>
      </c>
      <c r="L49" s="127">
        <f>Table1[[#This Row],[Allocation]]/Table1[[#This Row],[Total Students]]</f>
        <v>1788.6269830508472</v>
      </c>
      <c r="M49" s="130">
        <f>IF(Table1[[#This Row],[Allocation]]&gt;Table1[[#This Row],[AdjPriorYear 
Expenditures]],100%, Table1[[#This Row],[Allocation]]/Table1[[#This Row],[AdjPriorYear 
Expenditures]])</f>
        <v>0.77822454850303358</v>
      </c>
      <c r="N49" s="127">
        <f>IF(Table1[[#This Row],[Percent Funded of Adjusted PYE]]=1,0,Table1[[#This Row],[AdjPriorYear 
Expenditures]]-Table1[[#This Row],[Allocation]])</f>
        <v>18795.78</v>
      </c>
    </row>
    <row r="50" spans="1:14" x14ac:dyDescent="0.35">
      <c r="A50">
        <v>13151</v>
      </c>
      <c r="B50" t="s">
        <v>797</v>
      </c>
      <c r="C50" s="127">
        <v>487009.06</v>
      </c>
      <c r="D50" s="127">
        <v>427318.55</v>
      </c>
      <c r="E50" s="128">
        <v>162.875</v>
      </c>
      <c r="F50" s="128">
        <v>4.5</v>
      </c>
      <c r="G50" s="129">
        <v>166.5</v>
      </c>
      <c r="H50" s="128">
        <v>83.25</v>
      </c>
      <c r="I50" s="127">
        <f>Table1[[#This Row],[AdjPriorYear 
Expenditures]]/Table1[[#This Row],[Total Riders (AM/PM counts)]]</f>
        <v>2924.9793393393393</v>
      </c>
      <c r="J50" s="165">
        <f>Table1[[#This Row],[AdjPriorYear 
Expenditures]]/Table1[[#This Row],[Total Students]]</f>
        <v>5849.9586786786786</v>
      </c>
      <c r="K50" s="127">
        <f>Table1[[#This Row],[Allocation]]/Table1[[#This Row],[Total Riders (AM/PM counts)]]</f>
        <v>2566.4777777777776</v>
      </c>
      <c r="L50" s="127">
        <f>Table1[[#This Row],[Allocation]]/Table1[[#This Row],[Total Students]]</f>
        <v>5132.9555555555553</v>
      </c>
      <c r="M50" s="130">
        <f>IF(Table1[[#This Row],[Allocation]]&gt;Table1[[#This Row],[AdjPriorYear 
Expenditures]],100%, Table1[[#This Row],[Allocation]]/Table1[[#This Row],[AdjPriorYear 
Expenditures]])</f>
        <v>0.8774344978304921</v>
      </c>
      <c r="N50" s="127">
        <f>IF(Table1[[#This Row],[Percent Funded of Adjusted PYE]]=1,0,Table1[[#This Row],[AdjPriorYear 
Expenditures]]-Table1[[#This Row],[Allocation]])</f>
        <v>59690.510000000009</v>
      </c>
    </row>
    <row r="51" spans="1:14" x14ac:dyDescent="0.35">
      <c r="A51">
        <v>15204</v>
      </c>
      <c r="B51" t="s">
        <v>798</v>
      </c>
      <c r="C51" s="127">
        <v>652660.80000000005</v>
      </c>
      <c r="D51" s="127">
        <v>705405.27</v>
      </c>
      <c r="E51" s="128">
        <v>653.625</v>
      </c>
      <c r="F51" s="128">
        <v>6.625</v>
      </c>
      <c r="G51" s="129">
        <v>666.875</v>
      </c>
      <c r="H51" s="128">
        <v>333.4375</v>
      </c>
      <c r="I51" s="127">
        <f>Table1[[#This Row],[AdjPriorYear 
Expenditures]]/Table1[[#This Row],[Total Riders (AM/PM counts)]]</f>
        <v>978.68536082474236</v>
      </c>
      <c r="J51" s="165">
        <f>Table1[[#This Row],[AdjPriorYear 
Expenditures]]/Table1[[#This Row],[Total Students]]</f>
        <v>1957.3707216494847</v>
      </c>
      <c r="K51" s="127">
        <f>Table1[[#This Row],[Allocation]]/Table1[[#This Row],[Total Riders (AM/PM counts)]]</f>
        <v>1057.7773495782569</v>
      </c>
      <c r="L51" s="127">
        <f>Table1[[#This Row],[Allocation]]/Table1[[#This Row],[Total Students]]</f>
        <v>2115.5546991565138</v>
      </c>
      <c r="M51" s="130">
        <f>IF(Table1[[#This Row],[Allocation]]&gt;Table1[[#This Row],[AdjPriorYear 
Expenditures]],100%, Table1[[#This Row],[Allocation]]/Table1[[#This Row],[AdjPriorYear 
Expenditures]])</f>
        <v>1</v>
      </c>
      <c r="N51" s="127">
        <f>IF(Table1[[#This Row],[Percent Funded of Adjusted PYE]]=1,0,Table1[[#This Row],[AdjPriorYear 
Expenditures]]-Table1[[#This Row],[Allocation]])</f>
        <v>0</v>
      </c>
    </row>
    <row r="52" spans="1:14" x14ac:dyDescent="0.35">
      <c r="A52">
        <v>5313</v>
      </c>
      <c r="B52" t="s">
        <v>799</v>
      </c>
      <c r="C52" s="127">
        <v>154235.68000000002</v>
      </c>
      <c r="D52" s="127">
        <v>216223.63999999998</v>
      </c>
      <c r="E52" s="128">
        <v>173.125</v>
      </c>
      <c r="F52" s="128">
        <v>0</v>
      </c>
      <c r="G52" s="129">
        <v>173.125</v>
      </c>
      <c r="H52" s="128">
        <v>86.5625</v>
      </c>
      <c r="I52" s="127">
        <f>Table1[[#This Row],[AdjPriorYear 
Expenditures]]/Table1[[#This Row],[Total Riders (AM/PM counts)]]</f>
        <v>890.89201444043329</v>
      </c>
      <c r="J52" s="165">
        <f>Table1[[#This Row],[AdjPriorYear 
Expenditures]]/Table1[[#This Row],[Total Students]]</f>
        <v>1781.7840288808666</v>
      </c>
      <c r="K52" s="127">
        <f>Table1[[#This Row],[Allocation]]/Table1[[#This Row],[Total Riders (AM/PM counts)]]</f>
        <v>1248.9452129963897</v>
      </c>
      <c r="L52" s="127">
        <f>Table1[[#This Row],[Allocation]]/Table1[[#This Row],[Total Students]]</f>
        <v>2497.8904259927795</v>
      </c>
      <c r="M52" s="130">
        <f>IF(Table1[[#This Row],[Allocation]]&gt;Table1[[#This Row],[AdjPriorYear 
Expenditures]],100%, Table1[[#This Row],[Allocation]]/Table1[[#This Row],[AdjPriorYear 
Expenditures]])</f>
        <v>1</v>
      </c>
      <c r="N52" s="127">
        <f>IF(Table1[[#This Row],[Percent Funded of Adjusted PYE]]=1,0,Table1[[#This Row],[AdjPriorYear 
Expenditures]]-Table1[[#This Row],[Allocation]])</f>
        <v>0</v>
      </c>
    </row>
    <row r="53" spans="1:14" x14ac:dyDescent="0.35">
      <c r="A53">
        <v>22073</v>
      </c>
      <c r="B53" t="s">
        <v>800</v>
      </c>
      <c r="C53" s="127">
        <v>679159.81</v>
      </c>
      <c r="D53" s="127">
        <v>622953.91</v>
      </c>
      <c r="E53" s="128">
        <v>275.375</v>
      </c>
      <c r="F53" s="128">
        <v>0</v>
      </c>
      <c r="G53" s="129">
        <v>275.375</v>
      </c>
      <c r="H53" s="128">
        <v>137.6875</v>
      </c>
      <c r="I53" s="127">
        <f>Table1[[#This Row],[AdjPriorYear 
Expenditures]]/Table1[[#This Row],[Total Riders (AM/PM counts)]]</f>
        <v>2466.3088878801636</v>
      </c>
      <c r="J53" s="165">
        <f>Table1[[#This Row],[AdjPriorYear 
Expenditures]]/Table1[[#This Row],[Total Students]]</f>
        <v>4932.6177757603273</v>
      </c>
      <c r="K53" s="127">
        <f>Table1[[#This Row],[Allocation]]/Table1[[#This Row],[Total Riders (AM/PM counts)]]</f>
        <v>2262.2021243758513</v>
      </c>
      <c r="L53" s="127">
        <f>Table1[[#This Row],[Allocation]]/Table1[[#This Row],[Total Students]]</f>
        <v>4524.4042487517027</v>
      </c>
      <c r="M53" s="130">
        <f>IF(Table1[[#This Row],[Allocation]]&gt;Table1[[#This Row],[AdjPriorYear 
Expenditures]],100%, Table1[[#This Row],[Allocation]]/Table1[[#This Row],[AdjPriorYear 
Expenditures]])</f>
        <v>0.91724201112548165</v>
      </c>
      <c r="N53" s="127">
        <f>IF(Table1[[#This Row],[Percent Funded of Adjusted PYE]]=1,0,Table1[[#This Row],[AdjPriorYear 
Expenditures]]-Table1[[#This Row],[Allocation]])</f>
        <v>56205.900000000023</v>
      </c>
    </row>
    <row r="54" spans="1:14" x14ac:dyDescent="0.35">
      <c r="A54">
        <v>10050</v>
      </c>
      <c r="B54" t="s">
        <v>801</v>
      </c>
      <c r="C54" s="127">
        <v>320868.13</v>
      </c>
      <c r="D54" s="127">
        <v>292426.96000000002</v>
      </c>
      <c r="E54" s="128">
        <v>154.625</v>
      </c>
      <c r="F54" s="128">
        <v>0.75</v>
      </c>
      <c r="G54" s="129">
        <v>154.625</v>
      </c>
      <c r="H54" s="128">
        <v>77.3125</v>
      </c>
      <c r="I54" s="127">
        <f>Table1[[#This Row],[AdjPriorYear 
Expenditures]]/Table1[[#This Row],[Total Riders (AM/PM counts)]]</f>
        <v>2075.1374616006469</v>
      </c>
      <c r="J54" s="165">
        <f>Table1[[#This Row],[AdjPriorYear 
Expenditures]]/Table1[[#This Row],[Total Students]]</f>
        <v>4150.2749232012939</v>
      </c>
      <c r="K54" s="127">
        <f>Table1[[#This Row],[Allocation]]/Table1[[#This Row],[Total Riders (AM/PM counts)]]</f>
        <v>1891.2010347615198</v>
      </c>
      <c r="L54" s="127">
        <f>Table1[[#This Row],[Allocation]]/Table1[[#This Row],[Total Students]]</f>
        <v>3782.4020695230397</v>
      </c>
      <c r="M54" s="130">
        <f>IF(Table1[[#This Row],[Allocation]]&gt;Table1[[#This Row],[AdjPriorYear 
Expenditures]],100%, Table1[[#This Row],[Allocation]]/Table1[[#This Row],[AdjPriorYear 
Expenditures]])</f>
        <v>0.91136181084734103</v>
      </c>
      <c r="N54" s="127">
        <f>IF(Table1[[#This Row],[Percent Funded of Adjusted PYE]]=1,0,Table1[[#This Row],[AdjPriorYear 
Expenditures]]-Table1[[#This Row],[Allocation]])</f>
        <v>28441.169999999984</v>
      </c>
    </row>
    <row r="55" spans="1:14" x14ac:dyDescent="0.35">
      <c r="A55">
        <v>26059</v>
      </c>
      <c r="B55" t="s">
        <v>802</v>
      </c>
      <c r="C55" s="127">
        <v>360835.9</v>
      </c>
      <c r="D55" s="127">
        <v>293317.37</v>
      </c>
      <c r="E55" s="128">
        <v>230.875</v>
      </c>
      <c r="F55" s="128">
        <v>0</v>
      </c>
      <c r="G55" s="129">
        <v>230.875</v>
      </c>
      <c r="H55" s="128">
        <v>115.4375</v>
      </c>
      <c r="I55" s="127">
        <f>Table1[[#This Row],[AdjPriorYear 
Expenditures]]/Table1[[#This Row],[Total Riders (AM/PM counts)]]</f>
        <v>1562.9059014618301</v>
      </c>
      <c r="J55" s="165">
        <f>Table1[[#This Row],[AdjPriorYear 
Expenditures]]/Table1[[#This Row],[Total Students]]</f>
        <v>3125.8118029236603</v>
      </c>
      <c r="K55" s="127">
        <f>Table1[[#This Row],[Allocation]]/Table1[[#This Row],[Total Riders (AM/PM counts)]]</f>
        <v>1270.4596426637791</v>
      </c>
      <c r="L55" s="127">
        <f>Table1[[#This Row],[Allocation]]/Table1[[#This Row],[Total Students]]</f>
        <v>2540.9192853275581</v>
      </c>
      <c r="M55" s="130">
        <f>IF(Table1[[#This Row],[Allocation]]&gt;Table1[[#This Row],[AdjPriorYear 
Expenditures]],100%, Table1[[#This Row],[Allocation]]/Table1[[#This Row],[AdjPriorYear 
Expenditures]])</f>
        <v>0.81288300304930849</v>
      </c>
      <c r="N55" s="127">
        <f>IF(Table1[[#This Row],[Percent Funded of Adjusted PYE]]=1,0,Table1[[#This Row],[AdjPriorYear 
Expenditures]]-Table1[[#This Row],[Allocation]])</f>
        <v>67518.530000000028</v>
      </c>
    </row>
    <row r="56" spans="1:14" x14ac:dyDescent="0.35">
      <c r="A56">
        <v>31330</v>
      </c>
      <c r="B56" t="s">
        <v>803</v>
      </c>
      <c r="C56" s="127">
        <v>468304.05</v>
      </c>
      <c r="D56" s="127">
        <v>377486.42</v>
      </c>
      <c r="E56" s="128">
        <v>257.875</v>
      </c>
      <c r="F56" s="128">
        <v>0.375</v>
      </c>
      <c r="G56" s="129">
        <v>266.25</v>
      </c>
      <c r="H56" s="128">
        <v>133.125</v>
      </c>
      <c r="I56" s="127">
        <f>Table1[[#This Row],[AdjPriorYear 
Expenditures]]/Table1[[#This Row],[Total Riders (AM/PM counts)]]</f>
        <v>1758.8884507042253</v>
      </c>
      <c r="J56" s="165">
        <f>Table1[[#This Row],[AdjPriorYear 
Expenditures]]/Table1[[#This Row],[Total Students]]</f>
        <v>3517.7769014084506</v>
      </c>
      <c r="K56" s="127">
        <f>Table1[[#This Row],[Allocation]]/Table1[[#This Row],[Total Riders (AM/PM counts)]]</f>
        <v>1417.7893708920187</v>
      </c>
      <c r="L56" s="127">
        <f>Table1[[#This Row],[Allocation]]/Table1[[#This Row],[Total Students]]</f>
        <v>2835.5787417840374</v>
      </c>
      <c r="M56" s="130">
        <f>IF(Table1[[#This Row],[Allocation]]&gt;Table1[[#This Row],[AdjPriorYear 
Expenditures]],100%, Table1[[#This Row],[Allocation]]/Table1[[#This Row],[AdjPriorYear 
Expenditures]])</f>
        <v>0.80607122658879415</v>
      </c>
      <c r="N56" s="127">
        <f>IF(Table1[[#This Row],[Percent Funded of Adjusted PYE]]=1,0,Table1[[#This Row],[AdjPriorYear 
Expenditures]]-Table1[[#This Row],[Allocation]])</f>
        <v>90817.63</v>
      </c>
    </row>
    <row r="57" spans="1:14" x14ac:dyDescent="0.35">
      <c r="A57">
        <v>22207</v>
      </c>
      <c r="B57" t="s">
        <v>804</v>
      </c>
      <c r="C57" s="127">
        <v>582421.56999999995</v>
      </c>
      <c r="D57" s="127">
        <v>529201.70000000007</v>
      </c>
      <c r="E57" s="128">
        <v>469.875</v>
      </c>
      <c r="F57" s="128">
        <v>0</v>
      </c>
      <c r="G57" s="129">
        <v>469.875</v>
      </c>
      <c r="H57" s="128">
        <v>234.9375</v>
      </c>
      <c r="I57" s="127">
        <f>Table1[[#This Row],[AdjPriorYear 
Expenditures]]/Table1[[#This Row],[Total Riders (AM/PM counts)]]</f>
        <v>1239.5244905559989</v>
      </c>
      <c r="J57" s="165">
        <f>Table1[[#This Row],[AdjPriorYear 
Expenditures]]/Table1[[#This Row],[Total Students]]</f>
        <v>2479.0489811119978</v>
      </c>
      <c r="K57" s="127">
        <f>Table1[[#This Row],[Allocation]]/Table1[[#This Row],[Total Riders (AM/PM counts)]]</f>
        <v>1126.26060122373</v>
      </c>
      <c r="L57" s="127">
        <f>Table1[[#This Row],[Allocation]]/Table1[[#This Row],[Total Students]]</f>
        <v>2252.5212024474599</v>
      </c>
      <c r="M57" s="130">
        <f>IF(Table1[[#This Row],[Allocation]]&gt;Table1[[#This Row],[AdjPriorYear 
Expenditures]],100%, Table1[[#This Row],[Allocation]]/Table1[[#This Row],[AdjPriorYear 
Expenditures]])</f>
        <v>0.90862311297983023</v>
      </c>
      <c r="N57" s="127">
        <f>IF(Table1[[#This Row],[Percent Funded of Adjusted PYE]]=1,0,Table1[[#This Row],[AdjPriorYear 
Expenditures]]-Table1[[#This Row],[Allocation]])</f>
        <v>53219.869999999879</v>
      </c>
    </row>
    <row r="58" spans="1:14" x14ac:dyDescent="0.35">
      <c r="A58">
        <v>7002</v>
      </c>
      <c r="B58" t="s">
        <v>805</v>
      </c>
      <c r="C58" s="127">
        <v>343858.19000000006</v>
      </c>
      <c r="D58" s="127">
        <v>343809.49</v>
      </c>
      <c r="E58" s="128">
        <v>205.5</v>
      </c>
      <c r="F58" s="128">
        <v>11.75</v>
      </c>
      <c r="G58" s="129">
        <v>222.25</v>
      </c>
      <c r="H58" s="128">
        <v>111.125</v>
      </c>
      <c r="I58" s="127">
        <f>Table1[[#This Row],[AdjPriorYear 
Expenditures]]/Table1[[#This Row],[Total Riders (AM/PM counts)]]</f>
        <v>1547.1684589426325</v>
      </c>
      <c r="J58" s="165">
        <f>Table1[[#This Row],[AdjPriorYear 
Expenditures]]/Table1[[#This Row],[Total Students]]</f>
        <v>3094.3369178852649</v>
      </c>
      <c r="K58" s="127">
        <f>Table1[[#This Row],[Allocation]]/Table1[[#This Row],[Total Riders (AM/PM counts)]]</f>
        <v>1546.9493363329584</v>
      </c>
      <c r="L58" s="127">
        <f>Table1[[#This Row],[Allocation]]/Table1[[#This Row],[Total Students]]</f>
        <v>3093.8986726659168</v>
      </c>
      <c r="M58" s="130">
        <f>IF(Table1[[#This Row],[Allocation]]&gt;Table1[[#This Row],[AdjPriorYear 
Expenditures]],100%, Table1[[#This Row],[Allocation]]/Table1[[#This Row],[AdjPriorYear 
Expenditures]])</f>
        <v>0.99985837184799908</v>
      </c>
      <c r="N58" s="127">
        <f>IF(Table1[[#This Row],[Percent Funded of Adjusted PYE]]=1,0,Table1[[#This Row],[AdjPriorYear 
Expenditures]]-Table1[[#This Row],[Allocation]])</f>
        <v>48.700000000069849</v>
      </c>
    </row>
    <row r="59" spans="1:14" x14ac:dyDescent="0.35">
      <c r="A59">
        <v>32414</v>
      </c>
      <c r="B59" t="s">
        <v>806</v>
      </c>
      <c r="C59" s="127">
        <v>1676256.78</v>
      </c>
      <c r="D59" s="127">
        <v>1729517</v>
      </c>
      <c r="E59" s="128">
        <v>1722.375</v>
      </c>
      <c r="F59" s="128">
        <v>102.625</v>
      </c>
      <c r="G59" s="129">
        <v>1820.5</v>
      </c>
      <c r="H59" s="128">
        <v>910.25</v>
      </c>
      <c r="I59" s="127">
        <f>Table1[[#This Row],[AdjPriorYear 
Expenditures]]/Table1[[#This Row],[Total Riders (AM/PM counts)]]</f>
        <v>920.76725075528702</v>
      </c>
      <c r="J59" s="165">
        <f>Table1[[#This Row],[AdjPriorYear 
Expenditures]]/Table1[[#This Row],[Total Students]]</f>
        <v>1841.534501510574</v>
      </c>
      <c r="K59" s="127">
        <f>Table1[[#This Row],[Allocation]]/Table1[[#This Row],[Total Riders (AM/PM counts)]]</f>
        <v>950.02307058500412</v>
      </c>
      <c r="L59" s="127">
        <f>Table1[[#This Row],[Allocation]]/Table1[[#This Row],[Total Students]]</f>
        <v>1900.0461411700082</v>
      </c>
      <c r="M59" s="130">
        <f>IF(Table1[[#This Row],[Allocation]]&gt;Table1[[#This Row],[AdjPriorYear 
Expenditures]],100%, Table1[[#This Row],[Allocation]]/Table1[[#This Row],[AdjPriorYear 
Expenditures]])</f>
        <v>1</v>
      </c>
      <c r="N59" s="127">
        <f>IF(Table1[[#This Row],[Percent Funded of Adjusted PYE]]=1,0,Table1[[#This Row],[AdjPriorYear 
Expenditures]]-Table1[[#This Row],[Allocation]])</f>
        <v>0</v>
      </c>
    </row>
    <row r="60" spans="1:14" x14ac:dyDescent="0.35">
      <c r="A60">
        <v>27343</v>
      </c>
      <c r="B60" t="s">
        <v>807</v>
      </c>
      <c r="C60" s="127">
        <v>1389059.4399999997</v>
      </c>
      <c r="D60" s="127">
        <v>1677856.8099999998</v>
      </c>
      <c r="E60" s="128">
        <v>1732.5</v>
      </c>
      <c r="F60" s="128">
        <v>70.5</v>
      </c>
      <c r="G60" s="129">
        <v>1798.5</v>
      </c>
      <c r="H60" s="128">
        <v>899.25</v>
      </c>
      <c r="I60" s="127">
        <f>Table1[[#This Row],[AdjPriorYear 
Expenditures]]/Table1[[#This Row],[Total Riders (AM/PM counts)]]</f>
        <v>772.34330831248246</v>
      </c>
      <c r="J60" s="165">
        <f>Table1[[#This Row],[AdjPriorYear 
Expenditures]]/Table1[[#This Row],[Total Students]]</f>
        <v>1544.6866166249649</v>
      </c>
      <c r="K60" s="127">
        <f>Table1[[#This Row],[Allocation]]/Table1[[#This Row],[Total Riders (AM/PM counts)]]</f>
        <v>932.9201056435918</v>
      </c>
      <c r="L60" s="127">
        <f>Table1[[#This Row],[Allocation]]/Table1[[#This Row],[Total Students]]</f>
        <v>1865.8402112871836</v>
      </c>
      <c r="M60" s="130">
        <f>IF(Table1[[#This Row],[Allocation]]&gt;Table1[[#This Row],[AdjPriorYear 
Expenditures]],100%, Table1[[#This Row],[Allocation]]/Table1[[#This Row],[AdjPriorYear 
Expenditures]])</f>
        <v>1</v>
      </c>
      <c r="N60" s="127">
        <f>IF(Table1[[#This Row],[Percent Funded of Adjusted PYE]]=1,0,Table1[[#This Row],[AdjPriorYear 
Expenditures]]-Table1[[#This Row],[Allocation]])</f>
        <v>0</v>
      </c>
    </row>
    <row r="61" spans="1:14" x14ac:dyDescent="0.35">
      <c r="A61">
        <v>36101</v>
      </c>
      <c r="B61" t="s">
        <v>808</v>
      </c>
      <c r="C61" s="127">
        <v>117396.46</v>
      </c>
      <c r="D61" s="127">
        <v>109525.83</v>
      </c>
      <c r="E61" s="128">
        <v>50.25</v>
      </c>
      <c r="F61" s="128">
        <v>0</v>
      </c>
      <c r="G61" s="129">
        <v>50.25</v>
      </c>
      <c r="H61" s="128">
        <v>25.125</v>
      </c>
      <c r="I61" s="127">
        <f>Table1[[#This Row],[AdjPriorYear 
Expenditures]]/Table1[[#This Row],[Total Riders (AM/PM counts)]]</f>
        <v>2336.2479601990053</v>
      </c>
      <c r="J61" s="165">
        <f>Table1[[#This Row],[AdjPriorYear 
Expenditures]]/Table1[[#This Row],[Total Students]]</f>
        <v>4672.4959203980106</v>
      </c>
      <c r="K61" s="127">
        <f>Table1[[#This Row],[Allocation]]/Table1[[#This Row],[Total Riders (AM/PM counts)]]</f>
        <v>2179.6185074626865</v>
      </c>
      <c r="L61" s="127">
        <f>Table1[[#This Row],[Allocation]]/Table1[[#This Row],[Total Students]]</f>
        <v>4359.2370149253729</v>
      </c>
      <c r="M61" s="130">
        <f>IF(Table1[[#This Row],[Allocation]]&gt;Table1[[#This Row],[AdjPriorYear 
Expenditures]],100%, Table1[[#This Row],[Allocation]]/Table1[[#This Row],[AdjPriorYear 
Expenditures]])</f>
        <v>0.93295683702898702</v>
      </c>
      <c r="N61" s="127">
        <f>IF(Table1[[#This Row],[Percent Funded of Adjusted PYE]]=1,0,Table1[[#This Row],[AdjPriorYear 
Expenditures]]-Table1[[#This Row],[Allocation]])</f>
        <v>7870.6300000000047</v>
      </c>
    </row>
    <row r="62" spans="1:14" x14ac:dyDescent="0.35">
      <c r="A62">
        <v>32361</v>
      </c>
      <c r="B62" t="s">
        <v>809</v>
      </c>
      <c r="C62" s="127">
        <v>2996073.04</v>
      </c>
      <c r="D62" s="127">
        <v>2696970.52</v>
      </c>
      <c r="E62" s="128">
        <v>2573.25</v>
      </c>
      <c r="F62" s="128">
        <v>226.875</v>
      </c>
      <c r="G62" s="129">
        <v>2872.625</v>
      </c>
      <c r="H62" s="128">
        <v>1436.3125</v>
      </c>
      <c r="I62" s="127">
        <f>Table1[[#This Row],[AdjPriorYear 
Expenditures]]/Table1[[#This Row],[Total Riders (AM/PM counts)]]</f>
        <v>1042.9739489143205</v>
      </c>
      <c r="J62" s="165">
        <f>Table1[[#This Row],[AdjPriorYear 
Expenditures]]/Table1[[#This Row],[Total Students]]</f>
        <v>2085.9478978286411</v>
      </c>
      <c r="K62" s="127">
        <f>Table1[[#This Row],[Allocation]]/Table1[[#This Row],[Total Riders (AM/PM counts)]]</f>
        <v>938.85227622818854</v>
      </c>
      <c r="L62" s="127">
        <f>Table1[[#This Row],[Allocation]]/Table1[[#This Row],[Total Students]]</f>
        <v>1877.7045524563771</v>
      </c>
      <c r="M62" s="130">
        <f>IF(Table1[[#This Row],[Allocation]]&gt;Table1[[#This Row],[AdjPriorYear 
Expenditures]],100%, Table1[[#This Row],[Allocation]]/Table1[[#This Row],[AdjPriorYear 
Expenditures]])</f>
        <v>0.90016848187385978</v>
      </c>
      <c r="N62" s="127">
        <f>IF(Table1[[#This Row],[Percent Funded of Adjusted PYE]]=1,0,Table1[[#This Row],[AdjPriorYear 
Expenditures]]-Table1[[#This Row],[Allocation]])</f>
        <v>299102.52</v>
      </c>
    </row>
    <row r="63" spans="1:14" x14ac:dyDescent="0.35">
      <c r="A63">
        <v>39090</v>
      </c>
      <c r="B63" t="s">
        <v>810</v>
      </c>
      <c r="C63" s="127">
        <v>2012123.1400000001</v>
      </c>
      <c r="D63" s="127">
        <v>2039697.6300000001</v>
      </c>
      <c r="E63" s="128">
        <v>2570.5</v>
      </c>
      <c r="F63" s="128">
        <v>202.375</v>
      </c>
      <c r="G63" s="129">
        <v>2808.875</v>
      </c>
      <c r="H63" s="128">
        <v>1404.4375</v>
      </c>
      <c r="I63" s="127">
        <f>Table1[[#This Row],[AdjPriorYear 
Expenditures]]/Table1[[#This Row],[Total Riders (AM/PM counts)]]</f>
        <v>716.34484980641719</v>
      </c>
      <c r="J63" s="165">
        <f>Table1[[#This Row],[AdjPriorYear 
Expenditures]]/Table1[[#This Row],[Total Students]]</f>
        <v>1432.6896996128344</v>
      </c>
      <c r="K63" s="127">
        <f>Table1[[#This Row],[Allocation]]/Table1[[#This Row],[Total Riders (AM/PM counts)]]</f>
        <v>726.16176583151616</v>
      </c>
      <c r="L63" s="127">
        <f>Table1[[#This Row],[Allocation]]/Table1[[#This Row],[Total Students]]</f>
        <v>1452.3235316630323</v>
      </c>
      <c r="M63" s="130">
        <f>IF(Table1[[#This Row],[Allocation]]&gt;Table1[[#This Row],[AdjPriorYear 
Expenditures]],100%, Table1[[#This Row],[Allocation]]/Table1[[#This Row],[AdjPriorYear 
Expenditures]])</f>
        <v>1</v>
      </c>
      <c r="N63" s="127">
        <f>IF(Table1[[#This Row],[Percent Funded of Adjusted PYE]]=1,0,Table1[[#This Row],[AdjPriorYear 
Expenditures]]-Table1[[#This Row],[Allocation]])</f>
        <v>0</v>
      </c>
    </row>
    <row r="64" spans="1:14" x14ac:dyDescent="0.35">
      <c r="A64">
        <v>9206</v>
      </c>
      <c r="B64" t="s">
        <v>811</v>
      </c>
      <c r="C64" s="127">
        <v>2453985.42</v>
      </c>
      <c r="D64" s="127">
        <v>2542487.3199999998</v>
      </c>
      <c r="E64" s="128">
        <v>3025.25</v>
      </c>
      <c r="F64" s="128">
        <v>176.75</v>
      </c>
      <c r="G64" s="129">
        <v>3245.125</v>
      </c>
      <c r="H64" s="128">
        <v>1622.5625</v>
      </c>
      <c r="I64" s="127">
        <f>Table1[[#This Row],[AdjPriorYear 
Expenditures]]/Table1[[#This Row],[Total Riders (AM/PM counts)]]</f>
        <v>756.20674704364239</v>
      </c>
      <c r="J64" s="165">
        <f>Table1[[#This Row],[AdjPriorYear 
Expenditures]]/Table1[[#This Row],[Total Students]]</f>
        <v>1512.4134940872848</v>
      </c>
      <c r="K64" s="127">
        <f>Table1[[#This Row],[Allocation]]/Table1[[#This Row],[Total Riders (AM/PM counts)]]</f>
        <v>783.47900928315551</v>
      </c>
      <c r="L64" s="127">
        <f>Table1[[#This Row],[Allocation]]/Table1[[#This Row],[Total Students]]</f>
        <v>1566.958018566311</v>
      </c>
      <c r="M64" s="130">
        <f>IF(Table1[[#This Row],[Allocation]]&gt;Table1[[#This Row],[AdjPriorYear 
Expenditures]],100%, Table1[[#This Row],[Allocation]]/Table1[[#This Row],[AdjPriorYear 
Expenditures]])</f>
        <v>1</v>
      </c>
      <c r="N64" s="127">
        <f>IF(Table1[[#This Row],[Percent Funded of Adjusted PYE]]=1,0,Table1[[#This Row],[AdjPriorYear 
Expenditures]]-Table1[[#This Row],[Allocation]])</f>
        <v>0</v>
      </c>
    </row>
    <row r="65" spans="1:14" x14ac:dyDescent="0.35">
      <c r="A65">
        <v>19028</v>
      </c>
      <c r="B65" t="s">
        <v>812</v>
      </c>
      <c r="C65" s="127">
        <v>151692.5</v>
      </c>
      <c r="D65" s="127">
        <v>142301.13999999998</v>
      </c>
      <c r="E65" s="128">
        <v>67.625</v>
      </c>
      <c r="F65" s="128">
        <v>0</v>
      </c>
      <c r="G65" s="129">
        <v>67.625</v>
      </c>
      <c r="H65" s="128">
        <v>33.8125</v>
      </c>
      <c r="I65" s="127">
        <f>Table1[[#This Row],[AdjPriorYear 
Expenditures]]/Table1[[#This Row],[Total Riders (AM/PM counts)]]</f>
        <v>2243.1423290203329</v>
      </c>
      <c r="J65" s="165">
        <f>Table1[[#This Row],[AdjPriorYear 
Expenditures]]/Table1[[#This Row],[Total Students]]</f>
        <v>4486.2846580406658</v>
      </c>
      <c r="K65" s="127">
        <f>Table1[[#This Row],[Allocation]]/Table1[[#This Row],[Total Riders (AM/PM counts)]]</f>
        <v>2104.2682439926061</v>
      </c>
      <c r="L65" s="127">
        <f>Table1[[#This Row],[Allocation]]/Table1[[#This Row],[Total Students]]</f>
        <v>4208.5364879852123</v>
      </c>
      <c r="M65" s="130">
        <f>IF(Table1[[#This Row],[Allocation]]&gt;Table1[[#This Row],[AdjPriorYear 
Expenditures]],100%, Table1[[#This Row],[Allocation]]/Table1[[#This Row],[AdjPriorYear 
Expenditures]])</f>
        <v>0.93808949025166033</v>
      </c>
      <c r="N65" s="127">
        <f>IF(Table1[[#This Row],[Percent Funded of Adjusted PYE]]=1,0,Table1[[#This Row],[AdjPriorYear 
Expenditures]]-Table1[[#This Row],[Allocation]])</f>
        <v>9391.3600000000151</v>
      </c>
    </row>
    <row r="66" spans="1:14" x14ac:dyDescent="0.35">
      <c r="A66">
        <v>27404</v>
      </c>
      <c r="B66" t="s">
        <v>813</v>
      </c>
      <c r="C66" s="127">
        <v>1944677.8900000001</v>
      </c>
      <c r="D66" s="127">
        <v>1294476.6000000001</v>
      </c>
      <c r="E66" s="128">
        <v>851.375</v>
      </c>
      <c r="F66" s="128">
        <v>68.375</v>
      </c>
      <c r="G66" s="129">
        <v>942</v>
      </c>
      <c r="H66" s="128">
        <v>471</v>
      </c>
      <c r="I66" s="127">
        <f>Table1[[#This Row],[AdjPriorYear 
Expenditures]]/Table1[[#This Row],[Total Riders (AM/PM counts)]]</f>
        <v>2064.4138959660299</v>
      </c>
      <c r="J66" s="165">
        <f>Table1[[#This Row],[AdjPriorYear 
Expenditures]]/Table1[[#This Row],[Total Students]]</f>
        <v>4128.8277919320599</v>
      </c>
      <c r="K66" s="127">
        <f>Table1[[#This Row],[Allocation]]/Table1[[#This Row],[Total Riders (AM/PM counts)]]</f>
        <v>1374.1789808917199</v>
      </c>
      <c r="L66" s="127">
        <f>Table1[[#This Row],[Allocation]]/Table1[[#This Row],[Total Students]]</f>
        <v>2748.3579617834398</v>
      </c>
      <c r="M66" s="130">
        <f>IF(Table1[[#This Row],[Allocation]]&gt;Table1[[#This Row],[AdjPriorYear 
Expenditures]],100%, Table1[[#This Row],[Allocation]]/Table1[[#This Row],[AdjPriorYear 
Expenditures]])</f>
        <v>0.66565090633081658</v>
      </c>
      <c r="N66" s="127">
        <f>IF(Table1[[#This Row],[Percent Funded of Adjusted PYE]]=1,0,Table1[[#This Row],[AdjPriorYear 
Expenditures]]-Table1[[#This Row],[Allocation]])</f>
        <v>650201.29</v>
      </c>
    </row>
    <row r="67" spans="1:14" x14ac:dyDescent="0.35">
      <c r="A67">
        <v>31015</v>
      </c>
      <c r="B67" t="s">
        <v>814</v>
      </c>
      <c r="C67" s="127">
        <v>17630510.34</v>
      </c>
      <c r="D67" s="127">
        <v>17179187.350000001</v>
      </c>
      <c r="E67" s="128">
        <v>11719.375</v>
      </c>
      <c r="F67" s="128">
        <v>1591.5</v>
      </c>
      <c r="G67" s="129">
        <v>13387</v>
      </c>
      <c r="H67" s="128">
        <v>6693.5</v>
      </c>
      <c r="I67" s="127">
        <f>Table1[[#This Row],[AdjPriorYear 
Expenditures]]/Table1[[#This Row],[Total Riders (AM/PM counts)]]</f>
        <v>1316.9874012101293</v>
      </c>
      <c r="J67" s="165">
        <f>Table1[[#This Row],[AdjPriorYear 
Expenditures]]/Table1[[#This Row],[Total Students]]</f>
        <v>2633.9748024202586</v>
      </c>
      <c r="K67" s="127">
        <f>Table1[[#This Row],[Allocation]]/Table1[[#This Row],[Total Riders (AM/PM counts)]]</f>
        <v>1283.2738739075223</v>
      </c>
      <c r="L67" s="127">
        <f>Table1[[#This Row],[Allocation]]/Table1[[#This Row],[Total Students]]</f>
        <v>2566.5477478150447</v>
      </c>
      <c r="M67" s="130">
        <f>IF(Table1[[#This Row],[Allocation]]&gt;Table1[[#This Row],[AdjPriorYear 
Expenditures]],100%, Table1[[#This Row],[Allocation]]/Table1[[#This Row],[AdjPriorYear 
Expenditures]])</f>
        <v>0.97440102519460037</v>
      </c>
      <c r="N67" s="127">
        <f>IF(Table1[[#This Row],[Percent Funded of Adjusted PYE]]=1,0,Table1[[#This Row],[AdjPriorYear 
Expenditures]]-Table1[[#This Row],[Allocation]])</f>
        <v>451322.98999999836</v>
      </c>
    </row>
    <row r="68" spans="1:14" x14ac:dyDescent="0.35">
      <c r="A68">
        <v>19401</v>
      </c>
      <c r="B68" t="s">
        <v>815</v>
      </c>
      <c r="C68" s="127">
        <v>2155390.8699999996</v>
      </c>
      <c r="D68" s="127">
        <v>2060063.45</v>
      </c>
      <c r="E68" s="128">
        <v>1550.75</v>
      </c>
      <c r="F68" s="128">
        <v>121.375</v>
      </c>
      <c r="G68" s="129">
        <v>1668.5</v>
      </c>
      <c r="H68" s="128">
        <v>834.25</v>
      </c>
      <c r="I68" s="127">
        <f>Table1[[#This Row],[AdjPriorYear 
Expenditures]]/Table1[[#This Row],[Total Riders (AM/PM counts)]]</f>
        <v>1291.8135271201677</v>
      </c>
      <c r="J68" s="165">
        <f>Table1[[#This Row],[AdjPriorYear 
Expenditures]]/Table1[[#This Row],[Total Students]]</f>
        <v>2583.6270542403354</v>
      </c>
      <c r="K68" s="127">
        <f>Table1[[#This Row],[Allocation]]/Table1[[#This Row],[Total Riders (AM/PM counts)]]</f>
        <v>1234.6799220857056</v>
      </c>
      <c r="L68" s="127">
        <f>Table1[[#This Row],[Allocation]]/Table1[[#This Row],[Total Students]]</f>
        <v>2469.3598441714112</v>
      </c>
      <c r="M68" s="130">
        <f>IF(Table1[[#This Row],[Allocation]]&gt;Table1[[#This Row],[AdjPriorYear 
Expenditures]],100%, Table1[[#This Row],[Allocation]]/Table1[[#This Row],[AdjPriorYear 
Expenditures]])</f>
        <v>0.95577256017605772</v>
      </c>
      <c r="N68" s="127">
        <f>IF(Table1[[#This Row],[Percent Funded of Adjusted PYE]]=1,0,Table1[[#This Row],[AdjPriorYear 
Expenditures]]-Table1[[#This Row],[Allocation]])</f>
        <v>95327.419999999693</v>
      </c>
    </row>
    <row r="69" spans="1:14" x14ac:dyDescent="0.35">
      <c r="A69">
        <v>14068</v>
      </c>
      <c r="B69" t="s">
        <v>816</v>
      </c>
      <c r="C69" s="127">
        <v>1210279.3800000001</v>
      </c>
      <c r="D69" s="127">
        <v>942517.71000000008</v>
      </c>
      <c r="E69" s="128">
        <v>1291.625</v>
      </c>
      <c r="F69" s="128">
        <v>79.875</v>
      </c>
      <c r="G69" s="129">
        <v>1372.875</v>
      </c>
      <c r="H69" s="128">
        <v>686.4375</v>
      </c>
      <c r="I69" s="127">
        <f>Table1[[#This Row],[AdjPriorYear 
Expenditures]]/Table1[[#This Row],[Total Riders (AM/PM counts)]]</f>
        <v>881.56560502594925</v>
      </c>
      <c r="J69" s="165">
        <f>Table1[[#This Row],[AdjPriorYear 
Expenditures]]/Table1[[#This Row],[Total Students]]</f>
        <v>1763.1312100518985</v>
      </c>
      <c r="K69" s="127">
        <f>Table1[[#This Row],[Allocation]]/Table1[[#This Row],[Total Riders (AM/PM counts)]]</f>
        <v>686.52842392788864</v>
      </c>
      <c r="L69" s="127">
        <f>Table1[[#This Row],[Allocation]]/Table1[[#This Row],[Total Students]]</f>
        <v>1373.0568478557773</v>
      </c>
      <c r="M69" s="130">
        <f>IF(Table1[[#This Row],[Allocation]]&gt;Table1[[#This Row],[AdjPriorYear 
Expenditures]],100%, Table1[[#This Row],[Allocation]]/Table1[[#This Row],[AdjPriorYear 
Expenditures]])</f>
        <v>0.77876044620375173</v>
      </c>
      <c r="N69" s="127">
        <f>IF(Table1[[#This Row],[Percent Funded of Adjusted PYE]]=1,0,Table1[[#This Row],[AdjPriorYear 
Expenditures]]-Table1[[#This Row],[Allocation]])</f>
        <v>267761.67000000004</v>
      </c>
    </row>
    <row r="70" spans="1:14" x14ac:dyDescent="0.35">
      <c r="A70">
        <v>38308</v>
      </c>
      <c r="B70" t="s">
        <v>817</v>
      </c>
      <c r="C70" s="127">
        <v>178107.64</v>
      </c>
      <c r="D70" s="127">
        <v>218849.37000000002</v>
      </c>
      <c r="E70" s="128">
        <v>130.75</v>
      </c>
      <c r="F70" s="128">
        <v>0</v>
      </c>
      <c r="G70" s="129">
        <v>130.75</v>
      </c>
      <c r="H70" s="128">
        <v>65.375</v>
      </c>
      <c r="I70" s="127">
        <f>Table1[[#This Row],[AdjPriorYear 
Expenditures]]/Table1[[#This Row],[Total Riders (AM/PM counts)]]</f>
        <v>1362.1999235181645</v>
      </c>
      <c r="J70" s="165">
        <f>Table1[[#This Row],[AdjPriorYear 
Expenditures]]/Table1[[#This Row],[Total Students]]</f>
        <v>2724.399847036329</v>
      </c>
      <c r="K70" s="127">
        <f>Table1[[#This Row],[Allocation]]/Table1[[#This Row],[Total Riders (AM/PM counts)]]</f>
        <v>1673.8001529636713</v>
      </c>
      <c r="L70" s="127">
        <f>Table1[[#This Row],[Allocation]]/Table1[[#This Row],[Total Students]]</f>
        <v>3347.6003059273426</v>
      </c>
      <c r="M70" s="130">
        <f>IF(Table1[[#This Row],[Allocation]]&gt;Table1[[#This Row],[AdjPriorYear 
Expenditures]],100%, Table1[[#This Row],[Allocation]]/Table1[[#This Row],[AdjPriorYear 
Expenditures]])</f>
        <v>1</v>
      </c>
      <c r="N70" s="127">
        <f>IF(Table1[[#This Row],[Percent Funded of Adjusted PYE]]=1,0,Table1[[#This Row],[AdjPriorYear 
Expenditures]]-Table1[[#This Row],[Allocation]])</f>
        <v>0</v>
      </c>
    </row>
    <row r="71" spans="1:14" x14ac:dyDescent="0.35">
      <c r="A71">
        <v>4127</v>
      </c>
      <c r="B71" t="s">
        <v>818</v>
      </c>
      <c r="C71" s="127">
        <v>263894.71999999997</v>
      </c>
      <c r="D71" s="127">
        <v>294213.65999999997</v>
      </c>
      <c r="E71" s="128">
        <v>437.125</v>
      </c>
      <c r="F71" s="128">
        <v>0</v>
      </c>
      <c r="G71" s="129">
        <v>439.625</v>
      </c>
      <c r="H71" s="128">
        <v>219.8125</v>
      </c>
      <c r="I71" s="127">
        <f>Table1[[#This Row],[AdjPriorYear 
Expenditures]]/Table1[[#This Row],[Total Riders (AM/PM counts)]]</f>
        <v>600.27232300255889</v>
      </c>
      <c r="J71" s="165">
        <f>Table1[[#This Row],[AdjPriorYear 
Expenditures]]/Table1[[#This Row],[Total Students]]</f>
        <v>1200.5446460051178</v>
      </c>
      <c r="K71" s="127">
        <f>Table1[[#This Row],[Allocation]]/Table1[[#This Row],[Total Riders (AM/PM counts)]]</f>
        <v>669.23778220073916</v>
      </c>
      <c r="L71" s="127">
        <f>Table1[[#This Row],[Allocation]]/Table1[[#This Row],[Total Students]]</f>
        <v>1338.4755644014783</v>
      </c>
      <c r="M71" s="130">
        <f>IF(Table1[[#This Row],[Allocation]]&gt;Table1[[#This Row],[AdjPriorYear 
Expenditures]],100%, Table1[[#This Row],[Allocation]]/Table1[[#This Row],[AdjPriorYear 
Expenditures]])</f>
        <v>1</v>
      </c>
      <c r="N71" s="127">
        <f>IF(Table1[[#This Row],[Percent Funded of Adjusted PYE]]=1,0,Table1[[#This Row],[AdjPriorYear 
Expenditures]]-Table1[[#This Row],[Allocation]])</f>
        <v>0</v>
      </c>
    </row>
    <row r="72" spans="1:14" x14ac:dyDescent="0.35">
      <c r="A72">
        <v>17216</v>
      </c>
      <c r="B72" t="s">
        <v>819</v>
      </c>
      <c r="C72" s="127">
        <v>3504157.6900000004</v>
      </c>
      <c r="D72" s="127">
        <v>2987551.49</v>
      </c>
      <c r="E72" s="128">
        <v>3242.75</v>
      </c>
      <c r="F72" s="128">
        <v>120</v>
      </c>
      <c r="G72" s="129">
        <v>3369</v>
      </c>
      <c r="H72" s="128">
        <v>1684.5</v>
      </c>
      <c r="I72" s="127">
        <f>Table1[[#This Row],[AdjPriorYear 
Expenditures]]/Table1[[#This Row],[Total Riders (AM/PM counts)]]</f>
        <v>1040.1180439299496</v>
      </c>
      <c r="J72" s="165">
        <f>Table1[[#This Row],[AdjPriorYear 
Expenditures]]/Table1[[#This Row],[Total Students]]</f>
        <v>2080.2360878598993</v>
      </c>
      <c r="K72" s="127">
        <f>Table1[[#This Row],[Allocation]]/Table1[[#This Row],[Total Riders (AM/PM counts)]]</f>
        <v>886.77693380825178</v>
      </c>
      <c r="L72" s="127">
        <f>Table1[[#This Row],[Allocation]]/Table1[[#This Row],[Total Students]]</f>
        <v>1773.5538676165036</v>
      </c>
      <c r="M72" s="130">
        <f>IF(Table1[[#This Row],[Allocation]]&gt;Table1[[#This Row],[AdjPriorYear 
Expenditures]],100%, Table1[[#This Row],[Allocation]]/Table1[[#This Row],[AdjPriorYear 
Expenditures]])</f>
        <v>0.85257335836390391</v>
      </c>
      <c r="N72" s="127">
        <f>IF(Table1[[#This Row],[Percent Funded of Adjusted PYE]]=1,0,Table1[[#This Row],[AdjPriorYear 
Expenditures]]-Table1[[#This Row],[Allocation]])</f>
        <v>516606.20000000019</v>
      </c>
    </row>
    <row r="73" spans="1:14" x14ac:dyDescent="0.35">
      <c r="A73">
        <v>13165</v>
      </c>
      <c r="B73" t="s">
        <v>820</v>
      </c>
      <c r="C73" s="127">
        <v>1959379.78</v>
      </c>
      <c r="D73" s="127">
        <v>1926008.07</v>
      </c>
      <c r="E73" s="128">
        <v>1724.625</v>
      </c>
      <c r="F73" s="128">
        <v>137.5</v>
      </c>
      <c r="G73" s="129">
        <v>1901</v>
      </c>
      <c r="H73" s="128">
        <v>950.5</v>
      </c>
      <c r="I73" s="127">
        <f>Table1[[#This Row],[AdjPriorYear 
Expenditures]]/Table1[[#This Row],[Total Riders (AM/PM counts)]]</f>
        <v>1030.710036822725</v>
      </c>
      <c r="J73" s="165">
        <f>Table1[[#This Row],[AdjPriorYear 
Expenditures]]/Table1[[#This Row],[Total Students]]</f>
        <v>2061.42007364545</v>
      </c>
      <c r="K73" s="127">
        <f>Table1[[#This Row],[Allocation]]/Table1[[#This Row],[Total Riders (AM/PM counts)]]</f>
        <v>1013.1552183061547</v>
      </c>
      <c r="L73" s="127">
        <f>Table1[[#This Row],[Allocation]]/Table1[[#This Row],[Total Students]]</f>
        <v>2026.3104366123093</v>
      </c>
      <c r="M73" s="130">
        <f>IF(Table1[[#This Row],[Allocation]]&gt;Table1[[#This Row],[AdjPriorYear 
Expenditures]],100%, Table1[[#This Row],[Allocation]]/Table1[[#This Row],[AdjPriorYear 
Expenditures]])</f>
        <v>0.98296822783380977</v>
      </c>
      <c r="N73" s="127">
        <f>IF(Table1[[#This Row],[Percent Funded of Adjusted PYE]]=1,0,Table1[[#This Row],[AdjPriorYear 
Expenditures]]-Table1[[#This Row],[Allocation]])</f>
        <v>33371.709999999963</v>
      </c>
    </row>
    <row r="74" spans="1:14" x14ac:dyDescent="0.35">
      <c r="A74">
        <v>21036</v>
      </c>
      <c r="B74" t="s">
        <v>821</v>
      </c>
      <c r="C74" s="127">
        <v>31574.95</v>
      </c>
      <c r="D74" s="127">
        <v>41612.32</v>
      </c>
      <c r="E74" s="128">
        <v>53.625</v>
      </c>
      <c r="F74" s="128">
        <v>0</v>
      </c>
      <c r="G74" s="129">
        <v>53.625</v>
      </c>
      <c r="H74" s="128">
        <v>26.8125</v>
      </c>
      <c r="I74" s="127">
        <f>Table1[[#This Row],[AdjPriorYear 
Expenditures]]/Table1[[#This Row],[Total Riders (AM/PM counts)]]</f>
        <v>588.81025641025644</v>
      </c>
      <c r="J74" s="165">
        <f>Table1[[#This Row],[AdjPriorYear 
Expenditures]]/Table1[[#This Row],[Total Students]]</f>
        <v>1177.6205128205129</v>
      </c>
      <c r="K74" s="127">
        <f>Table1[[#This Row],[Allocation]]/Table1[[#This Row],[Total Riders (AM/PM counts)]]</f>
        <v>775.98731934731939</v>
      </c>
      <c r="L74" s="127">
        <f>Table1[[#This Row],[Allocation]]/Table1[[#This Row],[Total Students]]</f>
        <v>1551.9746386946388</v>
      </c>
      <c r="M74" s="130">
        <f>IF(Table1[[#This Row],[Allocation]]&gt;Table1[[#This Row],[AdjPriorYear 
Expenditures]],100%, Table1[[#This Row],[Allocation]]/Table1[[#This Row],[AdjPriorYear 
Expenditures]])</f>
        <v>1</v>
      </c>
      <c r="N74" s="127">
        <f>IF(Table1[[#This Row],[Percent Funded of Adjusted PYE]]=1,0,Table1[[#This Row],[AdjPriorYear 
Expenditures]]-Table1[[#This Row],[Allocation]])</f>
        <v>0</v>
      </c>
    </row>
    <row r="75" spans="1:14" x14ac:dyDescent="0.35">
      <c r="A75">
        <v>31002</v>
      </c>
      <c r="B75" t="s">
        <v>822</v>
      </c>
      <c r="C75" s="127">
        <v>15163052.329999998</v>
      </c>
      <c r="D75" s="127">
        <v>14681859.4</v>
      </c>
      <c r="E75" s="128">
        <v>15011.875</v>
      </c>
      <c r="F75" s="128">
        <v>1305.5</v>
      </c>
      <c r="G75" s="129">
        <v>16276.5</v>
      </c>
      <c r="H75" s="128">
        <v>8138.25</v>
      </c>
      <c r="I75" s="127">
        <f>Table1[[#This Row],[AdjPriorYear 
Expenditures]]/Table1[[#This Row],[Total Riders (AM/PM counts)]]</f>
        <v>931.59170153288471</v>
      </c>
      <c r="J75" s="165">
        <f>Table1[[#This Row],[AdjPriorYear 
Expenditures]]/Table1[[#This Row],[Total Students]]</f>
        <v>1863.1834030657694</v>
      </c>
      <c r="K75" s="127">
        <f>Table1[[#This Row],[Allocation]]/Table1[[#This Row],[Total Riders (AM/PM counts)]]</f>
        <v>902.02804042638161</v>
      </c>
      <c r="L75" s="127">
        <f>Table1[[#This Row],[Allocation]]/Table1[[#This Row],[Total Students]]</f>
        <v>1804.0560808527632</v>
      </c>
      <c r="M75" s="130">
        <f>IF(Table1[[#This Row],[Allocation]]&gt;Table1[[#This Row],[AdjPriorYear 
Expenditures]],100%, Table1[[#This Row],[Allocation]]/Table1[[#This Row],[AdjPriorYear 
Expenditures]])</f>
        <v>0.96826543102750096</v>
      </c>
      <c r="N75" s="127">
        <f>IF(Table1[[#This Row],[Percent Funded of Adjusted PYE]]=1,0,Table1[[#This Row],[AdjPriorYear 
Expenditures]]-Table1[[#This Row],[Allocation]])</f>
        <v>481192.92999999784</v>
      </c>
    </row>
    <row r="76" spans="1:14" x14ac:dyDescent="0.35">
      <c r="A76">
        <v>6114</v>
      </c>
      <c r="B76" t="s">
        <v>823</v>
      </c>
      <c r="C76" s="127">
        <v>18491439.529999997</v>
      </c>
      <c r="D76" s="127">
        <v>19687004.379999999</v>
      </c>
      <c r="E76" s="128">
        <v>15695.875</v>
      </c>
      <c r="F76" s="128">
        <v>1681.875</v>
      </c>
      <c r="G76" s="129">
        <v>17299.75</v>
      </c>
      <c r="H76" s="128">
        <v>8649.875</v>
      </c>
      <c r="I76" s="127">
        <f>Table1[[#This Row],[AdjPriorYear 
Expenditures]]/Table1[[#This Row],[Total Riders (AM/PM counts)]]</f>
        <v>1068.884783306117</v>
      </c>
      <c r="J76" s="165">
        <f>Table1[[#This Row],[AdjPriorYear 
Expenditures]]/Table1[[#This Row],[Total Students]]</f>
        <v>2137.769566612234</v>
      </c>
      <c r="K76" s="127">
        <f>Table1[[#This Row],[Allocation]]/Table1[[#This Row],[Total Riders (AM/PM counts)]]</f>
        <v>1137.9935767857917</v>
      </c>
      <c r="L76" s="127">
        <f>Table1[[#This Row],[Allocation]]/Table1[[#This Row],[Total Students]]</f>
        <v>2275.9871535715833</v>
      </c>
      <c r="M76" s="130">
        <f>IF(Table1[[#This Row],[Allocation]]&gt;Table1[[#This Row],[AdjPriorYear 
Expenditures]],100%, Table1[[#This Row],[Allocation]]/Table1[[#This Row],[AdjPriorYear 
Expenditures]])</f>
        <v>1</v>
      </c>
      <c r="N76" s="127">
        <f>IF(Table1[[#This Row],[Percent Funded of Adjusted PYE]]=1,0,Table1[[#This Row],[AdjPriorYear 
Expenditures]]-Table1[[#This Row],[Allocation]])</f>
        <v>0</v>
      </c>
    </row>
    <row r="77" spans="1:14" x14ac:dyDescent="0.35">
      <c r="A77">
        <v>17210</v>
      </c>
      <c r="B77" t="s">
        <v>824</v>
      </c>
      <c r="C77" s="127">
        <v>18537366.359999999</v>
      </c>
      <c r="D77" s="127">
        <v>14589647.76</v>
      </c>
      <c r="E77" s="128">
        <v>13229.5</v>
      </c>
      <c r="F77" s="128">
        <v>852</v>
      </c>
      <c r="G77" s="129">
        <v>14174.75</v>
      </c>
      <c r="H77" s="128">
        <v>7087.375</v>
      </c>
      <c r="I77" s="127">
        <f>Table1[[#This Row],[AdjPriorYear 
Expenditures]]/Table1[[#This Row],[Total Riders (AM/PM counts)]]</f>
        <v>1307.7737780207763</v>
      </c>
      <c r="J77" s="165">
        <f>Table1[[#This Row],[AdjPriorYear 
Expenditures]]/Table1[[#This Row],[Total Students]]</f>
        <v>2615.5475560415525</v>
      </c>
      <c r="K77" s="127">
        <f>Table1[[#This Row],[Allocation]]/Table1[[#This Row],[Total Riders (AM/PM counts)]]</f>
        <v>1029.2701994744175</v>
      </c>
      <c r="L77" s="127">
        <f>Table1[[#This Row],[Allocation]]/Table1[[#This Row],[Total Students]]</f>
        <v>2058.540398948835</v>
      </c>
      <c r="M77" s="130">
        <f>IF(Table1[[#This Row],[Allocation]]&gt;Table1[[#This Row],[AdjPriorYear 
Expenditures]],100%, Table1[[#This Row],[Allocation]]/Table1[[#This Row],[AdjPriorYear 
Expenditures]])</f>
        <v>0.78703994281957967</v>
      </c>
      <c r="N77" s="127">
        <f>IF(Table1[[#This Row],[Percent Funded of Adjusted PYE]]=1,0,Table1[[#This Row],[AdjPriorYear 
Expenditures]]-Table1[[#This Row],[Allocation]])</f>
        <v>3947718.5999999996</v>
      </c>
    </row>
    <row r="78" spans="1:14" x14ac:dyDescent="0.35">
      <c r="A78">
        <v>37502</v>
      </c>
      <c r="B78" t="s">
        <v>825</v>
      </c>
      <c r="C78" s="127">
        <v>3487274.2800000003</v>
      </c>
      <c r="D78" s="127">
        <v>3754052.3899999997</v>
      </c>
      <c r="E78" s="128">
        <v>3126.625</v>
      </c>
      <c r="F78" s="128">
        <v>193.625</v>
      </c>
      <c r="G78" s="129">
        <v>3341.875</v>
      </c>
      <c r="H78" s="128">
        <v>1670.9375</v>
      </c>
      <c r="I78" s="127">
        <f>Table1[[#This Row],[AdjPriorYear 
Expenditures]]/Table1[[#This Row],[Total Riders (AM/PM counts)]]</f>
        <v>1043.5082939966337</v>
      </c>
      <c r="J78" s="165">
        <f>Table1[[#This Row],[AdjPriorYear 
Expenditures]]/Table1[[#This Row],[Total Students]]</f>
        <v>2087.0165879932674</v>
      </c>
      <c r="K78" s="127">
        <f>Table1[[#This Row],[Allocation]]/Table1[[#This Row],[Total Riders (AM/PM counts)]]</f>
        <v>1123.3371655133719</v>
      </c>
      <c r="L78" s="127">
        <f>Table1[[#This Row],[Allocation]]/Table1[[#This Row],[Total Students]]</f>
        <v>2246.6743310267439</v>
      </c>
      <c r="M78" s="130">
        <f>IF(Table1[[#This Row],[Allocation]]&gt;Table1[[#This Row],[AdjPriorYear 
Expenditures]],100%, Table1[[#This Row],[Allocation]]/Table1[[#This Row],[AdjPriorYear 
Expenditures]])</f>
        <v>1</v>
      </c>
      <c r="N78" s="127">
        <f>IF(Table1[[#This Row],[Percent Funded of Adjusted PYE]]=1,0,Table1[[#This Row],[AdjPriorYear 
Expenditures]]-Table1[[#This Row],[Allocation]])</f>
        <v>0</v>
      </c>
    </row>
    <row r="79" spans="1:14" x14ac:dyDescent="0.35">
      <c r="A79">
        <v>27417</v>
      </c>
      <c r="B79" t="s">
        <v>826</v>
      </c>
      <c r="C79" s="127">
        <v>3386791.04</v>
      </c>
      <c r="D79" s="127">
        <v>3054738.3</v>
      </c>
      <c r="E79" s="128">
        <v>3691.5</v>
      </c>
      <c r="F79" s="128">
        <v>126.875</v>
      </c>
      <c r="G79" s="129">
        <v>3860.875</v>
      </c>
      <c r="H79" s="128">
        <v>1930.4375</v>
      </c>
      <c r="I79" s="127">
        <f>Table1[[#This Row],[AdjPriorYear 
Expenditures]]/Table1[[#This Row],[Total Riders (AM/PM counts)]]</f>
        <v>877.20815618221263</v>
      </c>
      <c r="J79" s="165">
        <f>Table1[[#This Row],[AdjPriorYear 
Expenditures]]/Table1[[#This Row],[Total Students]]</f>
        <v>1754.4163123644253</v>
      </c>
      <c r="K79" s="127">
        <f>Table1[[#This Row],[Allocation]]/Table1[[#This Row],[Total Riders (AM/PM counts)]]</f>
        <v>791.20362612102178</v>
      </c>
      <c r="L79" s="127">
        <f>Table1[[#This Row],[Allocation]]/Table1[[#This Row],[Total Students]]</f>
        <v>1582.4072522420436</v>
      </c>
      <c r="M79" s="130">
        <f>IF(Table1[[#This Row],[Allocation]]&gt;Table1[[#This Row],[AdjPriorYear 
Expenditures]],100%, Table1[[#This Row],[Allocation]]/Table1[[#This Row],[AdjPriorYear 
Expenditures]])</f>
        <v>0.90195653169083612</v>
      </c>
      <c r="N79" s="127">
        <f>IF(Table1[[#This Row],[Percent Funded of Adjusted PYE]]=1,0,Table1[[#This Row],[AdjPriorYear 
Expenditures]]-Table1[[#This Row],[Allocation]])</f>
        <v>332052.74000000022</v>
      </c>
    </row>
    <row r="80" spans="1:14" x14ac:dyDescent="0.35">
      <c r="A80">
        <v>3053</v>
      </c>
      <c r="B80" t="s">
        <v>827</v>
      </c>
      <c r="C80" s="127">
        <v>671859.98</v>
      </c>
      <c r="D80" s="127">
        <v>686368.04999999993</v>
      </c>
      <c r="E80" s="128">
        <v>784.375</v>
      </c>
      <c r="F80" s="128">
        <v>15.375</v>
      </c>
      <c r="G80" s="129">
        <v>808.375</v>
      </c>
      <c r="H80" s="128">
        <v>404.1875</v>
      </c>
      <c r="I80" s="127">
        <f>Table1[[#This Row],[AdjPriorYear 
Expenditures]]/Table1[[#This Row],[Total Riders (AM/PM counts)]]</f>
        <v>831.12414411628265</v>
      </c>
      <c r="J80" s="165">
        <f>Table1[[#This Row],[AdjPriorYear 
Expenditures]]/Table1[[#This Row],[Total Students]]</f>
        <v>1662.2482882325653</v>
      </c>
      <c r="K80" s="127">
        <f>Table1[[#This Row],[Allocation]]/Table1[[#This Row],[Total Riders (AM/PM counts)]]</f>
        <v>849.07134683779179</v>
      </c>
      <c r="L80" s="127">
        <f>Table1[[#This Row],[Allocation]]/Table1[[#This Row],[Total Students]]</f>
        <v>1698.1426936755836</v>
      </c>
      <c r="M80" s="130">
        <f>IF(Table1[[#This Row],[Allocation]]&gt;Table1[[#This Row],[AdjPriorYear 
Expenditures]],100%, Table1[[#This Row],[Allocation]]/Table1[[#This Row],[AdjPriorYear 
Expenditures]])</f>
        <v>1</v>
      </c>
      <c r="N80" s="127">
        <f>IF(Table1[[#This Row],[Percent Funded of Adjusted PYE]]=1,0,Table1[[#This Row],[AdjPriorYear 
Expenditures]]-Table1[[#This Row],[Allocation]])</f>
        <v>0</v>
      </c>
    </row>
    <row r="81" spans="1:14" x14ac:dyDescent="0.35">
      <c r="A81">
        <v>27402</v>
      </c>
      <c r="B81" t="s">
        <v>828</v>
      </c>
      <c r="C81" s="127">
        <v>6553334.4800000004</v>
      </c>
      <c r="D81" s="127">
        <v>6272976.5699999994</v>
      </c>
      <c r="E81" s="128">
        <v>6094.875</v>
      </c>
      <c r="F81" s="128">
        <v>418.875</v>
      </c>
      <c r="G81" s="129">
        <v>6598.75</v>
      </c>
      <c r="H81" s="128">
        <v>3299.375</v>
      </c>
      <c r="I81" s="127">
        <f>Table1[[#This Row],[AdjPriorYear 
Expenditures]]/Table1[[#This Row],[Total Riders (AM/PM counts)]]</f>
        <v>993.11755711308967</v>
      </c>
      <c r="J81" s="165">
        <f>Table1[[#This Row],[AdjPriorYear 
Expenditures]]/Table1[[#This Row],[Total Students]]</f>
        <v>1986.2351142261793</v>
      </c>
      <c r="K81" s="127">
        <f>Table1[[#This Row],[Allocation]]/Table1[[#This Row],[Total Riders (AM/PM counts)]]</f>
        <v>950.63103921197182</v>
      </c>
      <c r="L81" s="127">
        <f>Table1[[#This Row],[Allocation]]/Table1[[#This Row],[Total Students]]</f>
        <v>1901.2620784239436</v>
      </c>
      <c r="M81" s="130">
        <f>IF(Table1[[#This Row],[Allocation]]&gt;Table1[[#This Row],[AdjPriorYear 
Expenditures]],100%, Table1[[#This Row],[Allocation]]/Table1[[#This Row],[AdjPriorYear 
Expenditures]])</f>
        <v>0.95721904461680996</v>
      </c>
      <c r="N81" s="127">
        <f>IF(Table1[[#This Row],[Percent Funded of Adjusted PYE]]=1,0,Table1[[#This Row],[AdjPriorYear 
Expenditures]]-Table1[[#This Row],[Allocation]])</f>
        <v>280357.91000000108</v>
      </c>
    </row>
    <row r="82" spans="1:14" x14ac:dyDescent="0.35">
      <c r="A82">
        <v>32358</v>
      </c>
      <c r="B82" t="s">
        <v>829</v>
      </c>
      <c r="C82" s="127">
        <v>995180.66000000015</v>
      </c>
      <c r="D82" s="127">
        <v>964167.37</v>
      </c>
      <c r="E82" s="128">
        <v>811.625</v>
      </c>
      <c r="F82" s="128">
        <v>29</v>
      </c>
      <c r="G82" s="129">
        <v>842.75</v>
      </c>
      <c r="H82" s="128">
        <v>421.375</v>
      </c>
      <c r="I82" s="127">
        <f>Table1[[#This Row],[AdjPriorYear 
Expenditures]]/Table1[[#This Row],[Total Riders (AM/PM counts)]]</f>
        <v>1180.8729279145655</v>
      </c>
      <c r="J82" s="165">
        <f>Table1[[#This Row],[AdjPriorYear 
Expenditures]]/Table1[[#This Row],[Total Students]]</f>
        <v>2361.745855829131</v>
      </c>
      <c r="K82" s="127">
        <f>Table1[[#This Row],[Allocation]]/Table1[[#This Row],[Total Riders (AM/PM counts)]]</f>
        <v>1144.0728211213291</v>
      </c>
      <c r="L82" s="127">
        <f>Table1[[#This Row],[Allocation]]/Table1[[#This Row],[Total Students]]</f>
        <v>2288.1456422426581</v>
      </c>
      <c r="M82" s="130">
        <f>IF(Table1[[#This Row],[Allocation]]&gt;Table1[[#This Row],[AdjPriorYear 
Expenditures]],100%, Table1[[#This Row],[Allocation]]/Table1[[#This Row],[AdjPriorYear 
Expenditures]])</f>
        <v>0.96883652260686004</v>
      </c>
      <c r="N82" s="127">
        <f>IF(Table1[[#This Row],[Percent Funded of Adjusted PYE]]=1,0,Table1[[#This Row],[AdjPriorYear 
Expenditures]]-Table1[[#This Row],[Allocation]])</f>
        <v>31013.290000000154</v>
      </c>
    </row>
    <row r="83" spans="1:14" x14ac:dyDescent="0.35">
      <c r="A83">
        <v>38302</v>
      </c>
      <c r="B83" t="s">
        <v>830</v>
      </c>
      <c r="C83" s="127">
        <v>445942.81000000006</v>
      </c>
      <c r="D83" s="127">
        <v>399301.83</v>
      </c>
      <c r="E83" s="128">
        <v>286.25</v>
      </c>
      <c r="F83" s="128">
        <v>2</v>
      </c>
      <c r="G83" s="129">
        <v>288.25</v>
      </c>
      <c r="H83" s="128">
        <v>144.125</v>
      </c>
      <c r="I83" s="127">
        <f>Table1[[#This Row],[AdjPriorYear 
Expenditures]]/Table1[[#This Row],[Total Riders (AM/PM counts)]]</f>
        <v>1547.0695923677365</v>
      </c>
      <c r="J83" s="165">
        <f>Table1[[#This Row],[AdjPriorYear 
Expenditures]]/Table1[[#This Row],[Total Students]]</f>
        <v>3094.139184735473</v>
      </c>
      <c r="K83" s="127">
        <f>Table1[[#This Row],[Allocation]]/Table1[[#This Row],[Total Riders (AM/PM counts)]]</f>
        <v>1385.2622029488291</v>
      </c>
      <c r="L83" s="127">
        <f>Table1[[#This Row],[Allocation]]/Table1[[#This Row],[Total Students]]</f>
        <v>2770.5244058976582</v>
      </c>
      <c r="M83" s="130">
        <f>IF(Table1[[#This Row],[Allocation]]&gt;Table1[[#This Row],[AdjPriorYear 
Expenditures]],100%, Table1[[#This Row],[Allocation]]/Table1[[#This Row],[AdjPriorYear 
Expenditures]])</f>
        <v>0.89541040027083285</v>
      </c>
      <c r="N83" s="127">
        <f>IF(Table1[[#This Row],[Percent Funded of Adjusted PYE]]=1,0,Table1[[#This Row],[AdjPriorYear 
Expenditures]]-Table1[[#This Row],[Allocation]])</f>
        <v>46640.98000000004</v>
      </c>
    </row>
    <row r="84" spans="1:14" x14ac:dyDescent="0.35">
      <c r="A84">
        <v>20401</v>
      </c>
      <c r="B84" t="s">
        <v>831</v>
      </c>
      <c r="C84" s="127">
        <v>122340.51999999999</v>
      </c>
      <c r="D84" s="127">
        <v>103393.54</v>
      </c>
      <c r="E84" s="128">
        <v>52.375</v>
      </c>
      <c r="F84" s="128">
        <v>0</v>
      </c>
      <c r="G84" s="129">
        <v>52.375</v>
      </c>
      <c r="H84" s="128">
        <v>26.1875</v>
      </c>
      <c r="I84" s="127">
        <f>Table1[[#This Row],[AdjPriorYear 
Expenditures]]/Table1[[#This Row],[Total Riders (AM/PM counts)]]</f>
        <v>2335.8571837708828</v>
      </c>
      <c r="J84" s="165">
        <f>Table1[[#This Row],[AdjPriorYear 
Expenditures]]/Table1[[#This Row],[Total Students]]</f>
        <v>4671.7143675417656</v>
      </c>
      <c r="K84" s="127">
        <f>Table1[[#This Row],[Allocation]]/Table1[[#This Row],[Total Riders (AM/PM counts)]]</f>
        <v>1974.1010023866347</v>
      </c>
      <c r="L84" s="127">
        <f>Table1[[#This Row],[Allocation]]/Table1[[#This Row],[Total Students]]</f>
        <v>3948.2020047732694</v>
      </c>
      <c r="M84" s="130">
        <f>IF(Table1[[#This Row],[Allocation]]&gt;Table1[[#This Row],[AdjPriorYear 
Expenditures]],100%, Table1[[#This Row],[Allocation]]/Table1[[#This Row],[AdjPriorYear 
Expenditures]])</f>
        <v>0.84512915263070654</v>
      </c>
      <c r="N84" s="127">
        <f>IF(Table1[[#This Row],[Percent Funded of Adjusted PYE]]=1,0,Table1[[#This Row],[AdjPriorYear 
Expenditures]]-Table1[[#This Row],[Allocation]])</f>
        <v>18946.979999999996</v>
      </c>
    </row>
    <row r="85" spans="1:14" x14ac:dyDescent="0.35">
      <c r="A85">
        <v>20404</v>
      </c>
      <c r="B85" t="s">
        <v>832</v>
      </c>
      <c r="C85" s="127">
        <v>735255.73</v>
      </c>
      <c r="D85" s="127">
        <v>691514.24</v>
      </c>
      <c r="E85" s="128">
        <v>386.5</v>
      </c>
      <c r="F85" s="128">
        <v>34.375</v>
      </c>
      <c r="G85" s="129">
        <v>425.75</v>
      </c>
      <c r="H85" s="128">
        <v>212.875</v>
      </c>
      <c r="I85" s="127">
        <f>Table1[[#This Row],[AdjPriorYear 
Expenditures]]/Table1[[#This Row],[Total Riders (AM/PM counts)]]</f>
        <v>1726.9658954785673</v>
      </c>
      <c r="J85" s="165">
        <f>Table1[[#This Row],[AdjPriorYear 
Expenditures]]/Table1[[#This Row],[Total Students]]</f>
        <v>3453.9317909571346</v>
      </c>
      <c r="K85" s="127">
        <f>Table1[[#This Row],[Allocation]]/Table1[[#This Row],[Total Riders (AM/PM counts)]]</f>
        <v>1624.2260481503229</v>
      </c>
      <c r="L85" s="127">
        <f>Table1[[#This Row],[Allocation]]/Table1[[#This Row],[Total Students]]</f>
        <v>3248.4520963006457</v>
      </c>
      <c r="M85" s="130">
        <f>IF(Table1[[#This Row],[Allocation]]&gt;Table1[[#This Row],[AdjPriorYear 
Expenditures]],100%, Table1[[#This Row],[Allocation]]/Table1[[#This Row],[AdjPriorYear 
Expenditures]])</f>
        <v>0.94050846771367558</v>
      </c>
      <c r="N85" s="127">
        <f>IF(Table1[[#This Row],[Percent Funded of Adjusted PYE]]=1,0,Table1[[#This Row],[AdjPriorYear 
Expenditures]]-Table1[[#This Row],[Allocation]])</f>
        <v>43741.489999999991</v>
      </c>
    </row>
    <row r="86" spans="1:14" x14ac:dyDescent="0.35">
      <c r="A86">
        <v>13301</v>
      </c>
      <c r="B86" t="s">
        <v>833</v>
      </c>
      <c r="C86" s="127">
        <v>554945.49</v>
      </c>
      <c r="D86" s="127">
        <v>583617.53</v>
      </c>
      <c r="E86" s="128">
        <v>448.375</v>
      </c>
      <c r="F86" s="128">
        <v>40.375</v>
      </c>
      <c r="G86" s="129">
        <v>490.625</v>
      </c>
      <c r="H86" s="128">
        <v>245.3125</v>
      </c>
      <c r="I86" s="127">
        <f>Table1[[#This Row],[AdjPriorYear 
Expenditures]]/Table1[[#This Row],[Total Riders (AM/PM counts)]]</f>
        <v>1131.0990878980892</v>
      </c>
      <c r="J86" s="165">
        <f>Table1[[#This Row],[AdjPriorYear 
Expenditures]]/Table1[[#This Row],[Total Students]]</f>
        <v>2262.1981757961785</v>
      </c>
      <c r="K86" s="127">
        <f>Table1[[#This Row],[Allocation]]/Table1[[#This Row],[Total Riders (AM/PM counts)]]</f>
        <v>1189.5389146496816</v>
      </c>
      <c r="L86" s="127">
        <f>Table1[[#This Row],[Allocation]]/Table1[[#This Row],[Total Students]]</f>
        <v>2379.0778292993632</v>
      </c>
      <c r="M86" s="130">
        <f>IF(Table1[[#This Row],[Allocation]]&gt;Table1[[#This Row],[AdjPriorYear 
Expenditures]],100%, Table1[[#This Row],[Allocation]]/Table1[[#This Row],[AdjPriorYear 
Expenditures]])</f>
        <v>1</v>
      </c>
      <c r="N86" s="127">
        <f>IF(Table1[[#This Row],[Percent Funded of Adjusted PYE]]=1,0,Table1[[#This Row],[AdjPriorYear 
Expenditures]]-Table1[[#This Row],[Allocation]])</f>
        <v>0</v>
      </c>
    </row>
    <row r="87" spans="1:14" x14ac:dyDescent="0.35">
      <c r="A87">
        <v>39200</v>
      </c>
      <c r="B87" t="s">
        <v>834</v>
      </c>
      <c r="C87" s="127">
        <v>1662204.8599999999</v>
      </c>
      <c r="D87" s="127">
        <v>1367156.67</v>
      </c>
      <c r="E87" s="128">
        <v>1365</v>
      </c>
      <c r="F87" s="128">
        <v>169.75</v>
      </c>
      <c r="G87" s="129">
        <v>1525.125</v>
      </c>
      <c r="H87" s="128">
        <v>762.5625</v>
      </c>
      <c r="I87" s="127">
        <f>Table1[[#This Row],[AdjPriorYear 
Expenditures]]/Table1[[#This Row],[Total Riders (AM/PM counts)]]</f>
        <v>1089.8810654864355</v>
      </c>
      <c r="J87" s="165">
        <f>Table1[[#This Row],[AdjPriorYear 
Expenditures]]/Table1[[#This Row],[Total Students]]</f>
        <v>2179.7621309728711</v>
      </c>
      <c r="K87" s="127">
        <f>Table1[[#This Row],[Allocation]]/Table1[[#This Row],[Total Riders (AM/PM counts)]]</f>
        <v>896.4226997787066</v>
      </c>
      <c r="L87" s="127">
        <f>Table1[[#This Row],[Allocation]]/Table1[[#This Row],[Total Students]]</f>
        <v>1792.8453995574132</v>
      </c>
      <c r="M87" s="130">
        <f>IF(Table1[[#This Row],[Allocation]]&gt;Table1[[#This Row],[AdjPriorYear 
Expenditures]],100%, Table1[[#This Row],[Allocation]]/Table1[[#This Row],[AdjPriorYear 
Expenditures]])</f>
        <v>0.82249589259412947</v>
      </c>
      <c r="N87" s="127">
        <f>IF(Table1[[#This Row],[Percent Funded of Adjusted PYE]]=1,0,Table1[[#This Row],[AdjPriorYear 
Expenditures]]-Table1[[#This Row],[Allocation]])</f>
        <v>295048.18999999994</v>
      </c>
    </row>
    <row r="88" spans="1:14" x14ac:dyDescent="0.35">
      <c r="A88">
        <v>39204</v>
      </c>
      <c r="B88" t="s">
        <v>835</v>
      </c>
      <c r="C88" s="127">
        <v>651939.72</v>
      </c>
      <c r="D88" s="127">
        <v>662588.6</v>
      </c>
      <c r="E88" s="128">
        <v>473.125</v>
      </c>
      <c r="F88" s="128">
        <v>31.75</v>
      </c>
      <c r="G88" s="129">
        <v>512.25</v>
      </c>
      <c r="H88" s="128">
        <v>256.125</v>
      </c>
      <c r="I88" s="127">
        <f>Table1[[#This Row],[AdjPriorYear 
Expenditures]]/Table1[[#This Row],[Total Riders (AM/PM counts)]]</f>
        <v>1272.6983308931185</v>
      </c>
      <c r="J88" s="165">
        <f>Table1[[#This Row],[AdjPriorYear 
Expenditures]]/Table1[[#This Row],[Total Students]]</f>
        <v>2545.396661786237</v>
      </c>
      <c r="K88" s="127">
        <f>Table1[[#This Row],[Allocation]]/Table1[[#This Row],[Total Riders (AM/PM counts)]]</f>
        <v>1293.4867740361151</v>
      </c>
      <c r="L88" s="127">
        <f>Table1[[#This Row],[Allocation]]/Table1[[#This Row],[Total Students]]</f>
        <v>2586.9735480722302</v>
      </c>
      <c r="M88" s="130">
        <f>IF(Table1[[#This Row],[Allocation]]&gt;Table1[[#This Row],[AdjPriorYear 
Expenditures]],100%, Table1[[#This Row],[Allocation]]/Table1[[#This Row],[AdjPriorYear 
Expenditures]])</f>
        <v>1</v>
      </c>
      <c r="N88" s="127">
        <f>IF(Table1[[#This Row],[Percent Funded of Adjusted PYE]]=1,0,Table1[[#This Row],[AdjPriorYear 
Expenditures]]-Table1[[#This Row],[Allocation]])</f>
        <v>0</v>
      </c>
    </row>
    <row r="89" spans="1:14" x14ac:dyDescent="0.35">
      <c r="A89">
        <v>31332</v>
      </c>
      <c r="B89" t="s">
        <v>836</v>
      </c>
      <c r="C89" s="127">
        <v>2139027.59</v>
      </c>
      <c r="D89" s="127">
        <v>1602167.26</v>
      </c>
      <c r="E89" s="128">
        <v>1398.5</v>
      </c>
      <c r="F89" s="128">
        <v>112.625</v>
      </c>
      <c r="G89" s="129">
        <v>1541.25</v>
      </c>
      <c r="H89" s="128">
        <v>770.625</v>
      </c>
      <c r="I89" s="127">
        <f>Table1[[#This Row],[AdjPriorYear 
Expenditures]]/Table1[[#This Row],[Total Riders (AM/PM counts)]]</f>
        <v>1387.8524509326844</v>
      </c>
      <c r="J89" s="165">
        <f>Table1[[#This Row],[AdjPriorYear 
Expenditures]]/Table1[[#This Row],[Total Students]]</f>
        <v>2775.7049018653688</v>
      </c>
      <c r="K89" s="127">
        <f>Table1[[#This Row],[Allocation]]/Table1[[#This Row],[Total Riders (AM/PM counts)]]</f>
        <v>1039.5245806974858</v>
      </c>
      <c r="L89" s="127">
        <f>Table1[[#This Row],[Allocation]]/Table1[[#This Row],[Total Students]]</f>
        <v>2079.0491613949716</v>
      </c>
      <c r="M89" s="130">
        <f>IF(Table1[[#This Row],[Allocation]]&gt;Table1[[#This Row],[AdjPriorYear 
Expenditures]],100%, Table1[[#This Row],[Allocation]]/Table1[[#This Row],[AdjPriorYear 
Expenditures]])</f>
        <v>0.74901664078115049</v>
      </c>
      <c r="N89" s="127">
        <f>IF(Table1[[#This Row],[Percent Funded of Adjusted PYE]]=1,0,Table1[[#This Row],[AdjPriorYear 
Expenditures]]-Table1[[#This Row],[Allocation]])</f>
        <v>536860.32999999984</v>
      </c>
    </row>
    <row r="90" spans="1:14" x14ac:dyDescent="0.35">
      <c r="A90">
        <v>23054</v>
      </c>
      <c r="B90" t="s">
        <v>837</v>
      </c>
      <c r="C90" s="127">
        <v>187652.53000000003</v>
      </c>
      <c r="D90" s="127">
        <v>189834.7</v>
      </c>
      <c r="E90" s="128">
        <v>261.875</v>
      </c>
      <c r="F90" s="128">
        <v>0</v>
      </c>
      <c r="G90" s="129">
        <v>261.875</v>
      </c>
      <c r="H90" s="128">
        <v>130.9375</v>
      </c>
      <c r="I90" s="127">
        <f>Table1[[#This Row],[AdjPriorYear 
Expenditures]]/Table1[[#This Row],[Total Riders (AM/PM counts)]]</f>
        <v>716.57290692124116</v>
      </c>
      <c r="J90" s="165">
        <f>Table1[[#This Row],[AdjPriorYear 
Expenditures]]/Table1[[#This Row],[Total Students]]</f>
        <v>1433.1458138424823</v>
      </c>
      <c r="K90" s="127">
        <f>Table1[[#This Row],[Allocation]]/Table1[[#This Row],[Total Riders (AM/PM counts)]]</f>
        <v>724.90577565632464</v>
      </c>
      <c r="L90" s="127">
        <f>Table1[[#This Row],[Allocation]]/Table1[[#This Row],[Total Students]]</f>
        <v>1449.8115513126493</v>
      </c>
      <c r="M90" s="130">
        <f>IF(Table1[[#This Row],[Allocation]]&gt;Table1[[#This Row],[AdjPriorYear 
Expenditures]],100%, Table1[[#This Row],[Allocation]]/Table1[[#This Row],[AdjPriorYear 
Expenditures]])</f>
        <v>1</v>
      </c>
      <c r="N90" s="127">
        <f>IF(Table1[[#This Row],[Percent Funded of Adjusted PYE]]=1,0,Table1[[#This Row],[AdjPriorYear 
Expenditures]]-Table1[[#This Row],[Allocation]])</f>
        <v>0</v>
      </c>
    </row>
    <row r="91" spans="1:14" x14ac:dyDescent="0.35">
      <c r="A91">
        <v>32312</v>
      </c>
      <c r="B91" t="s">
        <v>838</v>
      </c>
      <c r="C91" s="127">
        <v>115022.08000000002</v>
      </c>
      <c r="D91" s="127">
        <v>106220.76000000001</v>
      </c>
      <c r="E91" s="128">
        <v>70.875</v>
      </c>
      <c r="F91" s="128">
        <v>0</v>
      </c>
      <c r="G91" s="129">
        <v>70.875</v>
      </c>
      <c r="H91" s="128">
        <v>35.4375</v>
      </c>
      <c r="I91" s="127">
        <f>Table1[[#This Row],[AdjPriorYear 
Expenditures]]/Table1[[#This Row],[Total Riders (AM/PM counts)]]</f>
        <v>1622.8864902998239</v>
      </c>
      <c r="J91" s="165">
        <f>Table1[[#This Row],[AdjPriorYear 
Expenditures]]/Table1[[#This Row],[Total Students]]</f>
        <v>3245.7729805996478</v>
      </c>
      <c r="K91" s="127">
        <f>Table1[[#This Row],[Allocation]]/Table1[[#This Row],[Total Riders (AM/PM counts)]]</f>
        <v>1498.7056084656085</v>
      </c>
      <c r="L91" s="127">
        <f>Table1[[#This Row],[Allocation]]/Table1[[#This Row],[Total Students]]</f>
        <v>2997.411216931217</v>
      </c>
      <c r="M91" s="130">
        <f>IF(Table1[[#This Row],[Allocation]]&gt;Table1[[#This Row],[AdjPriorYear 
Expenditures]],100%, Table1[[#This Row],[Allocation]]/Table1[[#This Row],[AdjPriorYear 
Expenditures]])</f>
        <v>0.92348147416565585</v>
      </c>
      <c r="N91" s="127">
        <f>IF(Table1[[#This Row],[Percent Funded of Adjusted PYE]]=1,0,Table1[[#This Row],[AdjPriorYear 
Expenditures]]-Table1[[#This Row],[Allocation]])</f>
        <v>8801.320000000007</v>
      </c>
    </row>
    <row r="92" spans="1:14" x14ac:dyDescent="0.35">
      <c r="A92">
        <v>6103</v>
      </c>
      <c r="B92" t="s">
        <v>839</v>
      </c>
      <c r="C92" s="127">
        <v>163667.77000000002</v>
      </c>
      <c r="D92" s="127">
        <v>181750.89</v>
      </c>
      <c r="E92" s="128">
        <v>123.875</v>
      </c>
      <c r="F92" s="128">
        <v>0</v>
      </c>
      <c r="G92" s="129">
        <v>123.875</v>
      </c>
      <c r="H92" s="128">
        <v>61.9375</v>
      </c>
      <c r="I92" s="127">
        <f>Table1[[#This Row],[AdjPriorYear 
Expenditures]]/Table1[[#This Row],[Total Riders (AM/PM counts)]]</f>
        <v>1321.2332593340061</v>
      </c>
      <c r="J92" s="165">
        <f>Table1[[#This Row],[AdjPriorYear 
Expenditures]]/Table1[[#This Row],[Total Students]]</f>
        <v>2642.4665186680122</v>
      </c>
      <c r="K92" s="127">
        <f>Table1[[#This Row],[Allocation]]/Table1[[#This Row],[Total Riders (AM/PM counts)]]</f>
        <v>1467.2120282542887</v>
      </c>
      <c r="L92" s="127">
        <f>Table1[[#This Row],[Allocation]]/Table1[[#This Row],[Total Students]]</f>
        <v>2934.4240565085775</v>
      </c>
      <c r="M92" s="130">
        <f>IF(Table1[[#This Row],[Allocation]]&gt;Table1[[#This Row],[AdjPriorYear 
Expenditures]],100%, Table1[[#This Row],[Allocation]]/Table1[[#This Row],[AdjPriorYear 
Expenditures]])</f>
        <v>1</v>
      </c>
      <c r="N92" s="127">
        <f>IF(Table1[[#This Row],[Percent Funded of Adjusted PYE]]=1,0,Table1[[#This Row],[AdjPriorYear 
Expenditures]]-Table1[[#This Row],[Allocation]])</f>
        <v>0</v>
      </c>
    </row>
    <row r="93" spans="1:14" x14ac:dyDescent="0.35">
      <c r="A93">
        <v>34324</v>
      </c>
      <c r="B93" t="s">
        <v>840</v>
      </c>
      <c r="C93" s="127">
        <v>667921.66999999993</v>
      </c>
      <c r="D93" s="127">
        <v>688043.45000000007</v>
      </c>
      <c r="E93" s="128">
        <v>432</v>
      </c>
      <c r="F93" s="128">
        <v>11.5</v>
      </c>
      <c r="G93" s="129">
        <v>444.875</v>
      </c>
      <c r="H93" s="128">
        <v>222.4375</v>
      </c>
      <c r="I93" s="127">
        <f>Table1[[#This Row],[AdjPriorYear 
Expenditures]]/Table1[[#This Row],[Total Riders (AM/PM counts)]]</f>
        <v>1501.369305984827</v>
      </c>
      <c r="J93" s="165">
        <f>Table1[[#This Row],[AdjPriorYear 
Expenditures]]/Table1[[#This Row],[Total Students]]</f>
        <v>3002.7386119696539</v>
      </c>
      <c r="K93" s="127">
        <f>Table1[[#This Row],[Allocation]]/Table1[[#This Row],[Total Riders (AM/PM counts)]]</f>
        <v>1546.5994942399552</v>
      </c>
      <c r="L93" s="127">
        <f>Table1[[#This Row],[Allocation]]/Table1[[#This Row],[Total Students]]</f>
        <v>3093.1989884799104</v>
      </c>
      <c r="M93" s="130">
        <f>IF(Table1[[#This Row],[Allocation]]&gt;Table1[[#This Row],[AdjPriorYear 
Expenditures]],100%, Table1[[#This Row],[Allocation]]/Table1[[#This Row],[AdjPriorYear 
Expenditures]])</f>
        <v>1</v>
      </c>
      <c r="N93" s="127">
        <f>IF(Table1[[#This Row],[Percent Funded of Adjusted PYE]]=1,0,Table1[[#This Row],[AdjPriorYear 
Expenditures]]-Table1[[#This Row],[Allocation]])</f>
        <v>0</v>
      </c>
    </row>
    <row r="94" spans="1:14" x14ac:dyDescent="0.35">
      <c r="A94">
        <v>22204</v>
      </c>
      <c r="B94" t="s">
        <v>841</v>
      </c>
      <c r="C94" s="127">
        <v>313801.59999999998</v>
      </c>
      <c r="D94" s="127">
        <v>301522.67</v>
      </c>
      <c r="E94" s="128">
        <v>134.75</v>
      </c>
      <c r="F94" s="128">
        <v>0</v>
      </c>
      <c r="G94" s="129">
        <v>134.75</v>
      </c>
      <c r="H94" s="128">
        <v>67.375</v>
      </c>
      <c r="I94" s="127">
        <f>Table1[[#This Row],[AdjPriorYear 
Expenditures]]/Table1[[#This Row],[Total Riders (AM/PM counts)]]</f>
        <v>2328.7688311688312</v>
      </c>
      <c r="J94" s="165">
        <f>Table1[[#This Row],[AdjPriorYear 
Expenditures]]/Table1[[#This Row],[Total Students]]</f>
        <v>4657.5376623376624</v>
      </c>
      <c r="K94" s="127">
        <f>Table1[[#This Row],[Allocation]]/Table1[[#This Row],[Total Riders (AM/PM counts)]]</f>
        <v>2237.6450463821893</v>
      </c>
      <c r="L94" s="127">
        <f>Table1[[#This Row],[Allocation]]/Table1[[#This Row],[Total Students]]</f>
        <v>4475.2900927643786</v>
      </c>
      <c r="M94" s="130">
        <f>IF(Table1[[#This Row],[Allocation]]&gt;Table1[[#This Row],[AdjPriorYear 
Expenditures]],100%, Table1[[#This Row],[Allocation]]/Table1[[#This Row],[AdjPriorYear 
Expenditures]])</f>
        <v>0.96087040346511943</v>
      </c>
      <c r="N94" s="127">
        <f>IF(Table1[[#This Row],[Percent Funded of Adjusted PYE]]=1,0,Table1[[#This Row],[AdjPriorYear 
Expenditures]]-Table1[[#This Row],[Allocation]])</f>
        <v>12278.929999999993</v>
      </c>
    </row>
    <row r="95" spans="1:14" x14ac:dyDescent="0.35">
      <c r="A95">
        <v>39203</v>
      </c>
      <c r="B95" t="s">
        <v>842</v>
      </c>
      <c r="C95" s="127">
        <v>775126.15</v>
      </c>
      <c r="D95" s="127">
        <v>851422.01</v>
      </c>
      <c r="E95" s="128">
        <v>941.25</v>
      </c>
      <c r="F95" s="128">
        <v>38.625</v>
      </c>
      <c r="G95" s="129">
        <v>976</v>
      </c>
      <c r="H95" s="128">
        <v>488</v>
      </c>
      <c r="I95" s="127">
        <f>Table1[[#This Row],[AdjPriorYear 
Expenditures]]/Table1[[#This Row],[Total Riders (AM/PM counts)]]</f>
        <v>794.18662909836064</v>
      </c>
      <c r="J95" s="165">
        <f>Table1[[#This Row],[AdjPriorYear 
Expenditures]]/Table1[[#This Row],[Total Students]]</f>
        <v>1588.3732581967213</v>
      </c>
      <c r="K95" s="127">
        <f>Table1[[#This Row],[Allocation]]/Table1[[#This Row],[Total Riders (AM/PM counts)]]</f>
        <v>872.35861680327866</v>
      </c>
      <c r="L95" s="127">
        <f>Table1[[#This Row],[Allocation]]/Table1[[#This Row],[Total Students]]</f>
        <v>1744.7172336065573</v>
      </c>
      <c r="M95" s="130">
        <f>IF(Table1[[#This Row],[Allocation]]&gt;Table1[[#This Row],[AdjPriorYear 
Expenditures]],100%, Table1[[#This Row],[Allocation]]/Table1[[#This Row],[AdjPriorYear 
Expenditures]])</f>
        <v>1</v>
      </c>
      <c r="N95" s="127">
        <f>IF(Table1[[#This Row],[Percent Funded of Adjusted PYE]]=1,0,Table1[[#This Row],[AdjPriorYear 
Expenditures]]-Table1[[#This Row],[Allocation]])</f>
        <v>0</v>
      </c>
    </row>
    <row r="96" spans="1:14" x14ac:dyDescent="0.35">
      <c r="A96">
        <v>17401</v>
      </c>
      <c r="B96" t="s">
        <v>843</v>
      </c>
      <c r="C96" s="127">
        <v>11546839.35</v>
      </c>
      <c r="D96" s="127">
        <v>8756086.9399999995</v>
      </c>
      <c r="E96" s="128">
        <v>7120.625</v>
      </c>
      <c r="F96" s="128">
        <v>1234.25</v>
      </c>
      <c r="G96" s="129">
        <v>8511.75</v>
      </c>
      <c r="H96" s="128">
        <v>4255.875</v>
      </c>
      <c r="I96" s="127">
        <f>Table1[[#This Row],[AdjPriorYear 
Expenditures]]/Table1[[#This Row],[Total Riders (AM/PM counts)]]</f>
        <v>1356.5764208300291</v>
      </c>
      <c r="J96" s="165">
        <f>Table1[[#This Row],[AdjPriorYear 
Expenditures]]/Table1[[#This Row],[Total Students]]</f>
        <v>2713.1528416600581</v>
      </c>
      <c r="K96" s="127">
        <f>Table1[[#This Row],[Allocation]]/Table1[[#This Row],[Total Riders (AM/PM counts)]]</f>
        <v>1028.705840749552</v>
      </c>
      <c r="L96" s="127">
        <f>Table1[[#This Row],[Allocation]]/Table1[[#This Row],[Total Students]]</f>
        <v>2057.4116814991039</v>
      </c>
      <c r="M96" s="130">
        <f>IF(Table1[[#This Row],[Allocation]]&gt;Table1[[#This Row],[AdjPriorYear 
Expenditures]],100%, Table1[[#This Row],[Allocation]]/Table1[[#This Row],[AdjPriorYear 
Expenditures]])</f>
        <v>0.75831027648271554</v>
      </c>
      <c r="N96" s="127">
        <f>IF(Table1[[#This Row],[Percent Funded of Adjusted PYE]]=1,0,Table1[[#This Row],[AdjPriorYear 
Expenditures]]-Table1[[#This Row],[Allocation]])</f>
        <v>2790752.41</v>
      </c>
    </row>
    <row r="97" spans="1:14" x14ac:dyDescent="0.35">
      <c r="A97">
        <v>6098</v>
      </c>
      <c r="B97" t="s">
        <v>844</v>
      </c>
      <c r="C97" s="127">
        <v>1548965.08</v>
      </c>
      <c r="D97" s="127">
        <v>1555823.08</v>
      </c>
      <c r="E97" s="128">
        <v>1709.875</v>
      </c>
      <c r="F97" s="128">
        <v>48.125</v>
      </c>
      <c r="G97" s="129">
        <v>1753.75</v>
      </c>
      <c r="H97" s="128">
        <v>876.875</v>
      </c>
      <c r="I97" s="127">
        <f>Table1[[#This Row],[AdjPriorYear 
Expenditures]]/Table1[[#This Row],[Total Riders (AM/PM counts)]]</f>
        <v>883.23026657163223</v>
      </c>
      <c r="J97" s="165">
        <f>Table1[[#This Row],[AdjPriorYear 
Expenditures]]/Table1[[#This Row],[Total Students]]</f>
        <v>1766.4605331432645</v>
      </c>
      <c r="K97" s="127">
        <f>Table1[[#This Row],[Allocation]]/Table1[[#This Row],[Total Riders (AM/PM counts)]]</f>
        <v>887.14074411974343</v>
      </c>
      <c r="L97" s="127">
        <f>Table1[[#This Row],[Allocation]]/Table1[[#This Row],[Total Students]]</f>
        <v>1774.2814882394869</v>
      </c>
      <c r="M97" s="130">
        <f>IF(Table1[[#This Row],[Allocation]]&gt;Table1[[#This Row],[AdjPriorYear 
Expenditures]],100%, Table1[[#This Row],[Allocation]]/Table1[[#This Row],[AdjPriorYear 
Expenditures]])</f>
        <v>1</v>
      </c>
      <c r="N97" s="127">
        <f>IF(Table1[[#This Row],[Percent Funded of Adjusted PYE]]=1,0,Table1[[#This Row],[AdjPriorYear 
Expenditures]]-Table1[[#This Row],[Allocation]])</f>
        <v>0</v>
      </c>
    </row>
    <row r="98" spans="1:14" x14ac:dyDescent="0.35">
      <c r="A98">
        <v>23404</v>
      </c>
      <c r="B98" t="s">
        <v>845</v>
      </c>
      <c r="C98" s="127">
        <v>512192.5</v>
      </c>
      <c r="D98" s="127">
        <v>613584.49</v>
      </c>
      <c r="E98" s="128">
        <v>276.375</v>
      </c>
      <c r="F98" s="128">
        <v>14.625</v>
      </c>
      <c r="G98" s="129">
        <v>299.25</v>
      </c>
      <c r="H98" s="128">
        <v>149.625</v>
      </c>
      <c r="I98" s="127">
        <f>Table1[[#This Row],[AdjPriorYear 
Expenditures]]/Table1[[#This Row],[Total Riders (AM/PM counts)]]</f>
        <v>1711.5873015873017</v>
      </c>
      <c r="J98" s="165">
        <f>Table1[[#This Row],[AdjPriorYear 
Expenditures]]/Table1[[#This Row],[Total Students]]</f>
        <v>3423.1746031746034</v>
      </c>
      <c r="K98" s="127">
        <f>Table1[[#This Row],[Allocation]]/Table1[[#This Row],[Total Riders (AM/PM counts)]]</f>
        <v>2050.4076524644947</v>
      </c>
      <c r="L98" s="127">
        <f>Table1[[#This Row],[Allocation]]/Table1[[#This Row],[Total Students]]</f>
        <v>4100.8153049289895</v>
      </c>
      <c r="M98" s="130">
        <f>IF(Table1[[#This Row],[Allocation]]&gt;Table1[[#This Row],[AdjPriorYear 
Expenditures]],100%, Table1[[#This Row],[Allocation]]/Table1[[#This Row],[AdjPriorYear 
Expenditures]])</f>
        <v>1</v>
      </c>
      <c r="N98" s="127">
        <f>IF(Table1[[#This Row],[Percent Funded of Adjusted PYE]]=1,0,Table1[[#This Row],[AdjPriorYear 
Expenditures]]-Table1[[#This Row],[Allocation]])</f>
        <v>0</v>
      </c>
    </row>
    <row r="99" spans="1:14" x14ac:dyDescent="0.35">
      <c r="A99">
        <v>14028</v>
      </c>
      <c r="B99" t="s">
        <v>846</v>
      </c>
      <c r="C99" s="127">
        <v>1458454.8199999998</v>
      </c>
      <c r="D99" s="127">
        <v>1245693.7300000002</v>
      </c>
      <c r="E99" s="128">
        <v>766.25</v>
      </c>
      <c r="F99" s="128">
        <v>56.375</v>
      </c>
      <c r="G99" s="129">
        <v>818.5</v>
      </c>
      <c r="H99" s="128">
        <v>409.25</v>
      </c>
      <c r="I99" s="127">
        <f>Table1[[#This Row],[AdjPriorYear 
Expenditures]]/Table1[[#This Row],[Total Riders (AM/PM counts)]]</f>
        <v>1781.8629444105068</v>
      </c>
      <c r="J99" s="165">
        <f>Table1[[#This Row],[AdjPriorYear 
Expenditures]]/Table1[[#This Row],[Total Students]]</f>
        <v>3563.7258888210135</v>
      </c>
      <c r="K99" s="127">
        <f>Table1[[#This Row],[Allocation]]/Table1[[#This Row],[Total Riders (AM/PM counts)]]</f>
        <v>1521.9227000610877</v>
      </c>
      <c r="L99" s="127">
        <f>Table1[[#This Row],[Allocation]]/Table1[[#This Row],[Total Students]]</f>
        <v>3043.8454001221753</v>
      </c>
      <c r="M99" s="130">
        <f>IF(Table1[[#This Row],[Allocation]]&gt;Table1[[#This Row],[AdjPriorYear 
Expenditures]],100%, Table1[[#This Row],[Allocation]]/Table1[[#This Row],[AdjPriorYear 
Expenditures]])</f>
        <v>0.85411883379424836</v>
      </c>
      <c r="N99" s="127">
        <f>IF(Table1[[#This Row],[Percent Funded of Adjusted PYE]]=1,0,Table1[[#This Row],[AdjPriorYear 
Expenditures]]-Table1[[#This Row],[Allocation]])</f>
        <v>212761.08999999962</v>
      </c>
    </row>
    <row r="100" spans="1:14" x14ac:dyDescent="0.35">
      <c r="A100">
        <v>31063</v>
      </c>
      <c r="B100" t="s">
        <v>847</v>
      </c>
      <c r="C100" s="127">
        <v>91340.17</v>
      </c>
      <c r="D100" s="127">
        <v>129166.69000000002</v>
      </c>
      <c r="E100" s="128">
        <v>20.25</v>
      </c>
      <c r="F100" s="128">
        <v>0</v>
      </c>
      <c r="G100" s="129">
        <v>20.25</v>
      </c>
      <c r="H100" s="128">
        <v>10.125</v>
      </c>
      <c r="I100" s="127">
        <f>Table1[[#This Row],[AdjPriorYear 
Expenditures]]/Table1[[#This Row],[Total Riders (AM/PM counts)]]</f>
        <v>4510.6256790123452</v>
      </c>
      <c r="J100" s="165">
        <f>Table1[[#This Row],[AdjPriorYear 
Expenditures]]/Table1[[#This Row],[Total Students]]</f>
        <v>9021.2513580246905</v>
      </c>
      <c r="K100" s="127">
        <f>Table1[[#This Row],[Allocation]]/Table1[[#This Row],[Total Riders (AM/PM counts)]]</f>
        <v>6378.601975308643</v>
      </c>
      <c r="L100" s="127">
        <f>Table1[[#This Row],[Allocation]]/Table1[[#This Row],[Total Students]]</f>
        <v>12757.203950617286</v>
      </c>
      <c r="M100" s="130">
        <f>IF(Table1[[#This Row],[Allocation]]&gt;Table1[[#This Row],[AdjPriorYear 
Expenditures]],100%, Table1[[#This Row],[Allocation]]/Table1[[#This Row],[AdjPriorYear 
Expenditures]])</f>
        <v>1</v>
      </c>
      <c r="N100" s="127">
        <f>IF(Table1[[#This Row],[Percent Funded of Adjusted PYE]]=1,0,Table1[[#This Row],[AdjPriorYear 
Expenditures]]-Table1[[#This Row],[Allocation]])</f>
        <v>0</v>
      </c>
    </row>
    <row r="101" spans="1:14" x14ac:dyDescent="0.35">
      <c r="A101">
        <v>17411</v>
      </c>
      <c r="B101" t="s">
        <v>848</v>
      </c>
      <c r="C101" s="127">
        <v>14416260.030000001</v>
      </c>
      <c r="D101" s="127">
        <v>14494010.479999999</v>
      </c>
      <c r="E101" s="128">
        <v>14537.75</v>
      </c>
      <c r="F101" s="128">
        <v>379.875</v>
      </c>
      <c r="G101" s="129">
        <v>14938.25</v>
      </c>
      <c r="H101" s="128">
        <v>7469.125</v>
      </c>
      <c r="I101" s="127">
        <f>Table1[[#This Row],[AdjPriorYear 
Expenditures]]/Table1[[#This Row],[Total Riders (AM/PM counts)]]</f>
        <v>965.05681923920145</v>
      </c>
      <c r="J101" s="165">
        <f>Table1[[#This Row],[AdjPriorYear 
Expenditures]]/Table1[[#This Row],[Total Students]]</f>
        <v>1930.1136384784029</v>
      </c>
      <c r="K101" s="127">
        <f>Table1[[#This Row],[Allocation]]/Table1[[#This Row],[Total Riders (AM/PM counts)]]</f>
        <v>970.26160895687235</v>
      </c>
      <c r="L101" s="127">
        <f>Table1[[#This Row],[Allocation]]/Table1[[#This Row],[Total Students]]</f>
        <v>1940.5232179137447</v>
      </c>
      <c r="M101" s="130">
        <f>IF(Table1[[#This Row],[Allocation]]&gt;Table1[[#This Row],[AdjPriorYear 
Expenditures]],100%, Table1[[#This Row],[Allocation]]/Table1[[#This Row],[AdjPriorYear 
Expenditures]])</f>
        <v>1</v>
      </c>
      <c r="N101" s="127">
        <f>IF(Table1[[#This Row],[Percent Funded of Adjusted PYE]]=1,0,Table1[[#This Row],[AdjPriorYear 
Expenditures]]-Table1[[#This Row],[Allocation]])</f>
        <v>0</v>
      </c>
    </row>
    <row r="102" spans="1:14" x14ac:dyDescent="0.35">
      <c r="A102">
        <v>11056</v>
      </c>
      <c r="B102" t="s">
        <v>849</v>
      </c>
      <c r="C102" s="127">
        <v>92769.3</v>
      </c>
      <c r="D102" s="127">
        <v>97517.81</v>
      </c>
      <c r="E102" s="128">
        <v>45.5</v>
      </c>
      <c r="F102" s="128">
        <v>0</v>
      </c>
      <c r="G102" s="129">
        <v>45.5</v>
      </c>
      <c r="H102" s="128">
        <v>22.75</v>
      </c>
      <c r="I102" s="127">
        <f>Table1[[#This Row],[AdjPriorYear 
Expenditures]]/Table1[[#This Row],[Total Riders (AM/PM counts)]]</f>
        <v>2038.8857142857144</v>
      </c>
      <c r="J102" s="165">
        <f>Table1[[#This Row],[AdjPriorYear 
Expenditures]]/Table1[[#This Row],[Total Students]]</f>
        <v>4077.7714285714287</v>
      </c>
      <c r="K102" s="127">
        <f>Table1[[#This Row],[Allocation]]/Table1[[#This Row],[Total Riders (AM/PM counts)]]</f>
        <v>2143.2485714285713</v>
      </c>
      <c r="L102" s="127">
        <f>Table1[[#This Row],[Allocation]]/Table1[[#This Row],[Total Students]]</f>
        <v>4286.4971428571425</v>
      </c>
      <c r="M102" s="130">
        <f>IF(Table1[[#This Row],[Allocation]]&gt;Table1[[#This Row],[AdjPriorYear 
Expenditures]],100%, Table1[[#This Row],[Allocation]]/Table1[[#This Row],[AdjPriorYear 
Expenditures]])</f>
        <v>1</v>
      </c>
      <c r="N102" s="127">
        <f>IF(Table1[[#This Row],[Percent Funded of Adjusted PYE]]=1,0,Table1[[#This Row],[AdjPriorYear 
Expenditures]]-Table1[[#This Row],[Allocation]])</f>
        <v>0</v>
      </c>
    </row>
    <row r="103" spans="1:14" x14ac:dyDescent="0.35">
      <c r="A103">
        <v>10003</v>
      </c>
      <c r="B103" t="s">
        <v>850</v>
      </c>
      <c r="C103" s="127">
        <v>214368.28</v>
      </c>
      <c r="D103" s="127">
        <v>170909</v>
      </c>
      <c r="E103" s="128">
        <v>53.125</v>
      </c>
      <c r="F103" s="128">
        <v>0</v>
      </c>
      <c r="G103" s="129">
        <v>57</v>
      </c>
      <c r="H103" s="128">
        <v>28.5</v>
      </c>
      <c r="I103" s="127">
        <f>Table1[[#This Row],[AdjPriorYear 
Expenditures]]/Table1[[#This Row],[Total Riders (AM/PM counts)]]</f>
        <v>3760.8470175438597</v>
      </c>
      <c r="J103" s="165">
        <f>Table1[[#This Row],[AdjPriorYear 
Expenditures]]/Table1[[#This Row],[Total Students]]</f>
        <v>7521.6940350877194</v>
      </c>
      <c r="K103" s="127">
        <f>Table1[[#This Row],[Allocation]]/Table1[[#This Row],[Total Riders (AM/PM counts)]]</f>
        <v>2998.4035087719299</v>
      </c>
      <c r="L103" s="127">
        <f>Table1[[#This Row],[Allocation]]/Table1[[#This Row],[Total Students]]</f>
        <v>5996.8070175438597</v>
      </c>
      <c r="M103" s="130">
        <f>IF(Table1[[#This Row],[Allocation]]&gt;Table1[[#This Row],[AdjPriorYear 
Expenditures]],100%, Table1[[#This Row],[Allocation]]/Table1[[#This Row],[AdjPriorYear 
Expenditures]])</f>
        <v>0.79726814060363782</v>
      </c>
      <c r="N103" s="127">
        <f>IF(Table1[[#This Row],[Percent Funded of Adjusted PYE]]=1,0,Table1[[#This Row],[AdjPriorYear 
Expenditures]]-Table1[[#This Row],[Allocation]])</f>
        <v>43459.28</v>
      </c>
    </row>
    <row r="104" spans="1:14" x14ac:dyDescent="0.35">
      <c r="A104">
        <v>8458</v>
      </c>
      <c r="B104" t="s">
        <v>851</v>
      </c>
      <c r="C104" s="127">
        <v>2784311.3699999996</v>
      </c>
      <c r="D104" s="127">
        <v>2816793.1799999997</v>
      </c>
      <c r="E104" s="128">
        <v>3380.125</v>
      </c>
      <c r="F104" s="128">
        <v>172.5</v>
      </c>
      <c r="G104" s="129">
        <v>3566.625</v>
      </c>
      <c r="H104" s="128">
        <v>1783.3125</v>
      </c>
      <c r="I104" s="127">
        <f>Table1[[#This Row],[AdjPriorYear 
Expenditures]]/Table1[[#This Row],[Total Riders (AM/PM counts)]]</f>
        <v>780.65716749027433</v>
      </c>
      <c r="J104" s="165">
        <f>Table1[[#This Row],[AdjPriorYear 
Expenditures]]/Table1[[#This Row],[Total Students]]</f>
        <v>1561.3143349805487</v>
      </c>
      <c r="K104" s="127">
        <f>Table1[[#This Row],[Allocation]]/Table1[[#This Row],[Total Riders (AM/PM counts)]]</f>
        <v>789.7643234149931</v>
      </c>
      <c r="L104" s="127">
        <f>Table1[[#This Row],[Allocation]]/Table1[[#This Row],[Total Students]]</f>
        <v>1579.5286468299862</v>
      </c>
      <c r="M104" s="130">
        <f>IF(Table1[[#This Row],[Allocation]]&gt;Table1[[#This Row],[AdjPriorYear 
Expenditures]],100%, Table1[[#This Row],[Allocation]]/Table1[[#This Row],[AdjPriorYear 
Expenditures]])</f>
        <v>1</v>
      </c>
      <c r="N104" s="127">
        <f>IF(Table1[[#This Row],[Percent Funded of Adjusted PYE]]=1,0,Table1[[#This Row],[AdjPriorYear 
Expenditures]]-Table1[[#This Row],[Allocation]])</f>
        <v>0</v>
      </c>
    </row>
    <row r="105" spans="1:14" x14ac:dyDescent="0.35">
      <c r="A105">
        <v>3017</v>
      </c>
      <c r="B105" t="s">
        <v>852</v>
      </c>
      <c r="C105" s="127">
        <v>10614341.49</v>
      </c>
      <c r="D105" s="127">
        <v>10766763.100000001</v>
      </c>
      <c r="E105" s="128">
        <v>8667.25</v>
      </c>
      <c r="F105" s="128">
        <v>1574.25</v>
      </c>
      <c r="G105" s="129">
        <v>10655.5</v>
      </c>
      <c r="H105" s="128">
        <v>5327.75</v>
      </c>
      <c r="I105" s="127">
        <f>Table1[[#This Row],[AdjPriorYear 
Expenditures]]/Table1[[#This Row],[Total Riders (AM/PM counts)]]</f>
        <v>996.13734597156395</v>
      </c>
      <c r="J105" s="165">
        <f>Table1[[#This Row],[AdjPriorYear 
Expenditures]]/Table1[[#This Row],[Total Students]]</f>
        <v>1992.2746919431279</v>
      </c>
      <c r="K105" s="127">
        <f>Table1[[#This Row],[Allocation]]/Table1[[#This Row],[Total Riders (AM/PM counts)]]</f>
        <v>1010.4418469335086</v>
      </c>
      <c r="L105" s="127">
        <f>Table1[[#This Row],[Allocation]]/Table1[[#This Row],[Total Students]]</f>
        <v>2020.8836938670172</v>
      </c>
      <c r="M105" s="130">
        <f>IF(Table1[[#This Row],[Allocation]]&gt;Table1[[#This Row],[AdjPriorYear 
Expenditures]],100%, Table1[[#This Row],[Allocation]]/Table1[[#This Row],[AdjPriorYear 
Expenditures]])</f>
        <v>1</v>
      </c>
      <c r="N105" s="127">
        <f>IF(Table1[[#This Row],[Percent Funded of Adjusted PYE]]=1,0,Table1[[#This Row],[AdjPriorYear 
Expenditures]]-Table1[[#This Row],[Allocation]])</f>
        <v>0</v>
      </c>
    </row>
    <row r="106" spans="1:14" x14ac:dyDescent="0.35">
      <c r="A106">
        <v>17415</v>
      </c>
      <c r="B106" t="s">
        <v>853</v>
      </c>
      <c r="C106" s="127">
        <v>17284128.750000004</v>
      </c>
      <c r="D106" s="127">
        <v>16550264.590000002</v>
      </c>
      <c r="E106" s="128">
        <v>15300.375</v>
      </c>
      <c r="F106" s="128">
        <v>1095.125</v>
      </c>
      <c r="G106" s="129">
        <v>16340.25</v>
      </c>
      <c r="H106" s="128">
        <v>8170.125</v>
      </c>
      <c r="I106" s="127">
        <f>Table1[[#This Row],[AdjPriorYear 
Expenditures]]/Table1[[#This Row],[Total Riders (AM/PM counts)]]</f>
        <v>1057.7640335980175</v>
      </c>
      <c r="J106" s="165">
        <f>Table1[[#This Row],[AdjPriorYear 
Expenditures]]/Table1[[#This Row],[Total Students]]</f>
        <v>2115.528067196035</v>
      </c>
      <c r="K106" s="127">
        <f>Table1[[#This Row],[Allocation]]/Table1[[#This Row],[Total Riders (AM/PM counts)]]</f>
        <v>1012.8525934425729</v>
      </c>
      <c r="L106" s="127">
        <f>Table1[[#This Row],[Allocation]]/Table1[[#This Row],[Total Students]]</f>
        <v>2025.7051868851458</v>
      </c>
      <c r="M106" s="130">
        <f>IF(Table1[[#This Row],[Allocation]]&gt;Table1[[#This Row],[AdjPriorYear 
Expenditures]],100%, Table1[[#This Row],[Allocation]]/Table1[[#This Row],[AdjPriorYear 
Expenditures]])</f>
        <v>0.95754115404862383</v>
      </c>
      <c r="N106" s="127">
        <f>IF(Table1[[#This Row],[Percent Funded of Adjusted PYE]]=1,0,Table1[[#This Row],[AdjPriorYear 
Expenditures]]-Table1[[#This Row],[Allocation]])</f>
        <v>733864.16000000201</v>
      </c>
    </row>
    <row r="107" spans="1:14" x14ac:dyDescent="0.35">
      <c r="A107">
        <v>33212</v>
      </c>
      <c r="B107" t="s">
        <v>854</v>
      </c>
      <c r="C107" s="127">
        <v>887751.75</v>
      </c>
      <c r="D107" s="127">
        <v>973177.78</v>
      </c>
      <c r="E107" s="128">
        <v>483.625</v>
      </c>
      <c r="F107" s="128">
        <v>0</v>
      </c>
      <c r="G107" s="129">
        <v>488.625</v>
      </c>
      <c r="H107" s="128">
        <v>244.3125</v>
      </c>
      <c r="I107" s="127">
        <f>Table1[[#This Row],[AdjPriorYear 
Expenditures]]/Table1[[#This Row],[Total Riders (AM/PM counts)]]</f>
        <v>1816.8365310821182</v>
      </c>
      <c r="J107" s="165">
        <f>Table1[[#This Row],[AdjPriorYear 
Expenditures]]/Table1[[#This Row],[Total Students]]</f>
        <v>3633.6730621642364</v>
      </c>
      <c r="K107" s="127">
        <f>Table1[[#This Row],[Allocation]]/Table1[[#This Row],[Total Riders (AM/PM counts)]]</f>
        <v>1991.6659606037351</v>
      </c>
      <c r="L107" s="127">
        <f>Table1[[#This Row],[Allocation]]/Table1[[#This Row],[Total Students]]</f>
        <v>3983.3319212074703</v>
      </c>
      <c r="M107" s="130">
        <f>IF(Table1[[#This Row],[Allocation]]&gt;Table1[[#This Row],[AdjPriorYear 
Expenditures]],100%, Table1[[#This Row],[Allocation]]/Table1[[#This Row],[AdjPriorYear 
Expenditures]])</f>
        <v>1</v>
      </c>
      <c r="N107" s="127">
        <f>IF(Table1[[#This Row],[Percent Funded of Adjusted PYE]]=1,0,Table1[[#This Row],[AdjPriorYear 
Expenditures]]-Table1[[#This Row],[Allocation]])</f>
        <v>0</v>
      </c>
    </row>
    <row r="108" spans="1:14" x14ac:dyDescent="0.35">
      <c r="A108">
        <v>3052</v>
      </c>
      <c r="B108" t="s">
        <v>855</v>
      </c>
      <c r="C108" s="127">
        <v>789663.09</v>
      </c>
      <c r="D108" s="127">
        <v>818400.64</v>
      </c>
      <c r="E108" s="128">
        <v>808.75</v>
      </c>
      <c r="F108" s="128">
        <v>18.625</v>
      </c>
      <c r="G108" s="129">
        <v>830.75</v>
      </c>
      <c r="H108" s="128">
        <v>415.375</v>
      </c>
      <c r="I108" s="127">
        <f>Table1[[#This Row],[AdjPriorYear 
Expenditures]]/Table1[[#This Row],[Total Riders (AM/PM counts)]]</f>
        <v>950.5423894071622</v>
      </c>
      <c r="J108" s="165">
        <f>Table1[[#This Row],[AdjPriorYear 
Expenditures]]/Table1[[#This Row],[Total Students]]</f>
        <v>1901.0847788143244</v>
      </c>
      <c r="K108" s="127">
        <f>Table1[[#This Row],[Allocation]]/Table1[[#This Row],[Total Riders (AM/PM counts)]]</f>
        <v>985.13468552512791</v>
      </c>
      <c r="L108" s="127">
        <f>Table1[[#This Row],[Allocation]]/Table1[[#This Row],[Total Students]]</f>
        <v>1970.2693710502558</v>
      </c>
      <c r="M108" s="130">
        <f>IF(Table1[[#This Row],[Allocation]]&gt;Table1[[#This Row],[AdjPriorYear 
Expenditures]],100%, Table1[[#This Row],[Allocation]]/Table1[[#This Row],[AdjPriorYear 
Expenditures]])</f>
        <v>1</v>
      </c>
      <c r="N108" s="127">
        <f>IF(Table1[[#This Row],[Percent Funded of Adjusted PYE]]=1,0,Table1[[#This Row],[AdjPriorYear 
Expenditures]]-Table1[[#This Row],[Allocation]])</f>
        <v>0</v>
      </c>
    </row>
    <row r="109" spans="1:14" x14ac:dyDescent="0.35">
      <c r="A109">
        <v>19403</v>
      </c>
      <c r="B109" t="s">
        <v>856</v>
      </c>
      <c r="C109" s="127">
        <v>388746.63</v>
      </c>
      <c r="D109" s="127">
        <v>420326.70999999996</v>
      </c>
      <c r="E109" s="128">
        <v>268.625</v>
      </c>
      <c r="F109" s="128">
        <v>13.875</v>
      </c>
      <c r="G109" s="129">
        <v>277.125</v>
      </c>
      <c r="H109" s="128">
        <v>138.5625</v>
      </c>
      <c r="I109" s="127">
        <f>Table1[[#This Row],[AdjPriorYear 
Expenditures]]/Table1[[#This Row],[Total Riders (AM/PM counts)]]</f>
        <v>1402.7844113667118</v>
      </c>
      <c r="J109" s="165">
        <f>Table1[[#This Row],[AdjPriorYear 
Expenditures]]/Table1[[#This Row],[Total Students]]</f>
        <v>2805.5688227334235</v>
      </c>
      <c r="K109" s="127">
        <f>Table1[[#This Row],[Allocation]]/Table1[[#This Row],[Total Riders (AM/PM counts)]]</f>
        <v>1516.74049616599</v>
      </c>
      <c r="L109" s="127">
        <f>Table1[[#This Row],[Allocation]]/Table1[[#This Row],[Total Students]]</f>
        <v>3033.4809923319799</v>
      </c>
      <c r="M109" s="130">
        <f>IF(Table1[[#This Row],[Allocation]]&gt;Table1[[#This Row],[AdjPriorYear 
Expenditures]],100%, Table1[[#This Row],[Allocation]]/Table1[[#This Row],[AdjPriorYear 
Expenditures]])</f>
        <v>1</v>
      </c>
      <c r="N109" s="127">
        <f>IF(Table1[[#This Row],[Percent Funded of Adjusted PYE]]=1,0,Table1[[#This Row],[AdjPriorYear 
Expenditures]]-Table1[[#This Row],[Allocation]])</f>
        <v>0</v>
      </c>
    </row>
    <row r="110" spans="1:14" x14ac:dyDescent="0.35">
      <c r="A110">
        <v>29311</v>
      </c>
      <c r="B110" t="s">
        <v>857</v>
      </c>
      <c r="C110" s="127">
        <v>447067.55000000005</v>
      </c>
      <c r="D110" s="127">
        <v>468784.8</v>
      </c>
      <c r="E110" s="128">
        <v>243.125</v>
      </c>
      <c r="F110" s="128">
        <v>19.5</v>
      </c>
      <c r="G110" s="129">
        <v>256.5</v>
      </c>
      <c r="H110" s="128">
        <v>128.25</v>
      </c>
      <c r="I110" s="127">
        <f>Table1[[#This Row],[AdjPriorYear 
Expenditures]]/Table1[[#This Row],[Total Riders (AM/PM counts)]]</f>
        <v>1742.9534113060431</v>
      </c>
      <c r="J110" s="165">
        <f>Table1[[#This Row],[AdjPriorYear 
Expenditures]]/Table1[[#This Row],[Total Students]]</f>
        <v>3485.9068226120862</v>
      </c>
      <c r="K110" s="127">
        <f>Table1[[#This Row],[Allocation]]/Table1[[#This Row],[Total Riders (AM/PM counts)]]</f>
        <v>1827.621052631579</v>
      </c>
      <c r="L110" s="127">
        <f>Table1[[#This Row],[Allocation]]/Table1[[#This Row],[Total Students]]</f>
        <v>3655.242105263158</v>
      </c>
      <c r="M110" s="130">
        <f>IF(Table1[[#This Row],[Allocation]]&gt;Table1[[#This Row],[AdjPriorYear 
Expenditures]],100%, Table1[[#This Row],[Allocation]]/Table1[[#This Row],[AdjPriorYear 
Expenditures]])</f>
        <v>1</v>
      </c>
      <c r="N110" s="127">
        <f>IF(Table1[[#This Row],[Percent Funded of Adjusted PYE]]=1,0,Table1[[#This Row],[AdjPriorYear 
Expenditures]]-Table1[[#This Row],[Allocation]])</f>
        <v>0</v>
      </c>
    </row>
    <row r="111" spans="1:14" x14ac:dyDescent="0.35">
      <c r="A111">
        <v>38126</v>
      </c>
      <c r="B111" t="s">
        <v>858</v>
      </c>
      <c r="C111" s="127">
        <v>315908.77999999997</v>
      </c>
      <c r="D111" s="127">
        <v>298475.12000000005</v>
      </c>
      <c r="E111" s="128">
        <v>40.375</v>
      </c>
      <c r="F111" s="128">
        <v>0</v>
      </c>
      <c r="G111" s="129">
        <v>40.375</v>
      </c>
      <c r="H111" s="128">
        <v>20.1875</v>
      </c>
      <c r="I111" s="127">
        <f>Table1[[#This Row],[AdjPriorYear 
Expenditures]]/Table1[[#This Row],[Total Riders (AM/PM counts)]]</f>
        <v>7824.3660681114543</v>
      </c>
      <c r="J111" s="165">
        <f>Table1[[#This Row],[AdjPriorYear 
Expenditures]]/Table1[[#This Row],[Total Students]]</f>
        <v>15648.732136222909</v>
      </c>
      <c r="K111" s="127">
        <f>Table1[[#This Row],[Allocation]]/Table1[[#This Row],[Total Riders (AM/PM counts)]]</f>
        <v>7392.5726315789489</v>
      </c>
      <c r="L111" s="127">
        <f>Table1[[#This Row],[Allocation]]/Table1[[#This Row],[Total Students]]</f>
        <v>14785.145263157898</v>
      </c>
      <c r="M111" s="130">
        <f>IF(Table1[[#This Row],[Allocation]]&gt;Table1[[#This Row],[AdjPriorYear 
Expenditures]],100%, Table1[[#This Row],[Allocation]]/Table1[[#This Row],[AdjPriorYear 
Expenditures]])</f>
        <v>0.94481425935676777</v>
      </c>
      <c r="N111" s="127">
        <f>IF(Table1[[#This Row],[Percent Funded of Adjusted PYE]]=1,0,Table1[[#This Row],[AdjPriorYear 
Expenditures]]-Table1[[#This Row],[Allocation]])</f>
        <v>17433.659999999916</v>
      </c>
    </row>
    <row r="112" spans="1:14" x14ac:dyDescent="0.35">
      <c r="A112">
        <v>4129</v>
      </c>
      <c r="B112" t="s">
        <v>859</v>
      </c>
      <c r="C112" s="127">
        <v>861614.45000000007</v>
      </c>
      <c r="D112" s="127">
        <v>1016274.42</v>
      </c>
      <c r="E112" s="128">
        <v>806.25</v>
      </c>
      <c r="F112" s="128">
        <v>31.5</v>
      </c>
      <c r="G112" s="129">
        <v>842</v>
      </c>
      <c r="H112" s="128">
        <v>421</v>
      </c>
      <c r="I112" s="127">
        <f>Table1[[#This Row],[AdjPriorYear 
Expenditures]]/Table1[[#This Row],[Total Riders (AM/PM counts)]]</f>
        <v>1023.2950712589075</v>
      </c>
      <c r="J112" s="165">
        <f>Table1[[#This Row],[AdjPriorYear 
Expenditures]]/Table1[[#This Row],[Total Students]]</f>
        <v>2046.5901425178149</v>
      </c>
      <c r="K112" s="127">
        <f>Table1[[#This Row],[Allocation]]/Table1[[#This Row],[Total Riders (AM/PM counts)]]</f>
        <v>1206.9767458432304</v>
      </c>
      <c r="L112" s="127">
        <f>Table1[[#This Row],[Allocation]]/Table1[[#This Row],[Total Students]]</f>
        <v>2413.9534916864609</v>
      </c>
      <c r="M112" s="130">
        <f>IF(Table1[[#This Row],[Allocation]]&gt;Table1[[#This Row],[AdjPriorYear 
Expenditures]],100%, Table1[[#This Row],[Allocation]]/Table1[[#This Row],[AdjPriorYear 
Expenditures]])</f>
        <v>1</v>
      </c>
      <c r="N112" s="127">
        <f>IF(Table1[[#This Row],[Percent Funded of Adjusted PYE]]=1,0,Table1[[#This Row],[AdjPriorYear 
Expenditures]]-Table1[[#This Row],[Allocation]])</f>
        <v>0</v>
      </c>
    </row>
    <row r="113" spans="1:14" x14ac:dyDescent="0.35">
      <c r="A113">
        <v>14097</v>
      </c>
      <c r="B113" t="s">
        <v>860</v>
      </c>
      <c r="C113" s="127">
        <v>265449.8</v>
      </c>
      <c r="D113" s="127">
        <v>250142.28</v>
      </c>
      <c r="E113" s="128">
        <v>255</v>
      </c>
      <c r="F113" s="128">
        <v>22.125</v>
      </c>
      <c r="G113" s="129">
        <v>286.125</v>
      </c>
      <c r="H113" s="128">
        <v>143.0625</v>
      </c>
      <c r="I113" s="127">
        <f>Table1[[#This Row],[AdjPriorYear 
Expenditures]]/Table1[[#This Row],[Total Riders (AM/PM counts)]]</f>
        <v>927.74067278287453</v>
      </c>
      <c r="J113" s="165">
        <f>Table1[[#This Row],[AdjPriorYear 
Expenditures]]/Table1[[#This Row],[Total Students]]</f>
        <v>1855.4813455657491</v>
      </c>
      <c r="K113" s="127">
        <f>Table1[[#This Row],[Allocation]]/Table1[[#This Row],[Total Riders (AM/PM counts)]]</f>
        <v>874.24125819134997</v>
      </c>
      <c r="L113" s="127">
        <f>Table1[[#This Row],[Allocation]]/Table1[[#This Row],[Total Students]]</f>
        <v>1748.4825163826999</v>
      </c>
      <c r="M113" s="130">
        <f>IF(Table1[[#This Row],[Allocation]]&gt;Table1[[#This Row],[AdjPriorYear 
Expenditures]],100%, Table1[[#This Row],[Allocation]]/Table1[[#This Row],[AdjPriorYear 
Expenditures]])</f>
        <v>0.94233365404682923</v>
      </c>
      <c r="N113" s="127">
        <f>IF(Table1[[#This Row],[Percent Funded of Adjusted PYE]]=1,0,Table1[[#This Row],[AdjPriorYear 
Expenditures]]-Table1[[#This Row],[Allocation]])</f>
        <v>15307.51999999999</v>
      </c>
    </row>
    <row r="114" spans="1:14" x14ac:dyDescent="0.35">
      <c r="A114">
        <v>31004</v>
      </c>
      <c r="B114" t="s">
        <v>861</v>
      </c>
      <c r="C114" s="127">
        <v>8787596.9400000013</v>
      </c>
      <c r="D114" s="127">
        <v>6585553.25</v>
      </c>
      <c r="E114" s="128">
        <v>8486.625</v>
      </c>
      <c r="F114" s="128">
        <v>461.375</v>
      </c>
      <c r="G114" s="129">
        <v>9138.5</v>
      </c>
      <c r="H114" s="128">
        <v>4569.25</v>
      </c>
      <c r="I114" s="127">
        <f>Table1[[#This Row],[AdjPriorYear 
Expenditures]]/Table1[[#This Row],[Total Riders (AM/PM counts)]]</f>
        <v>961.60167861246384</v>
      </c>
      <c r="J114" s="165">
        <f>Table1[[#This Row],[AdjPriorYear 
Expenditures]]/Table1[[#This Row],[Total Students]]</f>
        <v>1923.2033572249277</v>
      </c>
      <c r="K114" s="127">
        <f>Table1[[#This Row],[Allocation]]/Table1[[#This Row],[Total Riders (AM/PM counts)]]</f>
        <v>720.63831591617884</v>
      </c>
      <c r="L114" s="127">
        <f>Table1[[#This Row],[Allocation]]/Table1[[#This Row],[Total Students]]</f>
        <v>1441.2766318323577</v>
      </c>
      <c r="M114" s="130">
        <f>IF(Table1[[#This Row],[Allocation]]&gt;Table1[[#This Row],[AdjPriorYear 
Expenditures]],100%, Table1[[#This Row],[Allocation]]/Table1[[#This Row],[AdjPriorYear 
Expenditures]])</f>
        <v>0.74941457772413478</v>
      </c>
      <c r="N114" s="127">
        <f>IF(Table1[[#This Row],[Percent Funded of Adjusted PYE]]=1,0,Table1[[#This Row],[AdjPriorYear 
Expenditures]]-Table1[[#This Row],[Allocation]])</f>
        <v>2202043.6900000013</v>
      </c>
    </row>
    <row r="115" spans="1:14" x14ac:dyDescent="0.35">
      <c r="A115">
        <v>17414</v>
      </c>
      <c r="B115" t="s">
        <v>862</v>
      </c>
      <c r="C115" s="127">
        <v>18133817.780000001</v>
      </c>
      <c r="D115" s="127">
        <v>17267469.18</v>
      </c>
      <c r="E115" s="128">
        <v>13657.5</v>
      </c>
      <c r="F115" s="128">
        <v>999.375</v>
      </c>
      <c r="G115" s="129">
        <v>14729.25</v>
      </c>
      <c r="H115" s="128">
        <v>7364.625</v>
      </c>
      <c r="I115" s="127">
        <f>Table1[[#This Row],[AdjPriorYear 
Expenditures]]/Table1[[#This Row],[Total Riders (AM/PM counts)]]</f>
        <v>1231.1433223008639</v>
      </c>
      <c r="J115" s="165">
        <f>Table1[[#This Row],[AdjPriorYear 
Expenditures]]/Table1[[#This Row],[Total Students]]</f>
        <v>2462.2866446017279</v>
      </c>
      <c r="K115" s="127">
        <f>Table1[[#This Row],[Allocation]]/Table1[[#This Row],[Total Riders (AM/PM counts)]]</f>
        <v>1172.3250796883751</v>
      </c>
      <c r="L115" s="127">
        <f>Table1[[#This Row],[Allocation]]/Table1[[#This Row],[Total Students]]</f>
        <v>2344.6501593767503</v>
      </c>
      <c r="M115" s="130">
        <f>IF(Table1[[#This Row],[Allocation]]&gt;Table1[[#This Row],[AdjPriorYear 
Expenditures]],100%, Table1[[#This Row],[Allocation]]/Table1[[#This Row],[AdjPriorYear 
Expenditures]])</f>
        <v>0.95222469914992158</v>
      </c>
      <c r="N115" s="127">
        <f>IF(Table1[[#This Row],[Percent Funded of Adjusted PYE]]=1,0,Table1[[#This Row],[AdjPriorYear 
Expenditures]]-Table1[[#This Row],[Allocation]])</f>
        <v>866348.60000000149</v>
      </c>
    </row>
    <row r="116" spans="1:14" x14ac:dyDescent="0.35">
      <c r="A116">
        <v>31306</v>
      </c>
      <c r="B116" t="s">
        <v>863</v>
      </c>
      <c r="C116" s="127">
        <v>2536409.6799999997</v>
      </c>
      <c r="D116" s="127">
        <v>2461095.0099999998</v>
      </c>
      <c r="E116" s="128">
        <v>2517.75</v>
      </c>
      <c r="F116" s="128">
        <v>162.875</v>
      </c>
      <c r="G116" s="129">
        <v>2694.5</v>
      </c>
      <c r="H116" s="128">
        <v>1347.25</v>
      </c>
      <c r="I116" s="127">
        <f>Table1[[#This Row],[AdjPriorYear 
Expenditures]]/Table1[[#This Row],[Total Riders (AM/PM counts)]]</f>
        <v>941.32851363889392</v>
      </c>
      <c r="J116" s="165">
        <f>Table1[[#This Row],[AdjPriorYear 
Expenditures]]/Table1[[#This Row],[Total Students]]</f>
        <v>1882.6570272777878</v>
      </c>
      <c r="K116" s="127">
        <f>Table1[[#This Row],[Allocation]]/Table1[[#This Row],[Total Riders (AM/PM counts)]]</f>
        <v>913.3772536648728</v>
      </c>
      <c r="L116" s="127">
        <f>Table1[[#This Row],[Allocation]]/Table1[[#This Row],[Total Students]]</f>
        <v>1826.7545073297456</v>
      </c>
      <c r="M116" s="130">
        <f>IF(Table1[[#This Row],[Allocation]]&gt;Table1[[#This Row],[AdjPriorYear 
Expenditures]],100%, Table1[[#This Row],[Allocation]]/Table1[[#This Row],[AdjPriorYear 
Expenditures]])</f>
        <v>0.97030658312264451</v>
      </c>
      <c r="N116" s="127">
        <f>IF(Table1[[#This Row],[Percent Funded of Adjusted PYE]]=1,0,Table1[[#This Row],[AdjPriorYear 
Expenditures]]-Table1[[#This Row],[Allocation]])</f>
        <v>75314.669999999925</v>
      </c>
    </row>
    <row r="117" spans="1:14" x14ac:dyDescent="0.35">
      <c r="A117">
        <v>38264</v>
      </c>
      <c r="B117" t="s">
        <v>864</v>
      </c>
      <c r="C117" s="127">
        <v>55123.560000000005</v>
      </c>
      <c r="D117" s="127">
        <v>70241.01999999999</v>
      </c>
      <c r="E117" s="128">
        <v>22.75</v>
      </c>
      <c r="F117" s="128">
        <v>0</v>
      </c>
      <c r="G117" s="129">
        <v>22.75</v>
      </c>
      <c r="H117" s="128">
        <v>11.375</v>
      </c>
      <c r="I117" s="127">
        <f>Table1[[#This Row],[AdjPriorYear 
Expenditures]]/Table1[[#This Row],[Total Riders (AM/PM counts)]]</f>
        <v>2423.0136263736267</v>
      </c>
      <c r="J117" s="165">
        <f>Table1[[#This Row],[AdjPriorYear 
Expenditures]]/Table1[[#This Row],[Total Students]]</f>
        <v>4846.0272527472534</v>
      </c>
      <c r="K117" s="127">
        <f>Table1[[#This Row],[Allocation]]/Table1[[#This Row],[Total Riders (AM/PM counts)]]</f>
        <v>3087.5173626373621</v>
      </c>
      <c r="L117" s="127">
        <f>Table1[[#This Row],[Allocation]]/Table1[[#This Row],[Total Students]]</f>
        <v>6175.0347252747242</v>
      </c>
      <c r="M117" s="130">
        <f>IF(Table1[[#This Row],[Allocation]]&gt;Table1[[#This Row],[AdjPriorYear 
Expenditures]],100%, Table1[[#This Row],[Allocation]]/Table1[[#This Row],[AdjPriorYear 
Expenditures]])</f>
        <v>1</v>
      </c>
      <c r="N117" s="127">
        <f>IF(Table1[[#This Row],[Percent Funded of Adjusted PYE]]=1,0,Table1[[#This Row],[AdjPriorYear 
Expenditures]]-Table1[[#This Row],[Allocation]])</f>
        <v>0</v>
      </c>
    </row>
    <row r="118" spans="1:14" x14ac:dyDescent="0.35">
      <c r="A118">
        <v>32362</v>
      </c>
      <c r="B118" t="s">
        <v>865</v>
      </c>
      <c r="C118" s="127">
        <v>767180.53</v>
      </c>
      <c r="D118" s="127">
        <v>791184.79999999993</v>
      </c>
      <c r="E118" s="128">
        <v>679.625</v>
      </c>
      <c r="F118" s="128">
        <v>5.375</v>
      </c>
      <c r="G118" s="129">
        <v>686.75</v>
      </c>
      <c r="H118" s="128">
        <v>343.375</v>
      </c>
      <c r="I118" s="127">
        <f>Table1[[#This Row],[AdjPriorYear 
Expenditures]]/Table1[[#This Row],[Total Riders (AM/PM counts)]]</f>
        <v>1117.1176265016381</v>
      </c>
      <c r="J118" s="165">
        <f>Table1[[#This Row],[AdjPriorYear 
Expenditures]]/Table1[[#This Row],[Total Students]]</f>
        <v>2234.2352530032763</v>
      </c>
      <c r="K118" s="127">
        <f>Table1[[#This Row],[Allocation]]/Table1[[#This Row],[Total Riders (AM/PM counts)]]</f>
        <v>1152.071059337459</v>
      </c>
      <c r="L118" s="127">
        <f>Table1[[#This Row],[Allocation]]/Table1[[#This Row],[Total Students]]</f>
        <v>2304.142118674918</v>
      </c>
      <c r="M118" s="130">
        <f>IF(Table1[[#This Row],[Allocation]]&gt;Table1[[#This Row],[AdjPriorYear 
Expenditures]],100%, Table1[[#This Row],[Allocation]]/Table1[[#This Row],[AdjPriorYear 
Expenditures]])</f>
        <v>1</v>
      </c>
      <c r="N118" s="127">
        <f>IF(Table1[[#This Row],[Percent Funded of Adjusted PYE]]=1,0,Table1[[#This Row],[AdjPriorYear 
Expenditures]]-Table1[[#This Row],[Allocation]])</f>
        <v>0</v>
      </c>
    </row>
    <row r="119" spans="1:14" x14ac:dyDescent="0.35">
      <c r="A119">
        <v>1158</v>
      </c>
      <c r="B119" t="s">
        <v>866</v>
      </c>
      <c r="C119" s="127">
        <v>1263818.6499999999</v>
      </c>
      <c r="D119" s="127">
        <v>967167.15</v>
      </c>
      <c r="E119" s="128">
        <v>478</v>
      </c>
      <c r="F119" s="128">
        <v>5.75</v>
      </c>
      <c r="G119" s="129">
        <v>484.25</v>
      </c>
      <c r="H119" s="128">
        <v>242.125</v>
      </c>
      <c r="I119" s="127">
        <f>Table1[[#This Row],[AdjPriorYear 
Expenditures]]/Table1[[#This Row],[Total Riders (AM/PM counts)]]</f>
        <v>2609.8474961280331</v>
      </c>
      <c r="J119" s="165">
        <f>Table1[[#This Row],[AdjPriorYear 
Expenditures]]/Table1[[#This Row],[Total Students]]</f>
        <v>5219.6949922560661</v>
      </c>
      <c r="K119" s="127">
        <f>Table1[[#This Row],[Allocation]]/Table1[[#This Row],[Total Riders (AM/PM counts)]]</f>
        <v>1997.2475993804853</v>
      </c>
      <c r="L119" s="127">
        <f>Table1[[#This Row],[Allocation]]/Table1[[#This Row],[Total Students]]</f>
        <v>3994.4951987609707</v>
      </c>
      <c r="M119" s="130">
        <f>IF(Table1[[#This Row],[Allocation]]&gt;Table1[[#This Row],[AdjPriorYear 
Expenditures]],100%, Table1[[#This Row],[Allocation]]/Table1[[#This Row],[AdjPriorYear 
Expenditures]])</f>
        <v>0.76527368068195556</v>
      </c>
      <c r="N119" s="127">
        <f>IF(Table1[[#This Row],[Percent Funded of Adjusted PYE]]=1,0,Table1[[#This Row],[AdjPriorYear 
Expenditures]]-Table1[[#This Row],[Allocation]])</f>
        <v>296651.49999999988</v>
      </c>
    </row>
    <row r="120" spans="1:14" x14ac:dyDescent="0.35">
      <c r="A120">
        <v>8122</v>
      </c>
      <c r="B120" t="s">
        <v>867</v>
      </c>
      <c r="C120" s="127">
        <v>3378126.6899999995</v>
      </c>
      <c r="D120" s="127">
        <v>3357596.01</v>
      </c>
      <c r="E120" s="128">
        <v>2702</v>
      </c>
      <c r="F120" s="128">
        <v>490.625</v>
      </c>
      <c r="G120" s="129">
        <v>3168.125</v>
      </c>
      <c r="H120" s="128">
        <v>1584.0625</v>
      </c>
      <c r="I120" s="127">
        <f>Table1[[#This Row],[AdjPriorYear 
Expenditures]]/Table1[[#This Row],[Total Riders (AM/PM counts)]]</f>
        <v>1066.2857968041033</v>
      </c>
      <c r="J120" s="165">
        <f>Table1[[#This Row],[AdjPriorYear 
Expenditures]]/Table1[[#This Row],[Total Students]]</f>
        <v>2132.5715936082065</v>
      </c>
      <c r="K120" s="127">
        <f>Table1[[#This Row],[Allocation]]/Table1[[#This Row],[Total Riders (AM/PM counts)]]</f>
        <v>1059.8054085618464</v>
      </c>
      <c r="L120" s="127">
        <f>Table1[[#This Row],[Allocation]]/Table1[[#This Row],[Total Students]]</f>
        <v>2119.6108171236929</v>
      </c>
      <c r="M120" s="130">
        <f>IF(Table1[[#This Row],[Allocation]]&gt;Table1[[#This Row],[AdjPriorYear 
Expenditures]],100%, Table1[[#This Row],[Allocation]]/Table1[[#This Row],[AdjPriorYear 
Expenditures]])</f>
        <v>0.99392246594517164</v>
      </c>
      <c r="N120" s="127">
        <f>IF(Table1[[#This Row],[Percent Funded of Adjusted PYE]]=1,0,Table1[[#This Row],[AdjPriorYear 
Expenditures]]-Table1[[#This Row],[Allocation]])</f>
        <v>20530.679999999702</v>
      </c>
    </row>
    <row r="121" spans="1:14" x14ac:dyDescent="0.35">
      <c r="A121">
        <v>28144</v>
      </c>
      <c r="B121" t="s">
        <v>868</v>
      </c>
      <c r="C121" s="127">
        <v>260476.11000000002</v>
      </c>
      <c r="D121" s="127">
        <v>189597.63999999998</v>
      </c>
      <c r="E121" s="128">
        <v>175.25</v>
      </c>
      <c r="F121" s="128">
        <v>0</v>
      </c>
      <c r="G121" s="129">
        <v>175.25</v>
      </c>
      <c r="H121" s="128">
        <v>87.625</v>
      </c>
      <c r="I121" s="127">
        <f>Table1[[#This Row],[AdjPriorYear 
Expenditures]]/Table1[[#This Row],[Total Riders (AM/PM counts)]]</f>
        <v>1486.3116119828817</v>
      </c>
      <c r="J121" s="165">
        <f>Table1[[#This Row],[AdjPriorYear 
Expenditures]]/Table1[[#This Row],[Total Students]]</f>
        <v>2972.6232239657634</v>
      </c>
      <c r="K121" s="127">
        <f>Table1[[#This Row],[Allocation]]/Table1[[#This Row],[Total Riders (AM/PM counts)]]</f>
        <v>1081.8695577746075</v>
      </c>
      <c r="L121" s="127">
        <f>Table1[[#This Row],[Allocation]]/Table1[[#This Row],[Total Students]]</f>
        <v>2163.7391155492151</v>
      </c>
      <c r="M121" s="130">
        <f>IF(Table1[[#This Row],[Allocation]]&gt;Table1[[#This Row],[AdjPriorYear 
Expenditures]],100%, Table1[[#This Row],[Allocation]]/Table1[[#This Row],[AdjPriorYear 
Expenditures]])</f>
        <v>0.72788878795832745</v>
      </c>
      <c r="N121" s="127">
        <f>IF(Table1[[#This Row],[Percent Funded of Adjusted PYE]]=1,0,Table1[[#This Row],[AdjPriorYear 
Expenditures]]-Table1[[#This Row],[Allocation]])</f>
        <v>70878.47000000003</v>
      </c>
    </row>
    <row r="122" spans="1:14" x14ac:dyDescent="0.35">
      <c r="A122">
        <v>37504</v>
      </c>
      <c r="B122" t="s">
        <v>869</v>
      </c>
      <c r="C122" s="127">
        <v>2069262.52</v>
      </c>
      <c r="D122" s="127">
        <v>1965090.99</v>
      </c>
      <c r="E122" s="128">
        <v>2494.125</v>
      </c>
      <c r="F122" s="128">
        <v>119.25</v>
      </c>
      <c r="G122" s="129">
        <v>2618.5</v>
      </c>
      <c r="H122" s="128">
        <v>1309.25</v>
      </c>
      <c r="I122" s="127">
        <f>Table1[[#This Row],[AdjPriorYear 
Expenditures]]/Table1[[#This Row],[Total Riders (AM/PM counts)]]</f>
        <v>790.24728661447398</v>
      </c>
      <c r="J122" s="165">
        <f>Table1[[#This Row],[AdjPriorYear 
Expenditures]]/Table1[[#This Row],[Total Students]]</f>
        <v>1580.494573228948</v>
      </c>
      <c r="K122" s="127">
        <f>Table1[[#This Row],[Allocation]]/Table1[[#This Row],[Total Riders (AM/PM counts)]]</f>
        <v>750.46438418942137</v>
      </c>
      <c r="L122" s="127">
        <f>Table1[[#This Row],[Allocation]]/Table1[[#This Row],[Total Students]]</f>
        <v>1500.9287683788427</v>
      </c>
      <c r="M122" s="130">
        <f>IF(Table1[[#This Row],[Allocation]]&gt;Table1[[#This Row],[AdjPriorYear 
Expenditures]],100%, Table1[[#This Row],[Allocation]]/Table1[[#This Row],[AdjPriorYear 
Expenditures]])</f>
        <v>0.94965765387757561</v>
      </c>
      <c r="N122" s="127">
        <f>IF(Table1[[#This Row],[Percent Funded of Adjusted PYE]]=1,0,Table1[[#This Row],[AdjPriorYear 
Expenditures]]-Table1[[#This Row],[Allocation]])</f>
        <v>104171.53000000003</v>
      </c>
    </row>
    <row r="123" spans="1:14" x14ac:dyDescent="0.35">
      <c r="A123">
        <v>39120</v>
      </c>
      <c r="B123" t="s">
        <v>870</v>
      </c>
      <c r="C123" s="127">
        <v>188510.43</v>
      </c>
      <c r="D123" s="127">
        <v>249025.01</v>
      </c>
      <c r="E123" s="128">
        <v>446.625</v>
      </c>
      <c r="F123" s="128">
        <v>1.5</v>
      </c>
      <c r="G123" s="129">
        <v>451.625</v>
      </c>
      <c r="H123" s="128">
        <v>225.8125</v>
      </c>
      <c r="I123" s="127">
        <f>Table1[[#This Row],[AdjPriorYear 
Expenditures]]/Table1[[#This Row],[Total Riders (AM/PM counts)]]</f>
        <v>417.40477165790202</v>
      </c>
      <c r="J123" s="165">
        <f>Table1[[#This Row],[AdjPriorYear 
Expenditures]]/Table1[[#This Row],[Total Students]]</f>
        <v>834.80954331580404</v>
      </c>
      <c r="K123" s="127">
        <f>Table1[[#This Row],[Allocation]]/Table1[[#This Row],[Total Riders (AM/PM counts)]]</f>
        <v>551.39775256019925</v>
      </c>
      <c r="L123" s="127">
        <f>Table1[[#This Row],[Allocation]]/Table1[[#This Row],[Total Students]]</f>
        <v>1102.7955051203985</v>
      </c>
      <c r="M123" s="130">
        <f>IF(Table1[[#This Row],[Allocation]]&gt;Table1[[#This Row],[AdjPriorYear 
Expenditures]],100%, Table1[[#This Row],[Allocation]]/Table1[[#This Row],[AdjPriorYear 
Expenditures]])</f>
        <v>1</v>
      </c>
      <c r="N123" s="127">
        <f>IF(Table1[[#This Row],[Percent Funded of Adjusted PYE]]=1,0,Table1[[#This Row],[AdjPriorYear 
Expenditures]]-Table1[[#This Row],[Allocation]])</f>
        <v>0</v>
      </c>
    </row>
    <row r="124" spans="1:14" x14ac:dyDescent="0.35">
      <c r="A124">
        <v>9207</v>
      </c>
      <c r="B124" t="s">
        <v>871</v>
      </c>
      <c r="C124" s="127">
        <v>172047.6</v>
      </c>
      <c r="D124" s="127">
        <v>148619.82999999999</v>
      </c>
      <c r="E124" s="128">
        <v>55</v>
      </c>
      <c r="F124" s="128">
        <v>0.375</v>
      </c>
      <c r="G124" s="129">
        <v>57</v>
      </c>
      <c r="H124" s="128">
        <v>28.5</v>
      </c>
      <c r="I124" s="127">
        <f>Table1[[#This Row],[AdjPriorYear 
Expenditures]]/Table1[[#This Row],[Total Riders (AM/PM counts)]]</f>
        <v>3018.378947368421</v>
      </c>
      <c r="J124" s="165">
        <f>Table1[[#This Row],[AdjPriorYear 
Expenditures]]/Table1[[#This Row],[Total Students]]</f>
        <v>6036.757894736842</v>
      </c>
      <c r="K124" s="127">
        <f>Table1[[#This Row],[Allocation]]/Table1[[#This Row],[Total Riders (AM/PM counts)]]</f>
        <v>2607.365438596491</v>
      </c>
      <c r="L124" s="127">
        <f>Table1[[#This Row],[Allocation]]/Table1[[#This Row],[Total Students]]</f>
        <v>5214.730877192982</v>
      </c>
      <c r="M124" s="130">
        <f>IF(Table1[[#This Row],[Allocation]]&gt;Table1[[#This Row],[AdjPriorYear 
Expenditures]],100%, Table1[[#This Row],[Allocation]]/Table1[[#This Row],[AdjPriorYear 
Expenditures]])</f>
        <v>0.86382971921723972</v>
      </c>
      <c r="N124" s="127">
        <f>IF(Table1[[#This Row],[Percent Funded of Adjusted PYE]]=1,0,Table1[[#This Row],[AdjPriorYear 
Expenditures]]-Table1[[#This Row],[Allocation]])</f>
        <v>23427.770000000019</v>
      </c>
    </row>
    <row r="125" spans="1:14" x14ac:dyDescent="0.35">
      <c r="A125">
        <v>4019</v>
      </c>
      <c r="B125" t="s">
        <v>872</v>
      </c>
      <c r="C125" s="127">
        <v>470506.94</v>
      </c>
      <c r="D125" s="127">
        <v>448882.66000000003</v>
      </c>
      <c r="E125" s="128">
        <v>515.875</v>
      </c>
      <c r="F125" s="128">
        <v>5.625</v>
      </c>
      <c r="G125" s="129">
        <v>523.375</v>
      </c>
      <c r="H125" s="128">
        <v>261.6875</v>
      </c>
      <c r="I125" s="127">
        <f>Table1[[#This Row],[AdjPriorYear 
Expenditures]]/Table1[[#This Row],[Total Riders (AM/PM counts)]]</f>
        <v>898.98627179364701</v>
      </c>
      <c r="J125" s="165">
        <f>Table1[[#This Row],[AdjPriorYear 
Expenditures]]/Table1[[#This Row],[Total Students]]</f>
        <v>1797.972543587294</v>
      </c>
      <c r="K125" s="127">
        <f>Table1[[#This Row],[Allocation]]/Table1[[#This Row],[Total Riders (AM/PM counts)]]</f>
        <v>857.66928110819208</v>
      </c>
      <c r="L125" s="127">
        <f>Table1[[#This Row],[Allocation]]/Table1[[#This Row],[Total Students]]</f>
        <v>1715.3385622163842</v>
      </c>
      <c r="M125" s="130">
        <f>IF(Table1[[#This Row],[Allocation]]&gt;Table1[[#This Row],[AdjPriorYear 
Expenditures]],100%, Table1[[#This Row],[Allocation]]/Table1[[#This Row],[AdjPriorYear 
Expenditures]])</f>
        <v>0.95404046537549481</v>
      </c>
      <c r="N125" s="127">
        <f>IF(Table1[[#This Row],[Percent Funded of Adjusted PYE]]=1,0,Table1[[#This Row],[AdjPriorYear 
Expenditures]]-Table1[[#This Row],[Allocation]])</f>
        <v>21624.27999999997</v>
      </c>
    </row>
    <row r="126" spans="1:14" x14ac:dyDescent="0.35">
      <c r="A126">
        <v>23311</v>
      </c>
      <c r="B126" t="s">
        <v>873</v>
      </c>
      <c r="C126" s="127">
        <v>408196.86</v>
      </c>
      <c r="D126" s="127">
        <v>322550.37999999995</v>
      </c>
      <c r="E126" s="128">
        <v>203</v>
      </c>
      <c r="F126" s="128">
        <v>0</v>
      </c>
      <c r="G126" s="129">
        <v>203</v>
      </c>
      <c r="H126" s="128">
        <v>101.5</v>
      </c>
      <c r="I126" s="127">
        <f>Table1[[#This Row],[AdjPriorYear 
Expenditures]]/Table1[[#This Row],[Total Riders (AM/PM counts)]]</f>
        <v>2010.8219704433498</v>
      </c>
      <c r="J126" s="165">
        <f>Table1[[#This Row],[AdjPriorYear 
Expenditures]]/Table1[[#This Row],[Total Students]]</f>
        <v>4021.6439408866995</v>
      </c>
      <c r="K126" s="127">
        <f>Table1[[#This Row],[Allocation]]/Table1[[#This Row],[Total Riders (AM/PM counts)]]</f>
        <v>1588.9181280788175</v>
      </c>
      <c r="L126" s="127">
        <f>Table1[[#This Row],[Allocation]]/Table1[[#This Row],[Total Students]]</f>
        <v>3177.836256157635</v>
      </c>
      <c r="M126" s="130">
        <f>IF(Table1[[#This Row],[Allocation]]&gt;Table1[[#This Row],[AdjPriorYear 
Expenditures]],100%, Table1[[#This Row],[Allocation]]/Table1[[#This Row],[AdjPriorYear 
Expenditures]])</f>
        <v>0.7901833933754413</v>
      </c>
      <c r="N126" s="127">
        <f>IF(Table1[[#This Row],[Percent Funded of Adjusted PYE]]=1,0,Table1[[#This Row],[AdjPriorYear 
Expenditures]]-Table1[[#This Row],[Allocation]])</f>
        <v>85646.48000000004</v>
      </c>
    </row>
    <row r="127" spans="1:14" x14ac:dyDescent="0.35">
      <c r="A127">
        <v>33207</v>
      </c>
      <c r="B127" t="s">
        <v>874</v>
      </c>
      <c r="C127" s="127">
        <v>408481.58</v>
      </c>
      <c r="D127" s="127">
        <v>355236.48</v>
      </c>
      <c r="E127" s="128">
        <v>468.875</v>
      </c>
      <c r="F127" s="128">
        <v>0</v>
      </c>
      <c r="G127" s="129">
        <v>468.875</v>
      </c>
      <c r="H127" s="128">
        <v>234.4375</v>
      </c>
      <c r="I127" s="127">
        <f>Table1[[#This Row],[AdjPriorYear 
Expenditures]]/Table1[[#This Row],[Total Riders (AM/PM counts)]]</f>
        <v>871.19505198613706</v>
      </c>
      <c r="J127" s="165">
        <f>Table1[[#This Row],[AdjPriorYear 
Expenditures]]/Table1[[#This Row],[Total Students]]</f>
        <v>1742.3901039722741</v>
      </c>
      <c r="K127" s="127">
        <f>Table1[[#This Row],[Allocation]]/Table1[[#This Row],[Total Riders (AM/PM counts)]]</f>
        <v>757.63578778992269</v>
      </c>
      <c r="L127" s="127">
        <f>Table1[[#This Row],[Allocation]]/Table1[[#This Row],[Total Students]]</f>
        <v>1515.2715755798454</v>
      </c>
      <c r="M127" s="130">
        <f>IF(Table1[[#This Row],[Allocation]]&gt;Table1[[#This Row],[AdjPriorYear 
Expenditures]],100%, Table1[[#This Row],[Allocation]]/Table1[[#This Row],[AdjPriorYear 
Expenditures]])</f>
        <v>0.86965116027998124</v>
      </c>
      <c r="N127" s="127">
        <f>IF(Table1[[#This Row],[Percent Funded of Adjusted PYE]]=1,0,Table1[[#This Row],[AdjPriorYear 
Expenditures]]-Table1[[#This Row],[Allocation]])</f>
        <v>53245.100000000035</v>
      </c>
    </row>
    <row r="128" spans="1:14" x14ac:dyDescent="0.35">
      <c r="A128">
        <v>31025</v>
      </c>
      <c r="B128" t="s">
        <v>875</v>
      </c>
      <c r="C128" s="127">
        <v>8454625.4600000009</v>
      </c>
      <c r="D128" s="127">
        <v>8653318.4500000011</v>
      </c>
      <c r="E128" s="128">
        <v>6028.375</v>
      </c>
      <c r="F128" s="128">
        <v>577</v>
      </c>
      <c r="G128" s="129">
        <v>6717.875</v>
      </c>
      <c r="H128" s="128">
        <v>3358.9375</v>
      </c>
      <c r="I128" s="127">
        <f>Table1[[#This Row],[AdjPriorYear 
Expenditures]]/Table1[[#This Row],[Total Riders (AM/PM counts)]]</f>
        <v>1258.5267603222746</v>
      </c>
      <c r="J128" s="165">
        <f>Table1[[#This Row],[AdjPriorYear 
Expenditures]]/Table1[[#This Row],[Total Students]]</f>
        <v>2517.0535206445493</v>
      </c>
      <c r="K128" s="127">
        <f>Table1[[#This Row],[Allocation]]/Table1[[#This Row],[Total Riders (AM/PM counts)]]</f>
        <v>1288.1035223191859</v>
      </c>
      <c r="L128" s="127">
        <f>Table1[[#This Row],[Allocation]]/Table1[[#This Row],[Total Students]]</f>
        <v>2576.2070446383718</v>
      </c>
      <c r="M128" s="130">
        <f>IF(Table1[[#This Row],[Allocation]]&gt;Table1[[#This Row],[AdjPriorYear 
Expenditures]],100%, Table1[[#This Row],[Allocation]]/Table1[[#This Row],[AdjPriorYear 
Expenditures]])</f>
        <v>1</v>
      </c>
      <c r="N128" s="127">
        <f>IF(Table1[[#This Row],[Percent Funded of Adjusted PYE]]=1,0,Table1[[#This Row],[AdjPriorYear 
Expenditures]]-Table1[[#This Row],[Allocation]])</f>
        <v>0</v>
      </c>
    </row>
    <row r="129" spans="1:14" x14ac:dyDescent="0.35">
      <c r="A129">
        <v>14065</v>
      </c>
      <c r="B129" t="s">
        <v>876</v>
      </c>
      <c r="C129" s="127">
        <v>250282.58</v>
      </c>
      <c r="D129" s="127">
        <v>180883.51</v>
      </c>
      <c r="E129" s="128">
        <v>210.5</v>
      </c>
      <c r="F129" s="128">
        <v>0</v>
      </c>
      <c r="G129" s="129">
        <v>210.875</v>
      </c>
      <c r="H129" s="128">
        <v>105.4375</v>
      </c>
      <c r="I129" s="127">
        <f>Table1[[#This Row],[AdjPriorYear 
Expenditures]]/Table1[[#This Row],[Total Riders (AM/PM counts)]]</f>
        <v>1186.8764908120925</v>
      </c>
      <c r="J129" s="165">
        <f>Table1[[#This Row],[AdjPriorYear 
Expenditures]]/Table1[[#This Row],[Total Students]]</f>
        <v>2373.7529816241849</v>
      </c>
      <c r="K129" s="127">
        <f>Table1[[#This Row],[Allocation]]/Table1[[#This Row],[Total Riders (AM/PM counts)]]</f>
        <v>857.77598103141679</v>
      </c>
      <c r="L129" s="127">
        <f>Table1[[#This Row],[Allocation]]/Table1[[#This Row],[Total Students]]</f>
        <v>1715.5519620628336</v>
      </c>
      <c r="M129" s="130">
        <f>IF(Table1[[#This Row],[Allocation]]&gt;Table1[[#This Row],[AdjPriorYear 
Expenditures]],100%, Table1[[#This Row],[Allocation]]/Table1[[#This Row],[AdjPriorYear 
Expenditures]])</f>
        <v>0.72271713836416429</v>
      </c>
      <c r="N129" s="127">
        <f>IF(Table1[[#This Row],[Percent Funded of Adjusted PYE]]=1,0,Table1[[#This Row],[AdjPriorYear 
Expenditures]]-Table1[[#This Row],[Allocation]])</f>
        <v>69399.069999999978</v>
      </c>
    </row>
    <row r="130" spans="1:14" x14ac:dyDescent="0.35">
      <c r="A130">
        <v>32354</v>
      </c>
      <c r="B130" t="s">
        <v>877</v>
      </c>
      <c r="C130" s="127">
        <v>7475923.0399999991</v>
      </c>
      <c r="D130" s="127">
        <v>6256553.7300000004</v>
      </c>
      <c r="E130" s="128">
        <v>6692</v>
      </c>
      <c r="F130" s="128">
        <v>439</v>
      </c>
      <c r="G130" s="129">
        <v>7094.75</v>
      </c>
      <c r="H130" s="128">
        <v>3547.375</v>
      </c>
      <c r="I130" s="127">
        <f>Table1[[#This Row],[AdjPriorYear 
Expenditures]]/Table1[[#This Row],[Total Riders (AM/PM counts)]]</f>
        <v>1053.7260706860707</v>
      </c>
      <c r="J130" s="165">
        <f>Table1[[#This Row],[AdjPriorYear 
Expenditures]]/Table1[[#This Row],[Total Students]]</f>
        <v>2107.4521413721413</v>
      </c>
      <c r="K130" s="127">
        <f>Table1[[#This Row],[Allocation]]/Table1[[#This Row],[Total Riders (AM/PM counts)]]</f>
        <v>881.85682793615001</v>
      </c>
      <c r="L130" s="127">
        <f>Table1[[#This Row],[Allocation]]/Table1[[#This Row],[Total Students]]</f>
        <v>1763.7136558723</v>
      </c>
      <c r="M130" s="130">
        <f>IF(Table1[[#This Row],[Allocation]]&gt;Table1[[#This Row],[AdjPriorYear 
Expenditures]],100%, Table1[[#This Row],[Allocation]]/Table1[[#This Row],[AdjPriorYear 
Expenditures]])</f>
        <v>0.83689381184426981</v>
      </c>
      <c r="N130" s="127">
        <f>IF(Table1[[#This Row],[Percent Funded of Adjusted PYE]]=1,0,Table1[[#This Row],[AdjPriorYear 
Expenditures]]-Table1[[#This Row],[Allocation]])</f>
        <v>1219369.3099999987</v>
      </c>
    </row>
    <row r="131" spans="1:14" x14ac:dyDescent="0.35">
      <c r="A131">
        <v>32326</v>
      </c>
      <c r="B131" t="s">
        <v>878</v>
      </c>
      <c r="C131" s="127">
        <v>1400267.93</v>
      </c>
      <c r="D131" s="127">
        <v>1338261.24</v>
      </c>
      <c r="E131" s="128">
        <v>1100.75</v>
      </c>
      <c r="F131" s="128">
        <v>96.75</v>
      </c>
      <c r="G131" s="129">
        <v>1214.125</v>
      </c>
      <c r="H131" s="128">
        <v>607.0625</v>
      </c>
      <c r="I131" s="127">
        <f>Table1[[#This Row],[AdjPriorYear 
Expenditures]]/Table1[[#This Row],[Total Riders (AM/PM counts)]]</f>
        <v>1153.3144692679914</v>
      </c>
      <c r="J131" s="165">
        <f>Table1[[#This Row],[AdjPriorYear 
Expenditures]]/Table1[[#This Row],[Total Students]]</f>
        <v>2306.6289385359828</v>
      </c>
      <c r="K131" s="127">
        <f>Table1[[#This Row],[Allocation]]/Table1[[#This Row],[Total Riders (AM/PM counts)]]</f>
        <v>1102.2433769175332</v>
      </c>
      <c r="L131" s="127">
        <f>Table1[[#This Row],[Allocation]]/Table1[[#This Row],[Total Students]]</f>
        <v>2204.4867538350663</v>
      </c>
      <c r="M131" s="130">
        <f>IF(Table1[[#This Row],[Allocation]]&gt;Table1[[#This Row],[AdjPriorYear 
Expenditures]],100%, Table1[[#This Row],[Allocation]]/Table1[[#This Row],[AdjPriorYear 
Expenditures]])</f>
        <v>0.95571798177224554</v>
      </c>
      <c r="N131" s="127">
        <f>IF(Table1[[#This Row],[Percent Funded of Adjusted PYE]]=1,0,Table1[[#This Row],[AdjPriorYear 
Expenditures]]-Table1[[#This Row],[Allocation]])</f>
        <v>62006.689999999944</v>
      </c>
    </row>
    <row r="132" spans="1:14" x14ac:dyDescent="0.35">
      <c r="A132">
        <v>17400</v>
      </c>
      <c r="B132" t="s">
        <v>879</v>
      </c>
      <c r="C132" s="127">
        <v>2753082.8600000003</v>
      </c>
      <c r="D132" s="127">
        <v>1812202.26</v>
      </c>
      <c r="E132" s="128">
        <v>2633.625</v>
      </c>
      <c r="F132" s="128">
        <v>66.375</v>
      </c>
      <c r="G132" s="129">
        <v>2705.375</v>
      </c>
      <c r="H132" s="128">
        <v>1352.6875</v>
      </c>
      <c r="I132" s="127">
        <f>Table1[[#This Row],[AdjPriorYear 
Expenditures]]/Table1[[#This Row],[Total Riders (AM/PM counts)]]</f>
        <v>1017.6344721156958</v>
      </c>
      <c r="J132" s="165">
        <f>Table1[[#This Row],[AdjPriorYear 
Expenditures]]/Table1[[#This Row],[Total Students]]</f>
        <v>2035.2689442313915</v>
      </c>
      <c r="K132" s="127">
        <f>Table1[[#This Row],[Allocation]]/Table1[[#This Row],[Total Riders (AM/PM counts)]]</f>
        <v>669.8525195213233</v>
      </c>
      <c r="L132" s="127">
        <f>Table1[[#This Row],[Allocation]]/Table1[[#This Row],[Total Students]]</f>
        <v>1339.7050390426466</v>
      </c>
      <c r="M132" s="130">
        <f>IF(Table1[[#This Row],[Allocation]]&gt;Table1[[#This Row],[AdjPriorYear 
Expenditures]],100%, Table1[[#This Row],[Allocation]]/Table1[[#This Row],[AdjPriorYear 
Expenditures]])</f>
        <v>0.6582447213375916</v>
      </c>
      <c r="N132" s="127">
        <f>IF(Table1[[#This Row],[Percent Funded of Adjusted PYE]]=1,0,Table1[[#This Row],[AdjPriorYear 
Expenditures]]-Table1[[#This Row],[Allocation]])</f>
        <v>940880.60000000033</v>
      </c>
    </row>
    <row r="133" spans="1:14" x14ac:dyDescent="0.35">
      <c r="A133">
        <v>37505</v>
      </c>
      <c r="B133" t="s">
        <v>880</v>
      </c>
      <c r="C133" s="127">
        <v>1397616.14</v>
      </c>
      <c r="D133" s="127">
        <v>1319192.98</v>
      </c>
      <c r="E133" s="128">
        <v>1461.75</v>
      </c>
      <c r="F133" s="128">
        <v>57.625</v>
      </c>
      <c r="G133" s="129">
        <v>1523.375</v>
      </c>
      <c r="H133" s="128">
        <v>761.6875</v>
      </c>
      <c r="I133" s="127">
        <f>Table1[[#This Row],[AdjPriorYear 
Expenditures]]/Table1[[#This Row],[Total Riders (AM/PM counts)]]</f>
        <v>917.44720768031505</v>
      </c>
      <c r="J133" s="165">
        <f>Table1[[#This Row],[AdjPriorYear 
Expenditures]]/Table1[[#This Row],[Total Students]]</f>
        <v>1834.8944153606301</v>
      </c>
      <c r="K133" s="127">
        <f>Table1[[#This Row],[Allocation]]/Table1[[#This Row],[Total Riders (AM/PM counts)]]</f>
        <v>865.96732912119467</v>
      </c>
      <c r="L133" s="127">
        <f>Table1[[#This Row],[Allocation]]/Table1[[#This Row],[Total Students]]</f>
        <v>1731.9346582423893</v>
      </c>
      <c r="M133" s="130">
        <f>IF(Table1[[#This Row],[Allocation]]&gt;Table1[[#This Row],[AdjPriorYear 
Expenditures]],100%, Table1[[#This Row],[Allocation]]/Table1[[#This Row],[AdjPriorYear 
Expenditures]])</f>
        <v>0.94388791188401711</v>
      </c>
      <c r="N133" s="127">
        <f>IF(Table1[[#This Row],[Percent Funded of Adjusted PYE]]=1,0,Table1[[#This Row],[AdjPriorYear 
Expenditures]]-Table1[[#This Row],[Allocation]])</f>
        <v>78423.159999999916</v>
      </c>
    </row>
    <row r="134" spans="1:14" x14ac:dyDescent="0.35">
      <c r="A134">
        <v>24350</v>
      </c>
      <c r="B134" t="s">
        <v>881</v>
      </c>
      <c r="C134" s="127">
        <v>793777.59</v>
      </c>
      <c r="D134" s="127">
        <v>848301.47</v>
      </c>
      <c r="E134" s="128">
        <v>575.375</v>
      </c>
      <c r="F134" s="128">
        <v>34</v>
      </c>
      <c r="G134" s="129">
        <v>600.875</v>
      </c>
      <c r="H134" s="128">
        <v>300.4375</v>
      </c>
      <c r="I134" s="127">
        <f>Table1[[#This Row],[AdjPriorYear 
Expenditures]]/Table1[[#This Row],[Total Riders (AM/PM counts)]]</f>
        <v>1321.0361389640107</v>
      </c>
      <c r="J134" s="165">
        <f>Table1[[#This Row],[AdjPriorYear 
Expenditures]]/Table1[[#This Row],[Total Students]]</f>
        <v>2642.0722779280213</v>
      </c>
      <c r="K134" s="127">
        <f>Table1[[#This Row],[Allocation]]/Table1[[#This Row],[Total Riders (AM/PM counts)]]</f>
        <v>1411.776941959642</v>
      </c>
      <c r="L134" s="127">
        <f>Table1[[#This Row],[Allocation]]/Table1[[#This Row],[Total Students]]</f>
        <v>2823.5538839192841</v>
      </c>
      <c r="M134" s="130">
        <f>IF(Table1[[#This Row],[Allocation]]&gt;Table1[[#This Row],[AdjPriorYear 
Expenditures]],100%, Table1[[#This Row],[Allocation]]/Table1[[#This Row],[AdjPriorYear 
Expenditures]])</f>
        <v>1</v>
      </c>
      <c r="N134" s="127">
        <f>IF(Table1[[#This Row],[Percent Funded of Adjusted PYE]]=1,0,Table1[[#This Row],[AdjPriorYear 
Expenditures]]-Table1[[#This Row],[Allocation]])</f>
        <v>0</v>
      </c>
    </row>
    <row r="135" spans="1:14" x14ac:dyDescent="0.35">
      <c r="A135">
        <v>30031</v>
      </c>
      <c r="B135" t="s">
        <v>882</v>
      </c>
      <c r="C135" s="127">
        <v>128170.33</v>
      </c>
      <c r="D135" s="127">
        <v>114099.6</v>
      </c>
      <c r="E135" s="128">
        <v>104.75</v>
      </c>
      <c r="F135" s="128">
        <v>0</v>
      </c>
      <c r="G135" s="129">
        <v>104.75</v>
      </c>
      <c r="H135" s="128">
        <v>52.375</v>
      </c>
      <c r="I135" s="127">
        <f>Table1[[#This Row],[AdjPriorYear 
Expenditures]]/Table1[[#This Row],[Total Riders (AM/PM counts)]]</f>
        <v>1223.5831026252984</v>
      </c>
      <c r="J135" s="165">
        <f>Table1[[#This Row],[AdjPriorYear 
Expenditures]]/Table1[[#This Row],[Total Students]]</f>
        <v>2447.1662052505967</v>
      </c>
      <c r="K135" s="127">
        <f>Table1[[#This Row],[Allocation]]/Table1[[#This Row],[Total Riders (AM/PM counts)]]</f>
        <v>1089.2563245823389</v>
      </c>
      <c r="L135" s="127">
        <f>Table1[[#This Row],[Allocation]]/Table1[[#This Row],[Total Students]]</f>
        <v>2178.5126491646779</v>
      </c>
      <c r="M135" s="130">
        <f>IF(Table1[[#This Row],[Allocation]]&gt;Table1[[#This Row],[AdjPriorYear 
Expenditures]],100%, Table1[[#This Row],[Allocation]]/Table1[[#This Row],[AdjPriorYear 
Expenditures]])</f>
        <v>0.89021850844887429</v>
      </c>
      <c r="N135" s="127">
        <f>IF(Table1[[#This Row],[Percent Funded of Adjusted PYE]]=1,0,Table1[[#This Row],[AdjPriorYear 
Expenditures]]-Table1[[#This Row],[Allocation]])</f>
        <v>14070.729999999996</v>
      </c>
    </row>
    <row r="136" spans="1:14" x14ac:dyDescent="0.35">
      <c r="A136">
        <v>31103</v>
      </c>
      <c r="B136" t="s">
        <v>883</v>
      </c>
      <c r="C136" s="127">
        <v>5125384.6400000006</v>
      </c>
      <c r="D136" s="127">
        <v>4165018.83</v>
      </c>
      <c r="E136" s="128">
        <v>3909.25</v>
      </c>
      <c r="F136" s="128">
        <v>253.5</v>
      </c>
      <c r="G136" s="129">
        <v>4214.5</v>
      </c>
      <c r="H136" s="128">
        <v>2107.25</v>
      </c>
      <c r="I136" s="127">
        <f>Table1[[#This Row],[AdjPriorYear 
Expenditures]]/Table1[[#This Row],[Total Riders (AM/PM counts)]]</f>
        <v>1216.1311282477163</v>
      </c>
      <c r="J136" s="165">
        <f>Table1[[#This Row],[AdjPriorYear 
Expenditures]]/Table1[[#This Row],[Total Students]]</f>
        <v>2432.2622564954327</v>
      </c>
      <c r="K136" s="127">
        <f>Table1[[#This Row],[Allocation]]/Table1[[#This Row],[Total Riders (AM/PM counts)]]</f>
        <v>988.25930240835214</v>
      </c>
      <c r="L136" s="127">
        <f>Table1[[#This Row],[Allocation]]/Table1[[#This Row],[Total Students]]</f>
        <v>1976.5186048167043</v>
      </c>
      <c r="M136" s="130">
        <f>IF(Table1[[#This Row],[Allocation]]&gt;Table1[[#This Row],[AdjPriorYear 
Expenditures]],100%, Table1[[#This Row],[Allocation]]/Table1[[#This Row],[AdjPriorYear 
Expenditures]])</f>
        <v>0.8126256120360168</v>
      </c>
      <c r="N136" s="127">
        <f>IF(Table1[[#This Row],[Percent Funded of Adjusted PYE]]=1,0,Table1[[#This Row],[AdjPriorYear 
Expenditures]]-Table1[[#This Row],[Allocation]])</f>
        <v>960365.81000000052</v>
      </c>
    </row>
    <row r="137" spans="1:14" x14ac:dyDescent="0.35">
      <c r="A137">
        <v>14066</v>
      </c>
      <c r="B137" t="s">
        <v>884</v>
      </c>
      <c r="C137" s="127">
        <v>547641.3899999999</v>
      </c>
      <c r="D137" s="127">
        <v>570786.54</v>
      </c>
      <c r="E137" s="128">
        <v>736.375</v>
      </c>
      <c r="F137" s="128">
        <v>33.125</v>
      </c>
      <c r="G137" s="129">
        <v>789</v>
      </c>
      <c r="H137" s="128">
        <v>394.5</v>
      </c>
      <c r="I137" s="127">
        <f>Table1[[#This Row],[AdjPriorYear 
Expenditures]]/Table1[[#This Row],[Total Riders (AM/PM counts)]]</f>
        <v>694.09555133079834</v>
      </c>
      <c r="J137" s="165">
        <f>Table1[[#This Row],[AdjPriorYear 
Expenditures]]/Table1[[#This Row],[Total Students]]</f>
        <v>1388.1911026615967</v>
      </c>
      <c r="K137" s="127">
        <f>Table1[[#This Row],[Allocation]]/Table1[[#This Row],[Total Riders (AM/PM counts)]]</f>
        <v>723.4303422053232</v>
      </c>
      <c r="L137" s="127">
        <f>Table1[[#This Row],[Allocation]]/Table1[[#This Row],[Total Students]]</f>
        <v>1446.8606844106464</v>
      </c>
      <c r="M137" s="130">
        <f>IF(Table1[[#This Row],[Allocation]]&gt;Table1[[#This Row],[AdjPriorYear 
Expenditures]],100%, Table1[[#This Row],[Allocation]]/Table1[[#This Row],[AdjPriorYear 
Expenditures]])</f>
        <v>1</v>
      </c>
      <c r="N137" s="127">
        <f>IF(Table1[[#This Row],[Percent Funded of Adjusted PYE]]=1,0,Table1[[#This Row],[AdjPriorYear 
Expenditures]]-Table1[[#This Row],[Allocation]])</f>
        <v>0</v>
      </c>
    </row>
    <row r="138" spans="1:14" x14ac:dyDescent="0.35">
      <c r="A138">
        <v>21214</v>
      </c>
      <c r="B138" t="s">
        <v>885</v>
      </c>
      <c r="C138" s="127">
        <v>365350.04000000004</v>
      </c>
      <c r="D138" s="127">
        <v>423432.7</v>
      </c>
      <c r="E138" s="128">
        <v>275.625</v>
      </c>
      <c r="F138" s="128">
        <v>63.75</v>
      </c>
      <c r="G138" s="129">
        <v>323.5</v>
      </c>
      <c r="H138" s="128">
        <v>161.75</v>
      </c>
      <c r="I138" s="127">
        <f>Table1[[#This Row],[AdjPriorYear 
Expenditures]]/Table1[[#This Row],[Total Riders (AM/PM counts)]]</f>
        <v>1129.3664296754253</v>
      </c>
      <c r="J138" s="165">
        <f>Table1[[#This Row],[AdjPriorYear 
Expenditures]]/Table1[[#This Row],[Total Students]]</f>
        <v>2258.7328593508505</v>
      </c>
      <c r="K138" s="127">
        <f>Table1[[#This Row],[Allocation]]/Table1[[#This Row],[Total Riders (AM/PM counts)]]</f>
        <v>1308.9109737248841</v>
      </c>
      <c r="L138" s="127">
        <f>Table1[[#This Row],[Allocation]]/Table1[[#This Row],[Total Students]]</f>
        <v>2617.8219474497682</v>
      </c>
      <c r="M138" s="130">
        <f>IF(Table1[[#This Row],[Allocation]]&gt;Table1[[#This Row],[AdjPriorYear 
Expenditures]],100%, Table1[[#This Row],[Allocation]]/Table1[[#This Row],[AdjPriorYear 
Expenditures]])</f>
        <v>1</v>
      </c>
      <c r="N138" s="127">
        <f>IF(Table1[[#This Row],[Percent Funded of Adjusted PYE]]=1,0,Table1[[#This Row],[AdjPriorYear 
Expenditures]]-Table1[[#This Row],[Allocation]])</f>
        <v>0</v>
      </c>
    </row>
    <row r="139" spans="1:14" x14ac:dyDescent="0.35">
      <c r="A139">
        <v>13161</v>
      </c>
      <c r="B139" t="s">
        <v>886</v>
      </c>
      <c r="C139" s="127">
        <v>5308214.2100000009</v>
      </c>
      <c r="D139" s="127">
        <v>5439703.5800000001</v>
      </c>
      <c r="E139" s="128">
        <v>5254.25</v>
      </c>
      <c r="F139" s="128">
        <v>309.875</v>
      </c>
      <c r="G139" s="129">
        <v>5552.375</v>
      </c>
      <c r="H139" s="128">
        <v>2776.1875</v>
      </c>
      <c r="I139" s="127">
        <f>Table1[[#This Row],[AdjPriorYear 
Expenditures]]/Table1[[#This Row],[Total Riders (AM/PM counts)]]</f>
        <v>956.02588261779886</v>
      </c>
      <c r="J139" s="165">
        <f>Table1[[#This Row],[AdjPriorYear 
Expenditures]]/Table1[[#This Row],[Total Students]]</f>
        <v>1912.0517652355977</v>
      </c>
      <c r="K139" s="127">
        <f>Table1[[#This Row],[Allocation]]/Table1[[#This Row],[Total Riders (AM/PM counts)]]</f>
        <v>979.70752695918418</v>
      </c>
      <c r="L139" s="127">
        <f>Table1[[#This Row],[Allocation]]/Table1[[#This Row],[Total Students]]</f>
        <v>1959.4150539183684</v>
      </c>
      <c r="M139" s="130">
        <f>IF(Table1[[#This Row],[Allocation]]&gt;Table1[[#This Row],[AdjPriorYear 
Expenditures]],100%, Table1[[#This Row],[Allocation]]/Table1[[#This Row],[AdjPriorYear 
Expenditures]])</f>
        <v>1</v>
      </c>
      <c r="N139" s="127">
        <f>IF(Table1[[#This Row],[Percent Funded of Adjusted PYE]]=1,0,Table1[[#This Row],[AdjPriorYear 
Expenditures]]-Table1[[#This Row],[Allocation]])</f>
        <v>0</v>
      </c>
    </row>
    <row r="140" spans="1:14" x14ac:dyDescent="0.35">
      <c r="A140">
        <v>21206</v>
      </c>
      <c r="B140" t="s">
        <v>887</v>
      </c>
      <c r="C140" s="127">
        <v>582313.17000000004</v>
      </c>
      <c r="D140" s="127">
        <v>512857.51000000007</v>
      </c>
      <c r="E140" s="128">
        <v>475.75</v>
      </c>
      <c r="F140" s="128">
        <v>13.5</v>
      </c>
      <c r="G140" s="129">
        <v>499.75</v>
      </c>
      <c r="H140" s="128">
        <v>249.875</v>
      </c>
      <c r="I140" s="127">
        <f>Table1[[#This Row],[AdjPriorYear 
Expenditures]]/Table1[[#This Row],[Total Riders (AM/PM counts)]]</f>
        <v>1165.2089444722362</v>
      </c>
      <c r="J140" s="165">
        <f>Table1[[#This Row],[AdjPriorYear 
Expenditures]]/Table1[[#This Row],[Total Students]]</f>
        <v>2330.4178889444725</v>
      </c>
      <c r="K140" s="127">
        <f>Table1[[#This Row],[Allocation]]/Table1[[#This Row],[Total Riders (AM/PM counts)]]</f>
        <v>1026.2281340670336</v>
      </c>
      <c r="L140" s="127">
        <f>Table1[[#This Row],[Allocation]]/Table1[[#This Row],[Total Students]]</f>
        <v>2052.4562681340672</v>
      </c>
      <c r="M140" s="130">
        <f>IF(Table1[[#This Row],[Allocation]]&gt;Table1[[#This Row],[AdjPriorYear 
Expenditures]],100%, Table1[[#This Row],[Allocation]]/Table1[[#This Row],[AdjPriorYear 
Expenditures]])</f>
        <v>0.88072455926078408</v>
      </c>
      <c r="N140" s="127">
        <f>IF(Table1[[#This Row],[Percent Funded of Adjusted PYE]]=1,0,Table1[[#This Row],[AdjPriorYear 
Expenditures]]-Table1[[#This Row],[Allocation]])</f>
        <v>69455.659999999974</v>
      </c>
    </row>
    <row r="141" spans="1:14" x14ac:dyDescent="0.35">
      <c r="A141">
        <v>39209</v>
      </c>
      <c r="B141" t="s">
        <v>888</v>
      </c>
      <c r="C141" s="127">
        <v>937684.32000000007</v>
      </c>
      <c r="D141" s="127">
        <v>1010288.29</v>
      </c>
      <c r="E141" s="128">
        <v>761</v>
      </c>
      <c r="F141" s="128">
        <v>13.25</v>
      </c>
      <c r="G141" s="129">
        <v>788.5</v>
      </c>
      <c r="H141" s="128">
        <v>394.25</v>
      </c>
      <c r="I141" s="127">
        <f>Table1[[#This Row],[AdjPriorYear 
Expenditures]]/Table1[[#This Row],[Total Riders (AM/PM counts)]]</f>
        <v>1189.2001521876982</v>
      </c>
      <c r="J141" s="165">
        <f>Table1[[#This Row],[AdjPriorYear 
Expenditures]]/Table1[[#This Row],[Total Students]]</f>
        <v>2378.4003043753964</v>
      </c>
      <c r="K141" s="127">
        <f>Table1[[#This Row],[Allocation]]/Table1[[#This Row],[Total Riders (AM/PM counts)]]</f>
        <v>1281.2787444514902</v>
      </c>
      <c r="L141" s="127">
        <f>Table1[[#This Row],[Allocation]]/Table1[[#This Row],[Total Students]]</f>
        <v>2562.5574889029804</v>
      </c>
      <c r="M141" s="130">
        <f>IF(Table1[[#This Row],[Allocation]]&gt;Table1[[#This Row],[AdjPriorYear 
Expenditures]],100%, Table1[[#This Row],[Allocation]]/Table1[[#This Row],[AdjPriorYear 
Expenditures]])</f>
        <v>1</v>
      </c>
      <c r="N141" s="127">
        <f>IF(Table1[[#This Row],[Percent Funded of Adjusted PYE]]=1,0,Table1[[#This Row],[AdjPriorYear 
Expenditures]]-Table1[[#This Row],[Allocation]])</f>
        <v>0</v>
      </c>
    </row>
    <row r="142" spans="1:14" x14ac:dyDescent="0.35">
      <c r="A142">
        <v>37507</v>
      </c>
      <c r="B142" t="s">
        <v>889</v>
      </c>
      <c r="C142" s="127">
        <v>2653538.21</v>
      </c>
      <c r="D142" s="127">
        <v>2149363.9700000002</v>
      </c>
      <c r="E142" s="128">
        <v>1693</v>
      </c>
      <c r="F142" s="128">
        <v>99.25</v>
      </c>
      <c r="G142" s="129">
        <v>1790.875</v>
      </c>
      <c r="H142" s="128">
        <v>895.4375</v>
      </c>
      <c r="I142" s="127">
        <f>Table1[[#This Row],[AdjPriorYear 
Expenditures]]/Table1[[#This Row],[Total Riders (AM/PM counts)]]</f>
        <v>1481.6992866615481</v>
      </c>
      <c r="J142" s="165">
        <f>Table1[[#This Row],[AdjPriorYear 
Expenditures]]/Table1[[#This Row],[Total Students]]</f>
        <v>2963.3985733230961</v>
      </c>
      <c r="K142" s="127">
        <f>Table1[[#This Row],[Allocation]]/Table1[[#This Row],[Total Riders (AM/PM counts)]]</f>
        <v>1200.1753165352134</v>
      </c>
      <c r="L142" s="127">
        <f>Table1[[#This Row],[Allocation]]/Table1[[#This Row],[Total Students]]</f>
        <v>2400.3506330704267</v>
      </c>
      <c r="M142" s="130">
        <f>IF(Table1[[#This Row],[Allocation]]&gt;Table1[[#This Row],[AdjPriorYear 
Expenditures]],100%, Table1[[#This Row],[Allocation]]/Table1[[#This Row],[AdjPriorYear 
Expenditures]])</f>
        <v>0.80999925378877446</v>
      </c>
      <c r="N142" s="127">
        <f>IF(Table1[[#This Row],[Percent Funded of Adjusted PYE]]=1,0,Table1[[#This Row],[AdjPriorYear 
Expenditures]]-Table1[[#This Row],[Allocation]])</f>
        <v>504174.23999999976</v>
      </c>
    </row>
    <row r="143" spans="1:14" x14ac:dyDescent="0.35">
      <c r="A143">
        <v>30029</v>
      </c>
      <c r="B143" t="s">
        <v>890</v>
      </c>
      <c r="C143" s="127">
        <v>74271.960000000006</v>
      </c>
      <c r="D143" s="127">
        <v>78091.179999999993</v>
      </c>
      <c r="E143" s="128">
        <v>71.375</v>
      </c>
      <c r="F143" s="128">
        <v>0</v>
      </c>
      <c r="G143" s="129">
        <v>71.375</v>
      </c>
      <c r="H143" s="128">
        <v>35.6875</v>
      </c>
      <c r="I143" s="127">
        <f>Table1[[#This Row],[AdjPriorYear 
Expenditures]]/Table1[[#This Row],[Total Riders (AM/PM counts)]]</f>
        <v>1040.587880910683</v>
      </c>
      <c r="J143" s="165">
        <f>Table1[[#This Row],[AdjPriorYear 
Expenditures]]/Table1[[#This Row],[Total Students]]</f>
        <v>2081.175761821366</v>
      </c>
      <c r="K143" s="127">
        <f>Table1[[#This Row],[Allocation]]/Table1[[#This Row],[Total Riders (AM/PM counts)]]</f>
        <v>1094.0970928196145</v>
      </c>
      <c r="L143" s="127">
        <f>Table1[[#This Row],[Allocation]]/Table1[[#This Row],[Total Students]]</f>
        <v>2188.1941856392291</v>
      </c>
      <c r="M143" s="130">
        <f>IF(Table1[[#This Row],[Allocation]]&gt;Table1[[#This Row],[AdjPriorYear 
Expenditures]],100%, Table1[[#This Row],[Allocation]]/Table1[[#This Row],[AdjPriorYear 
Expenditures]])</f>
        <v>1</v>
      </c>
      <c r="N143" s="127">
        <f>IF(Table1[[#This Row],[Percent Funded of Adjusted PYE]]=1,0,Table1[[#This Row],[AdjPriorYear 
Expenditures]]-Table1[[#This Row],[Allocation]])</f>
        <v>0</v>
      </c>
    </row>
    <row r="144" spans="1:14" x14ac:dyDescent="0.35">
      <c r="A144">
        <v>29320</v>
      </c>
      <c r="B144" t="s">
        <v>891</v>
      </c>
      <c r="C144" s="127">
        <v>5169838.9399999995</v>
      </c>
      <c r="D144" s="127">
        <v>4476178.49</v>
      </c>
      <c r="E144" s="128">
        <v>4294.875</v>
      </c>
      <c r="F144" s="128">
        <v>358.375</v>
      </c>
      <c r="G144" s="129">
        <v>4675.875</v>
      </c>
      <c r="H144" s="128">
        <v>2337.9375</v>
      </c>
      <c r="I144" s="127">
        <f>Table1[[#This Row],[AdjPriorYear 
Expenditures]]/Table1[[#This Row],[Total Riders (AM/PM counts)]]</f>
        <v>1105.6409634560375</v>
      </c>
      <c r="J144" s="165">
        <f>Table1[[#This Row],[AdjPriorYear 
Expenditures]]/Table1[[#This Row],[Total Students]]</f>
        <v>2211.2819269120751</v>
      </c>
      <c r="K144" s="127">
        <f>Table1[[#This Row],[Allocation]]/Table1[[#This Row],[Total Riders (AM/PM counts)]]</f>
        <v>957.2921624294919</v>
      </c>
      <c r="L144" s="127">
        <f>Table1[[#This Row],[Allocation]]/Table1[[#This Row],[Total Students]]</f>
        <v>1914.5843248589838</v>
      </c>
      <c r="M144" s="130">
        <f>IF(Table1[[#This Row],[Allocation]]&gt;Table1[[#This Row],[AdjPriorYear 
Expenditures]],100%, Table1[[#This Row],[Allocation]]/Table1[[#This Row],[AdjPriorYear 
Expenditures]])</f>
        <v>0.86582552028206916</v>
      </c>
      <c r="N144" s="127">
        <f>IF(Table1[[#This Row],[Percent Funded of Adjusted PYE]]=1,0,Table1[[#This Row],[AdjPriorYear 
Expenditures]]-Table1[[#This Row],[Allocation]])</f>
        <v>693660.44999999925</v>
      </c>
    </row>
    <row r="145" spans="1:14" x14ac:dyDescent="0.35">
      <c r="A145">
        <v>31006</v>
      </c>
      <c r="B145" t="s">
        <v>892</v>
      </c>
      <c r="C145" s="127">
        <v>12543708.420000002</v>
      </c>
      <c r="D145" s="127">
        <v>11296126.65</v>
      </c>
      <c r="E145" s="128">
        <v>10520</v>
      </c>
      <c r="F145" s="128">
        <v>823</v>
      </c>
      <c r="G145" s="129">
        <v>11383.375</v>
      </c>
      <c r="H145" s="128">
        <v>5691.6875</v>
      </c>
      <c r="I145" s="127">
        <f>Table1[[#This Row],[AdjPriorYear 
Expenditures]]/Table1[[#This Row],[Total Riders (AM/PM counts)]]</f>
        <v>1101.9322845816819</v>
      </c>
      <c r="J145" s="165">
        <f>Table1[[#This Row],[AdjPriorYear 
Expenditures]]/Table1[[#This Row],[Total Students]]</f>
        <v>2203.8645691633637</v>
      </c>
      <c r="K145" s="127">
        <f>Table1[[#This Row],[Allocation]]/Table1[[#This Row],[Total Riders (AM/PM counts)]]</f>
        <v>992.3354585085707</v>
      </c>
      <c r="L145" s="127">
        <f>Table1[[#This Row],[Allocation]]/Table1[[#This Row],[Total Students]]</f>
        <v>1984.6709170171414</v>
      </c>
      <c r="M145" s="130">
        <f>IF(Table1[[#This Row],[Allocation]]&gt;Table1[[#This Row],[AdjPriorYear 
Expenditures]],100%, Table1[[#This Row],[Allocation]]/Table1[[#This Row],[AdjPriorYear 
Expenditures]])</f>
        <v>0.90054123324400415</v>
      </c>
      <c r="N145" s="127">
        <f>IF(Table1[[#This Row],[Percent Funded of Adjusted PYE]]=1,0,Table1[[#This Row],[AdjPriorYear 
Expenditures]]-Table1[[#This Row],[Allocation]])</f>
        <v>1247581.7700000014</v>
      </c>
    </row>
    <row r="146" spans="1:14" x14ac:dyDescent="0.35">
      <c r="A146">
        <v>39003</v>
      </c>
      <c r="B146" t="s">
        <v>893</v>
      </c>
      <c r="C146" s="127">
        <v>1122614.43</v>
      </c>
      <c r="D146" s="127">
        <v>1088693.49</v>
      </c>
      <c r="E146" s="128">
        <v>952.5</v>
      </c>
      <c r="F146" s="128">
        <v>14</v>
      </c>
      <c r="G146" s="129">
        <v>968.125</v>
      </c>
      <c r="H146" s="128">
        <v>484.0625</v>
      </c>
      <c r="I146" s="127">
        <f>Table1[[#This Row],[AdjPriorYear 
Expenditures]]/Table1[[#This Row],[Total Riders (AM/PM counts)]]</f>
        <v>1159.5759122014201</v>
      </c>
      <c r="J146" s="165">
        <f>Table1[[#This Row],[AdjPriorYear 
Expenditures]]/Table1[[#This Row],[Total Students]]</f>
        <v>2319.1518244028402</v>
      </c>
      <c r="K146" s="127">
        <f>Table1[[#This Row],[Allocation]]/Table1[[#This Row],[Total Riders (AM/PM counts)]]</f>
        <v>1124.5381433182699</v>
      </c>
      <c r="L146" s="127">
        <f>Table1[[#This Row],[Allocation]]/Table1[[#This Row],[Total Students]]</f>
        <v>2249.0762866365399</v>
      </c>
      <c r="M146" s="130">
        <f>IF(Table1[[#This Row],[Allocation]]&gt;Table1[[#This Row],[AdjPriorYear 
Expenditures]],100%, Table1[[#This Row],[Allocation]]/Table1[[#This Row],[AdjPriorYear 
Expenditures]])</f>
        <v>0.96978398006161393</v>
      </c>
      <c r="N146" s="127">
        <f>IF(Table1[[#This Row],[Percent Funded of Adjusted PYE]]=1,0,Table1[[#This Row],[AdjPriorYear 
Expenditures]]-Table1[[#This Row],[Allocation]])</f>
        <v>33920.939999999944</v>
      </c>
    </row>
    <row r="147" spans="1:14" x14ac:dyDescent="0.35">
      <c r="A147">
        <v>21014</v>
      </c>
      <c r="B147" t="s">
        <v>894</v>
      </c>
      <c r="C147" s="127">
        <v>395320.01</v>
      </c>
      <c r="D147" s="127">
        <v>420265.78</v>
      </c>
      <c r="E147" s="128">
        <v>381.25</v>
      </c>
      <c r="F147" s="128">
        <v>15</v>
      </c>
      <c r="G147" s="129">
        <v>396.125</v>
      </c>
      <c r="H147" s="128">
        <v>198.0625</v>
      </c>
      <c r="I147" s="127">
        <f>Table1[[#This Row],[AdjPriorYear 
Expenditures]]/Table1[[#This Row],[Total Riders (AM/PM counts)]]</f>
        <v>997.96783843483752</v>
      </c>
      <c r="J147" s="165">
        <f>Table1[[#This Row],[AdjPriorYear 
Expenditures]]/Table1[[#This Row],[Total Students]]</f>
        <v>1995.935676869675</v>
      </c>
      <c r="K147" s="127">
        <f>Table1[[#This Row],[Allocation]]/Table1[[#This Row],[Total Riders (AM/PM counts)]]</f>
        <v>1060.9423288103503</v>
      </c>
      <c r="L147" s="127">
        <f>Table1[[#This Row],[Allocation]]/Table1[[#This Row],[Total Students]]</f>
        <v>2121.8846576207006</v>
      </c>
      <c r="M147" s="130">
        <f>IF(Table1[[#This Row],[Allocation]]&gt;Table1[[#This Row],[AdjPriorYear 
Expenditures]],100%, Table1[[#This Row],[Allocation]]/Table1[[#This Row],[AdjPriorYear 
Expenditures]])</f>
        <v>1</v>
      </c>
      <c r="N147" s="127">
        <f>IF(Table1[[#This Row],[Percent Funded of Adjusted PYE]]=1,0,Table1[[#This Row],[AdjPriorYear 
Expenditures]]-Table1[[#This Row],[Allocation]])</f>
        <v>0</v>
      </c>
    </row>
    <row r="148" spans="1:14" x14ac:dyDescent="0.35">
      <c r="A148">
        <v>25155</v>
      </c>
      <c r="B148" t="s">
        <v>895</v>
      </c>
      <c r="C148" s="127">
        <v>368514.01</v>
      </c>
      <c r="D148" s="127">
        <v>307282.8</v>
      </c>
      <c r="E148" s="128">
        <v>273</v>
      </c>
      <c r="F148" s="128">
        <v>0</v>
      </c>
      <c r="G148" s="129">
        <v>273</v>
      </c>
      <c r="H148" s="128">
        <v>136.5</v>
      </c>
      <c r="I148" s="127">
        <f>Table1[[#This Row],[AdjPriorYear 
Expenditures]]/Table1[[#This Row],[Total Riders (AM/PM counts)]]</f>
        <v>1349.8681684981686</v>
      </c>
      <c r="J148" s="165">
        <f>Table1[[#This Row],[AdjPriorYear 
Expenditures]]/Table1[[#This Row],[Total Students]]</f>
        <v>2699.7363369963373</v>
      </c>
      <c r="K148" s="127">
        <f>Table1[[#This Row],[Allocation]]/Table1[[#This Row],[Total Riders (AM/PM counts)]]</f>
        <v>1125.578021978022</v>
      </c>
      <c r="L148" s="127">
        <f>Table1[[#This Row],[Allocation]]/Table1[[#This Row],[Total Students]]</f>
        <v>2251.156043956044</v>
      </c>
      <c r="M148" s="130">
        <f>IF(Table1[[#This Row],[Allocation]]&gt;Table1[[#This Row],[AdjPriorYear 
Expenditures]],100%, Table1[[#This Row],[Allocation]]/Table1[[#This Row],[AdjPriorYear 
Expenditures]])</f>
        <v>0.83384292499490043</v>
      </c>
      <c r="N148" s="127">
        <f>IF(Table1[[#This Row],[Percent Funded of Adjusted PYE]]=1,0,Table1[[#This Row],[AdjPriorYear 
Expenditures]]-Table1[[#This Row],[Allocation]])</f>
        <v>61231.210000000021</v>
      </c>
    </row>
    <row r="149" spans="1:14" x14ac:dyDescent="0.35">
      <c r="A149">
        <v>24014</v>
      </c>
      <c r="B149" t="s">
        <v>896</v>
      </c>
      <c r="C149" s="127">
        <v>191535.55</v>
      </c>
      <c r="D149" s="127">
        <v>186004.18</v>
      </c>
      <c r="E149" s="128">
        <v>164</v>
      </c>
      <c r="F149" s="128">
        <v>9.25</v>
      </c>
      <c r="G149" s="129">
        <v>164</v>
      </c>
      <c r="H149" s="128">
        <v>82</v>
      </c>
      <c r="I149" s="127">
        <f>Table1[[#This Row],[AdjPriorYear 
Expenditures]]/Table1[[#This Row],[Total Riders (AM/PM counts)]]</f>
        <v>1167.8996951219513</v>
      </c>
      <c r="J149" s="165">
        <f>Table1[[#This Row],[AdjPriorYear 
Expenditures]]/Table1[[#This Row],[Total Students]]</f>
        <v>2335.7993902439025</v>
      </c>
      <c r="K149" s="127">
        <f>Table1[[#This Row],[Allocation]]/Table1[[#This Row],[Total Riders (AM/PM counts)]]</f>
        <v>1134.1718292682926</v>
      </c>
      <c r="L149" s="127">
        <f>Table1[[#This Row],[Allocation]]/Table1[[#This Row],[Total Students]]</f>
        <v>2268.3436585365853</v>
      </c>
      <c r="M149" s="130">
        <f>IF(Table1[[#This Row],[Allocation]]&gt;Table1[[#This Row],[AdjPriorYear 
Expenditures]],100%, Table1[[#This Row],[Allocation]]/Table1[[#This Row],[AdjPriorYear 
Expenditures]])</f>
        <v>0.97112092246060855</v>
      </c>
      <c r="N149" s="127">
        <f>IF(Table1[[#This Row],[Percent Funded of Adjusted PYE]]=1,0,Table1[[#This Row],[AdjPriorYear 
Expenditures]]-Table1[[#This Row],[Allocation]])</f>
        <v>5531.3699999999953</v>
      </c>
    </row>
    <row r="150" spans="1:14" x14ac:dyDescent="0.35">
      <c r="A150">
        <v>26056</v>
      </c>
      <c r="B150" t="s">
        <v>897</v>
      </c>
      <c r="C150" s="127">
        <v>978918.15999999992</v>
      </c>
      <c r="D150" s="127">
        <v>744290.3</v>
      </c>
      <c r="E150" s="128">
        <v>670.125</v>
      </c>
      <c r="F150" s="128">
        <v>1</v>
      </c>
      <c r="G150" s="129">
        <v>670.625</v>
      </c>
      <c r="H150" s="128">
        <v>335.3125</v>
      </c>
      <c r="I150" s="127">
        <f>Table1[[#This Row],[AdjPriorYear 
Expenditures]]/Table1[[#This Row],[Total Riders (AM/PM counts)]]</f>
        <v>1459.7102106244174</v>
      </c>
      <c r="J150" s="165">
        <f>Table1[[#This Row],[AdjPriorYear 
Expenditures]]/Table1[[#This Row],[Total Students]]</f>
        <v>2919.4204212488348</v>
      </c>
      <c r="K150" s="127">
        <f>Table1[[#This Row],[Allocation]]/Table1[[#This Row],[Total Riders (AM/PM counts)]]</f>
        <v>1109.8457409133273</v>
      </c>
      <c r="L150" s="127">
        <f>Table1[[#This Row],[Allocation]]/Table1[[#This Row],[Total Students]]</f>
        <v>2219.6914818266546</v>
      </c>
      <c r="M150" s="130">
        <f>IF(Table1[[#This Row],[Allocation]]&gt;Table1[[#This Row],[AdjPriorYear 
Expenditures]],100%, Table1[[#This Row],[Allocation]]/Table1[[#This Row],[AdjPriorYear 
Expenditures]])</f>
        <v>0.76031922832037369</v>
      </c>
      <c r="N150" s="127">
        <f>IF(Table1[[#This Row],[Percent Funded of Adjusted PYE]]=1,0,Table1[[#This Row],[AdjPriorYear 
Expenditures]]-Table1[[#This Row],[Allocation]])</f>
        <v>234627.85999999987</v>
      </c>
    </row>
    <row r="151" spans="1:14" x14ac:dyDescent="0.35">
      <c r="A151">
        <v>32325</v>
      </c>
      <c r="B151" t="s">
        <v>898</v>
      </c>
      <c r="C151" s="127">
        <v>1255833.9899999998</v>
      </c>
      <c r="D151" s="127">
        <v>1202917.3799999999</v>
      </c>
      <c r="E151" s="128">
        <v>1167.75</v>
      </c>
      <c r="F151" s="128">
        <v>40.25</v>
      </c>
      <c r="G151" s="129">
        <v>1206.875</v>
      </c>
      <c r="H151" s="128">
        <v>603.4375</v>
      </c>
      <c r="I151" s="127">
        <f>Table1[[#This Row],[AdjPriorYear 
Expenditures]]/Table1[[#This Row],[Total Riders (AM/PM counts)]]</f>
        <v>1040.5667446918692</v>
      </c>
      <c r="J151" s="165">
        <f>Table1[[#This Row],[AdjPriorYear 
Expenditures]]/Table1[[#This Row],[Total Students]]</f>
        <v>2081.1334893837384</v>
      </c>
      <c r="K151" s="127">
        <f>Table1[[#This Row],[Allocation]]/Table1[[#This Row],[Total Riders (AM/PM counts)]]</f>
        <v>996.72077058518892</v>
      </c>
      <c r="L151" s="127">
        <f>Table1[[#This Row],[Allocation]]/Table1[[#This Row],[Total Students]]</f>
        <v>1993.4415411703778</v>
      </c>
      <c r="M151" s="130">
        <f>IF(Table1[[#This Row],[Allocation]]&gt;Table1[[#This Row],[AdjPriorYear 
Expenditures]],100%, Table1[[#This Row],[Allocation]]/Table1[[#This Row],[AdjPriorYear 
Expenditures]])</f>
        <v>0.95786337173434855</v>
      </c>
      <c r="N151" s="127">
        <f>IF(Table1[[#This Row],[Percent Funded of Adjusted PYE]]=1,0,Table1[[#This Row],[AdjPriorYear 
Expenditures]]-Table1[[#This Row],[Allocation]])</f>
        <v>52916.60999999987</v>
      </c>
    </row>
    <row r="152" spans="1:14" x14ac:dyDescent="0.35">
      <c r="A152">
        <v>37506</v>
      </c>
      <c r="B152" t="s">
        <v>899</v>
      </c>
      <c r="C152" s="127">
        <v>1735872.2000000002</v>
      </c>
      <c r="D152" s="127">
        <v>1513772.14</v>
      </c>
      <c r="E152" s="128">
        <v>1923</v>
      </c>
      <c r="F152" s="128">
        <v>184.5</v>
      </c>
      <c r="G152" s="129">
        <v>2034.875</v>
      </c>
      <c r="H152" s="128">
        <v>1017.4375</v>
      </c>
      <c r="I152" s="127">
        <f>Table1[[#This Row],[AdjPriorYear 
Expenditures]]/Table1[[#This Row],[Total Riders (AM/PM counts)]]</f>
        <v>853.06085140364894</v>
      </c>
      <c r="J152" s="165">
        <f>Table1[[#This Row],[AdjPriorYear 
Expenditures]]/Table1[[#This Row],[Total Students]]</f>
        <v>1706.1217028072979</v>
      </c>
      <c r="K152" s="127">
        <f>Table1[[#This Row],[Allocation]]/Table1[[#This Row],[Total Riders (AM/PM counts)]]</f>
        <v>743.91406843172183</v>
      </c>
      <c r="L152" s="127">
        <f>Table1[[#This Row],[Allocation]]/Table1[[#This Row],[Total Students]]</f>
        <v>1487.8281368634437</v>
      </c>
      <c r="M152" s="130">
        <f>IF(Table1[[#This Row],[Allocation]]&gt;Table1[[#This Row],[AdjPriorYear 
Expenditures]],100%, Table1[[#This Row],[Allocation]]/Table1[[#This Row],[AdjPriorYear 
Expenditures]])</f>
        <v>0.87205275826181194</v>
      </c>
      <c r="N152" s="127">
        <f>IF(Table1[[#This Row],[Percent Funded of Adjusted PYE]]=1,0,Table1[[#This Row],[AdjPriorYear 
Expenditures]]-Table1[[#This Row],[Allocation]])</f>
        <v>222100.06000000029</v>
      </c>
    </row>
    <row r="153" spans="1:14" x14ac:dyDescent="0.35">
      <c r="A153">
        <v>14064</v>
      </c>
      <c r="B153" t="s">
        <v>900</v>
      </c>
      <c r="C153" s="127">
        <v>793652.64000000013</v>
      </c>
      <c r="D153" s="127">
        <v>720299.09</v>
      </c>
      <c r="E153" s="128">
        <v>569.25</v>
      </c>
      <c r="F153" s="128">
        <v>28.625</v>
      </c>
      <c r="G153" s="129">
        <v>620.25</v>
      </c>
      <c r="H153" s="128">
        <v>310.125</v>
      </c>
      <c r="I153" s="127">
        <f>Table1[[#This Row],[AdjPriorYear 
Expenditures]]/Table1[[#This Row],[Total Riders (AM/PM counts)]]</f>
        <v>1279.568948004837</v>
      </c>
      <c r="J153" s="165">
        <f>Table1[[#This Row],[AdjPriorYear 
Expenditures]]/Table1[[#This Row],[Total Students]]</f>
        <v>2559.137896009674</v>
      </c>
      <c r="K153" s="127">
        <f>Table1[[#This Row],[Allocation]]/Table1[[#This Row],[Total Riders (AM/PM counts)]]</f>
        <v>1161.3044578798872</v>
      </c>
      <c r="L153" s="127">
        <f>Table1[[#This Row],[Allocation]]/Table1[[#This Row],[Total Students]]</f>
        <v>2322.6089157597744</v>
      </c>
      <c r="M153" s="130">
        <f>IF(Table1[[#This Row],[Allocation]]&gt;Table1[[#This Row],[AdjPriorYear 
Expenditures]],100%, Table1[[#This Row],[Allocation]]/Table1[[#This Row],[AdjPriorYear 
Expenditures]])</f>
        <v>0.90757474201811994</v>
      </c>
      <c r="N153" s="127">
        <f>IF(Table1[[#This Row],[Percent Funded of Adjusted PYE]]=1,0,Table1[[#This Row],[AdjPriorYear 
Expenditures]]-Table1[[#This Row],[Allocation]])</f>
        <v>73353.550000000163</v>
      </c>
    </row>
    <row r="154" spans="1:14" x14ac:dyDescent="0.35">
      <c r="A154">
        <v>11051</v>
      </c>
      <c r="B154" t="s">
        <v>901</v>
      </c>
      <c r="C154" s="127">
        <v>1847651.14</v>
      </c>
      <c r="D154" s="127">
        <v>1982386.6199999999</v>
      </c>
      <c r="E154" s="128">
        <v>1549.625</v>
      </c>
      <c r="F154" s="128">
        <v>47.125</v>
      </c>
      <c r="G154" s="129">
        <v>1595.125</v>
      </c>
      <c r="H154" s="128">
        <v>797.5625</v>
      </c>
      <c r="I154" s="127">
        <f>Table1[[#This Row],[AdjPriorYear 
Expenditures]]/Table1[[#This Row],[Total Riders (AM/PM counts)]]</f>
        <v>1158.3111919128594</v>
      </c>
      <c r="J154" s="165">
        <f>Table1[[#This Row],[AdjPriorYear 
Expenditures]]/Table1[[#This Row],[Total Students]]</f>
        <v>2316.6223838257188</v>
      </c>
      <c r="K154" s="127">
        <f>Table1[[#This Row],[Allocation]]/Table1[[#This Row],[Total Riders (AM/PM counts)]]</f>
        <v>1242.7782274116448</v>
      </c>
      <c r="L154" s="127">
        <f>Table1[[#This Row],[Allocation]]/Table1[[#This Row],[Total Students]]</f>
        <v>2485.5564548232896</v>
      </c>
      <c r="M154" s="130">
        <f>IF(Table1[[#This Row],[Allocation]]&gt;Table1[[#This Row],[AdjPriorYear 
Expenditures]],100%, Table1[[#This Row],[Allocation]]/Table1[[#This Row],[AdjPriorYear 
Expenditures]])</f>
        <v>1</v>
      </c>
      <c r="N154" s="127">
        <f>IF(Table1[[#This Row],[Percent Funded of Adjusted PYE]]=1,0,Table1[[#This Row],[AdjPriorYear 
Expenditures]]-Table1[[#This Row],[Allocation]])</f>
        <v>0</v>
      </c>
    </row>
    <row r="155" spans="1:14" x14ac:dyDescent="0.35">
      <c r="A155">
        <v>18400</v>
      </c>
      <c r="B155" t="s">
        <v>902</v>
      </c>
      <c r="C155" s="127">
        <v>5123536.1900000004</v>
      </c>
      <c r="D155" s="127">
        <v>3631846.73</v>
      </c>
      <c r="E155" s="128">
        <v>3692.875</v>
      </c>
      <c r="F155" s="128">
        <v>228.25</v>
      </c>
      <c r="G155" s="129">
        <v>3914</v>
      </c>
      <c r="H155" s="128">
        <v>1957</v>
      </c>
      <c r="I155" s="127">
        <f>Table1[[#This Row],[AdjPriorYear 
Expenditures]]/Table1[[#This Row],[Total Riders (AM/PM counts)]]</f>
        <v>1309.0281527848749</v>
      </c>
      <c r="J155" s="165">
        <f>Table1[[#This Row],[AdjPriorYear 
Expenditures]]/Table1[[#This Row],[Total Students]]</f>
        <v>2618.0563055697498</v>
      </c>
      <c r="K155" s="127">
        <f>Table1[[#This Row],[Allocation]]/Table1[[#This Row],[Total Riders (AM/PM counts)]]</f>
        <v>927.91178589678077</v>
      </c>
      <c r="L155" s="127">
        <f>Table1[[#This Row],[Allocation]]/Table1[[#This Row],[Total Students]]</f>
        <v>1855.8235717935615</v>
      </c>
      <c r="M155" s="130">
        <f>IF(Table1[[#This Row],[Allocation]]&gt;Table1[[#This Row],[AdjPriorYear 
Expenditures]],100%, Table1[[#This Row],[Allocation]]/Table1[[#This Row],[AdjPriorYear 
Expenditures]])</f>
        <v>0.70885548482873106</v>
      </c>
      <c r="N155" s="127">
        <f>IF(Table1[[#This Row],[Percent Funded of Adjusted PYE]]=1,0,Table1[[#This Row],[AdjPriorYear 
Expenditures]]-Table1[[#This Row],[Allocation]])</f>
        <v>1491689.4600000004</v>
      </c>
    </row>
    <row r="156" spans="1:14" x14ac:dyDescent="0.35">
      <c r="A156">
        <v>23403</v>
      </c>
      <c r="B156" t="s">
        <v>903</v>
      </c>
      <c r="C156" s="127">
        <v>2495613.5799999996</v>
      </c>
      <c r="D156" s="127">
        <v>2289333.9300000002</v>
      </c>
      <c r="E156" s="128">
        <v>2365.875</v>
      </c>
      <c r="F156" s="128">
        <v>131.75</v>
      </c>
      <c r="G156" s="129">
        <v>2487</v>
      </c>
      <c r="H156" s="128">
        <v>1243.5</v>
      </c>
      <c r="I156" s="127">
        <f>Table1[[#This Row],[AdjPriorYear 
Expenditures]]/Table1[[#This Row],[Total Riders (AM/PM counts)]]</f>
        <v>1003.4634418978687</v>
      </c>
      <c r="J156" s="165">
        <f>Table1[[#This Row],[AdjPriorYear 
Expenditures]]/Table1[[#This Row],[Total Students]]</f>
        <v>2006.9268837957375</v>
      </c>
      <c r="K156" s="127">
        <f>Table1[[#This Row],[Allocation]]/Table1[[#This Row],[Total Riders (AM/PM counts)]]</f>
        <v>920.52027744270208</v>
      </c>
      <c r="L156" s="127">
        <f>Table1[[#This Row],[Allocation]]/Table1[[#This Row],[Total Students]]</f>
        <v>1841.0405548854042</v>
      </c>
      <c r="M156" s="130">
        <f>IF(Table1[[#This Row],[Allocation]]&gt;Table1[[#This Row],[AdjPriorYear 
Expenditures]],100%, Table1[[#This Row],[Allocation]]/Table1[[#This Row],[AdjPriorYear 
Expenditures]])</f>
        <v>0.91734311287086379</v>
      </c>
      <c r="N156" s="127">
        <f>IF(Table1[[#This Row],[Percent Funded of Adjusted PYE]]=1,0,Table1[[#This Row],[AdjPriorYear 
Expenditures]]-Table1[[#This Row],[Allocation]])</f>
        <v>206279.64999999944</v>
      </c>
    </row>
    <row r="157" spans="1:14" x14ac:dyDescent="0.35">
      <c r="A157">
        <v>25200</v>
      </c>
      <c r="B157" t="s">
        <v>904</v>
      </c>
      <c r="C157" s="127">
        <v>160636.63</v>
      </c>
      <c r="D157" s="127">
        <v>191844.93</v>
      </c>
      <c r="E157" s="128">
        <v>82.625</v>
      </c>
      <c r="F157" s="128">
        <v>0</v>
      </c>
      <c r="G157" s="129">
        <v>82.625</v>
      </c>
      <c r="H157" s="128">
        <v>41.3125</v>
      </c>
      <c r="I157" s="127">
        <f>Table1[[#This Row],[AdjPriorYear 
Expenditures]]/Table1[[#This Row],[Total Riders (AM/PM counts)]]</f>
        <v>1944.1649621785175</v>
      </c>
      <c r="J157" s="165">
        <f>Table1[[#This Row],[AdjPriorYear 
Expenditures]]/Table1[[#This Row],[Total Students]]</f>
        <v>3888.329924357035</v>
      </c>
      <c r="K157" s="127">
        <f>Table1[[#This Row],[Allocation]]/Table1[[#This Row],[Total Riders (AM/PM counts)]]</f>
        <v>2321.8750983358545</v>
      </c>
      <c r="L157" s="127">
        <f>Table1[[#This Row],[Allocation]]/Table1[[#This Row],[Total Students]]</f>
        <v>4643.7501966717091</v>
      </c>
      <c r="M157" s="130">
        <f>IF(Table1[[#This Row],[Allocation]]&gt;Table1[[#This Row],[AdjPriorYear 
Expenditures]],100%, Table1[[#This Row],[Allocation]]/Table1[[#This Row],[AdjPriorYear 
Expenditures]])</f>
        <v>1</v>
      </c>
      <c r="N157" s="127">
        <f>IF(Table1[[#This Row],[Percent Funded of Adjusted PYE]]=1,0,Table1[[#This Row],[AdjPriorYear 
Expenditures]]-Table1[[#This Row],[Allocation]])</f>
        <v>0</v>
      </c>
    </row>
    <row r="158" spans="1:14" x14ac:dyDescent="0.35">
      <c r="A158">
        <v>34003</v>
      </c>
      <c r="B158" t="s">
        <v>905</v>
      </c>
      <c r="C158" s="127">
        <v>11075147.639999999</v>
      </c>
      <c r="D158" s="127">
        <v>10871159</v>
      </c>
      <c r="E158" s="128">
        <v>10167.875</v>
      </c>
      <c r="F158" s="128">
        <v>692.25</v>
      </c>
      <c r="G158" s="129">
        <v>10879.125</v>
      </c>
      <c r="H158" s="128">
        <v>5439.5625</v>
      </c>
      <c r="I158" s="127">
        <f>Table1[[#This Row],[AdjPriorYear 
Expenditures]]/Table1[[#This Row],[Total Riders (AM/PM counts)]]</f>
        <v>1018.0182358415772</v>
      </c>
      <c r="J158" s="165">
        <f>Table1[[#This Row],[AdjPriorYear 
Expenditures]]/Table1[[#This Row],[Total Students]]</f>
        <v>2036.0364716831543</v>
      </c>
      <c r="K158" s="127">
        <f>Table1[[#This Row],[Allocation]]/Table1[[#This Row],[Total Riders (AM/PM counts)]]</f>
        <v>999.26777199453079</v>
      </c>
      <c r="L158" s="127">
        <f>Table1[[#This Row],[Allocation]]/Table1[[#This Row],[Total Students]]</f>
        <v>1998.5355439890616</v>
      </c>
      <c r="M158" s="130">
        <f>IF(Table1[[#This Row],[Allocation]]&gt;Table1[[#This Row],[AdjPriorYear 
Expenditures]],100%, Table1[[#This Row],[Allocation]]/Table1[[#This Row],[AdjPriorYear 
Expenditures]])</f>
        <v>0.98158140671071015</v>
      </c>
      <c r="N158" s="127">
        <f>IF(Table1[[#This Row],[Percent Funded of Adjusted PYE]]=1,0,Table1[[#This Row],[AdjPriorYear 
Expenditures]]-Table1[[#This Row],[Allocation]])</f>
        <v>203988.63999999873</v>
      </c>
    </row>
    <row r="159" spans="1:14" x14ac:dyDescent="0.35">
      <c r="A159">
        <v>33211</v>
      </c>
      <c r="B159" t="s">
        <v>906</v>
      </c>
      <c r="C159" s="127">
        <v>388485.16</v>
      </c>
      <c r="D159" s="127">
        <v>351764.86</v>
      </c>
      <c r="E159" s="128">
        <v>176.5</v>
      </c>
      <c r="F159" s="128">
        <v>0</v>
      </c>
      <c r="G159" s="129">
        <v>176.5</v>
      </c>
      <c r="H159" s="128">
        <v>88.25</v>
      </c>
      <c r="I159" s="127">
        <f>Table1[[#This Row],[AdjPriorYear 
Expenditures]]/Table1[[#This Row],[Total Riders (AM/PM counts)]]</f>
        <v>2201.0490651558071</v>
      </c>
      <c r="J159" s="165">
        <f>Table1[[#This Row],[AdjPriorYear 
Expenditures]]/Table1[[#This Row],[Total Students]]</f>
        <v>4402.0981303116141</v>
      </c>
      <c r="K159" s="127">
        <f>Table1[[#This Row],[Allocation]]/Table1[[#This Row],[Total Riders (AM/PM counts)]]</f>
        <v>1993.0020396600567</v>
      </c>
      <c r="L159" s="127">
        <f>Table1[[#This Row],[Allocation]]/Table1[[#This Row],[Total Students]]</f>
        <v>3986.0040793201133</v>
      </c>
      <c r="M159" s="130">
        <f>IF(Table1[[#This Row],[Allocation]]&gt;Table1[[#This Row],[AdjPriorYear 
Expenditures]],100%, Table1[[#This Row],[Allocation]]/Table1[[#This Row],[AdjPriorYear 
Expenditures]])</f>
        <v>0.90547824272103472</v>
      </c>
      <c r="N159" s="127">
        <f>IF(Table1[[#This Row],[Percent Funded of Adjusted PYE]]=1,0,Table1[[#This Row],[AdjPriorYear 
Expenditures]]-Table1[[#This Row],[Allocation]])</f>
        <v>36720.299999999988</v>
      </c>
    </row>
    <row r="160" spans="1:14" x14ac:dyDescent="0.35">
      <c r="A160">
        <v>17417</v>
      </c>
      <c r="B160" t="s">
        <v>907</v>
      </c>
      <c r="C160" s="127">
        <v>13621158.289999999</v>
      </c>
      <c r="D160" s="127">
        <v>13568594.260000002</v>
      </c>
      <c r="E160" s="128">
        <v>16650.75</v>
      </c>
      <c r="F160" s="128">
        <v>1365.25</v>
      </c>
      <c r="G160" s="129">
        <v>18048.5</v>
      </c>
      <c r="H160" s="128">
        <v>9024.25</v>
      </c>
      <c r="I160" s="127">
        <f>Table1[[#This Row],[AdjPriorYear 
Expenditures]]/Table1[[#This Row],[Total Riders (AM/PM counts)]]</f>
        <v>754.69752555614036</v>
      </c>
      <c r="J160" s="165">
        <f>Table1[[#This Row],[AdjPriorYear 
Expenditures]]/Table1[[#This Row],[Total Students]]</f>
        <v>1509.3950511122807</v>
      </c>
      <c r="K160" s="127">
        <f>Table1[[#This Row],[Allocation]]/Table1[[#This Row],[Total Riders (AM/PM counts)]]</f>
        <v>751.78514890434121</v>
      </c>
      <c r="L160" s="127">
        <f>Table1[[#This Row],[Allocation]]/Table1[[#This Row],[Total Students]]</f>
        <v>1503.5702978086824</v>
      </c>
      <c r="M160" s="130">
        <f>IF(Table1[[#This Row],[Allocation]]&gt;Table1[[#This Row],[AdjPriorYear 
Expenditures]],100%, Table1[[#This Row],[Allocation]]/Table1[[#This Row],[AdjPriorYear 
Expenditures]])</f>
        <v>0.9961410014566392</v>
      </c>
      <c r="N160" s="127">
        <f>IF(Table1[[#This Row],[Percent Funded of Adjusted PYE]]=1,0,Table1[[#This Row],[AdjPriorYear 
Expenditures]]-Table1[[#This Row],[Allocation]])</f>
        <v>52564.029999997467</v>
      </c>
    </row>
    <row r="161" spans="1:14" x14ac:dyDescent="0.35">
      <c r="A161">
        <v>15201</v>
      </c>
      <c r="B161" t="s">
        <v>908</v>
      </c>
      <c r="C161" s="127">
        <v>4077757.43</v>
      </c>
      <c r="D161" s="127">
        <v>3164553.79</v>
      </c>
      <c r="E161" s="128">
        <v>3279</v>
      </c>
      <c r="F161" s="128">
        <v>404.375</v>
      </c>
      <c r="G161" s="129">
        <v>3702.625</v>
      </c>
      <c r="H161" s="128">
        <v>1851.3125</v>
      </c>
      <c r="I161" s="127">
        <f>Table1[[#This Row],[AdjPriorYear 
Expenditures]]/Table1[[#This Row],[Total Riders (AM/PM counts)]]</f>
        <v>1101.3152641706897</v>
      </c>
      <c r="J161" s="165">
        <f>Table1[[#This Row],[AdjPriorYear 
Expenditures]]/Table1[[#This Row],[Total Students]]</f>
        <v>2202.6305283413794</v>
      </c>
      <c r="K161" s="127">
        <f>Table1[[#This Row],[Allocation]]/Table1[[#This Row],[Total Riders (AM/PM counts)]]</f>
        <v>854.67844839809595</v>
      </c>
      <c r="L161" s="127">
        <f>Table1[[#This Row],[Allocation]]/Table1[[#This Row],[Total Students]]</f>
        <v>1709.3568967961919</v>
      </c>
      <c r="M161" s="130">
        <f>IF(Table1[[#This Row],[Allocation]]&gt;Table1[[#This Row],[AdjPriorYear 
Expenditures]],100%, Table1[[#This Row],[Allocation]]/Table1[[#This Row],[AdjPriorYear 
Expenditures]])</f>
        <v>0.77605248578996522</v>
      </c>
      <c r="N161" s="127">
        <f>IF(Table1[[#This Row],[Percent Funded of Adjusted PYE]]=1,0,Table1[[#This Row],[AdjPriorYear 
Expenditures]]-Table1[[#This Row],[Allocation]])</f>
        <v>913203.64000000013</v>
      </c>
    </row>
    <row r="162" spans="1:14" x14ac:dyDescent="0.35">
      <c r="A162">
        <v>38324</v>
      </c>
      <c r="B162" t="s">
        <v>909</v>
      </c>
      <c r="C162" s="127">
        <v>398220.89</v>
      </c>
      <c r="D162" s="127">
        <v>364386.17</v>
      </c>
      <c r="E162" s="128">
        <v>151.625</v>
      </c>
      <c r="F162" s="128">
        <v>0</v>
      </c>
      <c r="G162" s="129">
        <v>151.625</v>
      </c>
      <c r="H162" s="128">
        <v>75.8125</v>
      </c>
      <c r="I162" s="127">
        <f>Table1[[#This Row],[AdjPriorYear 
Expenditures]]/Table1[[#This Row],[Total Riders (AM/PM counts)]]</f>
        <v>2626.3537675185489</v>
      </c>
      <c r="J162" s="165">
        <f>Table1[[#This Row],[AdjPriorYear 
Expenditures]]/Table1[[#This Row],[Total Students]]</f>
        <v>5252.7075350370978</v>
      </c>
      <c r="K162" s="127">
        <f>Table1[[#This Row],[Allocation]]/Table1[[#This Row],[Total Riders (AM/PM counts)]]</f>
        <v>2403.2063973619124</v>
      </c>
      <c r="L162" s="127">
        <f>Table1[[#This Row],[Allocation]]/Table1[[#This Row],[Total Students]]</f>
        <v>4806.4127947238248</v>
      </c>
      <c r="M162" s="130">
        <f>IF(Table1[[#This Row],[Allocation]]&gt;Table1[[#This Row],[AdjPriorYear 
Expenditures]],100%, Table1[[#This Row],[Allocation]]/Table1[[#This Row],[AdjPriorYear 
Expenditures]])</f>
        <v>0.91503529611417411</v>
      </c>
      <c r="N162" s="127">
        <f>IF(Table1[[#This Row],[Percent Funded of Adjusted PYE]]=1,0,Table1[[#This Row],[AdjPriorYear 
Expenditures]]-Table1[[#This Row],[Allocation]])</f>
        <v>33834.72000000003</v>
      </c>
    </row>
    <row r="163" spans="1:14" x14ac:dyDescent="0.35">
      <c r="A163">
        <v>14400</v>
      </c>
      <c r="B163" t="s">
        <v>910</v>
      </c>
      <c r="C163" s="127">
        <v>218785.69000000003</v>
      </c>
      <c r="D163" s="127">
        <v>217855.99</v>
      </c>
      <c r="E163" s="128">
        <v>141.25</v>
      </c>
      <c r="F163" s="128">
        <v>5.5</v>
      </c>
      <c r="G163" s="129">
        <v>151.75</v>
      </c>
      <c r="H163" s="128">
        <v>75.875</v>
      </c>
      <c r="I163" s="127">
        <f>Table1[[#This Row],[AdjPriorYear 
Expenditures]]/Table1[[#This Row],[Total Riders (AM/PM counts)]]</f>
        <v>1441.7508401976938</v>
      </c>
      <c r="J163" s="165">
        <f>Table1[[#This Row],[AdjPriorYear 
Expenditures]]/Table1[[#This Row],[Total Students]]</f>
        <v>2883.5016803953877</v>
      </c>
      <c r="K163" s="127">
        <f>Table1[[#This Row],[Allocation]]/Table1[[#This Row],[Total Riders (AM/PM counts)]]</f>
        <v>1435.6243163097199</v>
      </c>
      <c r="L163" s="127">
        <f>Table1[[#This Row],[Allocation]]/Table1[[#This Row],[Total Students]]</f>
        <v>2871.2486326194398</v>
      </c>
      <c r="M163" s="130">
        <f>IF(Table1[[#This Row],[Allocation]]&gt;Table1[[#This Row],[AdjPriorYear 
Expenditures]],100%, Table1[[#This Row],[Allocation]]/Table1[[#This Row],[AdjPriorYear 
Expenditures]])</f>
        <v>0.99575063615906489</v>
      </c>
      <c r="N163" s="127">
        <f>IF(Table1[[#This Row],[Percent Funded of Adjusted PYE]]=1,0,Table1[[#This Row],[AdjPriorYear 
Expenditures]]-Table1[[#This Row],[Allocation]])</f>
        <v>929.70000000004075</v>
      </c>
    </row>
    <row r="164" spans="1:14" x14ac:dyDescent="0.35">
      <c r="A164">
        <v>25101</v>
      </c>
      <c r="B164" t="s">
        <v>911</v>
      </c>
      <c r="C164" s="127">
        <v>1195893.5</v>
      </c>
      <c r="D164" s="127">
        <v>1215523.8999999999</v>
      </c>
      <c r="E164" s="128">
        <v>975.875</v>
      </c>
      <c r="F164" s="128">
        <v>68.875</v>
      </c>
      <c r="G164" s="129">
        <v>1054.25</v>
      </c>
      <c r="H164" s="128">
        <v>527.125</v>
      </c>
      <c r="I164" s="127">
        <f>Table1[[#This Row],[AdjPriorYear 
Expenditures]]/Table1[[#This Row],[Total Riders (AM/PM counts)]]</f>
        <v>1134.3547545648564</v>
      </c>
      <c r="J164" s="165">
        <f>Table1[[#This Row],[AdjPriorYear 
Expenditures]]/Table1[[#This Row],[Total Students]]</f>
        <v>2268.7095091297128</v>
      </c>
      <c r="K164" s="127">
        <f>Table1[[#This Row],[Allocation]]/Table1[[#This Row],[Total Riders (AM/PM counts)]]</f>
        <v>1152.9750059283849</v>
      </c>
      <c r="L164" s="127">
        <f>Table1[[#This Row],[Allocation]]/Table1[[#This Row],[Total Students]]</f>
        <v>2305.9500118567698</v>
      </c>
      <c r="M164" s="130">
        <f>IF(Table1[[#This Row],[Allocation]]&gt;Table1[[#This Row],[AdjPriorYear 
Expenditures]],100%, Table1[[#This Row],[Allocation]]/Table1[[#This Row],[AdjPriorYear 
Expenditures]])</f>
        <v>1</v>
      </c>
      <c r="N164" s="127">
        <f>IF(Table1[[#This Row],[Percent Funded of Adjusted PYE]]=1,0,Table1[[#This Row],[AdjPriorYear 
Expenditures]]-Table1[[#This Row],[Allocation]])</f>
        <v>0</v>
      </c>
    </row>
    <row r="165" spans="1:14" x14ac:dyDescent="0.35">
      <c r="A165">
        <v>14172</v>
      </c>
      <c r="B165" t="s">
        <v>912</v>
      </c>
      <c r="C165" s="127">
        <v>627257.32000000007</v>
      </c>
      <c r="D165" s="127">
        <v>510491.66000000003</v>
      </c>
      <c r="E165" s="128">
        <v>573.5</v>
      </c>
      <c r="F165" s="128">
        <v>25.25</v>
      </c>
      <c r="G165" s="129">
        <v>604.75</v>
      </c>
      <c r="H165" s="128">
        <v>302.375</v>
      </c>
      <c r="I165" s="127">
        <f>Table1[[#This Row],[AdjPriorYear 
Expenditures]]/Table1[[#This Row],[Total Riders (AM/PM counts)]]</f>
        <v>1037.2175609756098</v>
      </c>
      <c r="J165" s="165">
        <f>Table1[[#This Row],[AdjPriorYear 
Expenditures]]/Table1[[#This Row],[Total Students]]</f>
        <v>2074.4351219512196</v>
      </c>
      <c r="K165" s="127">
        <f>Table1[[#This Row],[Allocation]]/Table1[[#This Row],[Total Riders (AM/PM counts)]]</f>
        <v>844.13668458040513</v>
      </c>
      <c r="L165" s="127">
        <f>Table1[[#This Row],[Allocation]]/Table1[[#This Row],[Total Students]]</f>
        <v>1688.2733691608103</v>
      </c>
      <c r="M165" s="130">
        <f>IF(Table1[[#This Row],[Allocation]]&gt;Table1[[#This Row],[AdjPriorYear 
Expenditures]],100%, Table1[[#This Row],[Allocation]]/Table1[[#This Row],[AdjPriorYear 
Expenditures]])</f>
        <v>0.81384727403420332</v>
      </c>
      <c r="N165" s="127">
        <f>IF(Table1[[#This Row],[Percent Funded of Adjusted PYE]]=1,0,Table1[[#This Row],[AdjPriorYear 
Expenditures]]-Table1[[#This Row],[Allocation]])</f>
        <v>116765.66000000003</v>
      </c>
    </row>
    <row r="166" spans="1:14" x14ac:dyDescent="0.35">
      <c r="A166">
        <v>22105</v>
      </c>
      <c r="B166" t="s">
        <v>913</v>
      </c>
      <c r="C166" s="127">
        <v>383877.47</v>
      </c>
      <c r="D166" s="127">
        <v>383092.12</v>
      </c>
      <c r="E166" s="128">
        <v>117.875</v>
      </c>
      <c r="F166" s="128">
        <v>7</v>
      </c>
      <c r="G166" s="129">
        <v>136.875</v>
      </c>
      <c r="H166" s="128">
        <v>68.4375</v>
      </c>
      <c r="I166" s="127">
        <f>Table1[[#This Row],[AdjPriorYear 
Expenditures]]/Table1[[#This Row],[Total Riders (AM/PM counts)]]</f>
        <v>2804.5842557077622</v>
      </c>
      <c r="J166" s="165">
        <f>Table1[[#This Row],[AdjPriorYear 
Expenditures]]/Table1[[#This Row],[Total Students]]</f>
        <v>5609.1685114155243</v>
      </c>
      <c r="K166" s="127">
        <f>Table1[[#This Row],[Allocation]]/Table1[[#This Row],[Total Riders (AM/PM counts)]]</f>
        <v>2798.8465388127852</v>
      </c>
      <c r="L166" s="127">
        <f>Table1[[#This Row],[Allocation]]/Table1[[#This Row],[Total Students]]</f>
        <v>5597.6930776255704</v>
      </c>
      <c r="M166" s="130">
        <f>IF(Table1[[#This Row],[Allocation]]&gt;Table1[[#This Row],[AdjPriorYear 
Expenditures]],100%, Table1[[#This Row],[Allocation]]/Table1[[#This Row],[AdjPriorYear 
Expenditures]])</f>
        <v>0.99795416490579669</v>
      </c>
      <c r="N166" s="127">
        <f>IF(Table1[[#This Row],[Percent Funded of Adjusted PYE]]=1,0,Table1[[#This Row],[AdjPriorYear 
Expenditures]]-Table1[[#This Row],[Allocation]])</f>
        <v>785.34999999997672</v>
      </c>
    </row>
    <row r="167" spans="1:14" x14ac:dyDescent="0.35">
      <c r="A167">
        <v>24105</v>
      </c>
      <c r="B167" t="s">
        <v>914</v>
      </c>
      <c r="C167" s="127">
        <v>808706.75</v>
      </c>
      <c r="D167" s="127">
        <v>786383.32</v>
      </c>
      <c r="E167" s="128">
        <v>694.125</v>
      </c>
      <c r="F167" s="128">
        <v>8.875</v>
      </c>
      <c r="G167" s="129">
        <v>711</v>
      </c>
      <c r="H167" s="128">
        <v>355.5</v>
      </c>
      <c r="I167" s="127">
        <f>Table1[[#This Row],[AdjPriorYear 
Expenditures]]/Table1[[#This Row],[Total Riders (AM/PM counts)]]</f>
        <v>1137.4215893108299</v>
      </c>
      <c r="J167" s="165">
        <f>Table1[[#This Row],[AdjPriorYear 
Expenditures]]/Table1[[#This Row],[Total Students]]</f>
        <v>2274.8431786216597</v>
      </c>
      <c r="K167" s="127">
        <f>Table1[[#This Row],[Allocation]]/Table1[[#This Row],[Total Riders (AM/PM counts)]]</f>
        <v>1106.0243600562587</v>
      </c>
      <c r="L167" s="127">
        <f>Table1[[#This Row],[Allocation]]/Table1[[#This Row],[Total Students]]</f>
        <v>2212.0487201125175</v>
      </c>
      <c r="M167" s="130">
        <f>IF(Table1[[#This Row],[Allocation]]&gt;Table1[[#This Row],[AdjPriorYear 
Expenditures]],100%, Table1[[#This Row],[Allocation]]/Table1[[#This Row],[AdjPriorYear 
Expenditures]])</f>
        <v>0.97239613741322173</v>
      </c>
      <c r="N167" s="127">
        <f>IF(Table1[[#This Row],[Percent Funded of Adjusted PYE]]=1,0,Table1[[#This Row],[AdjPriorYear 
Expenditures]]-Table1[[#This Row],[Allocation]])</f>
        <v>22323.430000000051</v>
      </c>
    </row>
    <row r="168" spans="1:14" x14ac:dyDescent="0.35">
      <c r="A168">
        <v>34111</v>
      </c>
      <c r="B168" t="s">
        <v>915</v>
      </c>
      <c r="C168" s="127">
        <v>5850846.1100000003</v>
      </c>
      <c r="D168" s="127">
        <v>5567844.3200000003</v>
      </c>
      <c r="E168" s="128">
        <v>4631.125</v>
      </c>
      <c r="F168" s="128">
        <v>452.75</v>
      </c>
      <c r="G168" s="129">
        <v>5120</v>
      </c>
      <c r="H168" s="128">
        <v>2560</v>
      </c>
      <c r="I168" s="127">
        <f>Table1[[#This Row],[AdjPriorYear 
Expenditures]]/Table1[[#This Row],[Total Riders (AM/PM counts)]]</f>
        <v>1142.7433808593751</v>
      </c>
      <c r="J168" s="165">
        <f>Table1[[#This Row],[AdjPriorYear 
Expenditures]]/Table1[[#This Row],[Total Students]]</f>
        <v>2285.4867617187501</v>
      </c>
      <c r="K168" s="127">
        <f>Table1[[#This Row],[Allocation]]/Table1[[#This Row],[Total Riders (AM/PM counts)]]</f>
        <v>1087.4695937500001</v>
      </c>
      <c r="L168" s="127">
        <f>Table1[[#This Row],[Allocation]]/Table1[[#This Row],[Total Students]]</f>
        <v>2174.9391875000001</v>
      </c>
      <c r="M168" s="130">
        <f>IF(Table1[[#This Row],[Allocation]]&gt;Table1[[#This Row],[AdjPriorYear 
Expenditures]],100%, Table1[[#This Row],[Allocation]]/Table1[[#This Row],[AdjPriorYear 
Expenditures]])</f>
        <v>0.95163062150680977</v>
      </c>
      <c r="N168" s="127">
        <f>IF(Table1[[#This Row],[Percent Funded of Adjusted PYE]]=1,0,Table1[[#This Row],[AdjPriorYear 
Expenditures]]-Table1[[#This Row],[Allocation]])</f>
        <v>283001.79000000004</v>
      </c>
    </row>
    <row r="169" spans="1:14" x14ac:dyDescent="0.35">
      <c r="A169">
        <v>24019</v>
      </c>
      <c r="B169" t="s">
        <v>916</v>
      </c>
      <c r="C169" s="127">
        <v>1186256.3</v>
      </c>
      <c r="D169" s="127">
        <v>1080660.8699999999</v>
      </c>
      <c r="E169" s="128">
        <v>1060.875</v>
      </c>
      <c r="F169" s="128">
        <v>119.125</v>
      </c>
      <c r="G169" s="129">
        <v>1137.5</v>
      </c>
      <c r="H169" s="128">
        <v>568.75</v>
      </c>
      <c r="I169" s="127">
        <f>Table1[[#This Row],[AdjPriorYear 
Expenditures]]/Table1[[#This Row],[Total Riders (AM/PM counts)]]</f>
        <v>1042.8626813186813</v>
      </c>
      <c r="J169" s="165">
        <f>Table1[[#This Row],[AdjPriorYear 
Expenditures]]/Table1[[#This Row],[Total Students]]</f>
        <v>2085.7253626373627</v>
      </c>
      <c r="K169" s="127">
        <f>Table1[[#This Row],[Allocation]]/Table1[[#This Row],[Total Riders (AM/PM counts)]]</f>
        <v>950.03153406593401</v>
      </c>
      <c r="L169" s="127">
        <f>Table1[[#This Row],[Allocation]]/Table1[[#This Row],[Total Students]]</f>
        <v>1900.063068131868</v>
      </c>
      <c r="M169" s="130">
        <f>IF(Table1[[#This Row],[Allocation]]&gt;Table1[[#This Row],[AdjPriorYear 
Expenditures]],100%, Table1[[#This Row],[Allocation]]/Table1[[#This Row],[AdjPriorYear 
Expenditures]])</f>
        <v>0.91098430415079767</v>
      </c>
      <c r="N169" s="127">
        <f>IF(Table1[[#This Row],[Percent Funded of Adjusted PYE]]=1,0,Table1[[#This Row],[AdjPriorYear 
Expenditures]]-Table1[[#This Row],[Allocation]])</f>
        <v>105595.43000000017</v>
      </c>
    </row>
    <row r="170" spans="1:14" x14ac:dyDescent="0.35">
      <c r="A170">
        <v>21300</v>
      </c>
      <c r="B170" t="s">
        <v>917</v>
      </c>
      <c r="C170" s="127">
        <v>783669.36</v>
      </c>
      <c r="D170" s="127">
        <v>702877.82</v>
      </c>
      <c r="E170" s="128">
        <v>467.75</v>
      </c>
      <c r="F170" s="128">
        <v>22</v>
      </c>
      <c r="G170" s="129">
        <v>484.625</v>
      </c>
      <c r="H170" s="128">
        <v>242.3125</v>
      </c>
      <c r="I170" s="127">
        <f>Table1[[#This Row],[AdjPriorYear 
Expenditures]]/Table1[[#This Row],[Total Riders (AM/PM counts)]]</f>
        <v>1617.0634201702346</v>
      </c>
      <c r="J170" s="165">
        <f>Table1[[#This Row],[AdjPriorYear 
Expenditures]]/Table1[[#This Row],[Total Students]]</f>
        <v>3234.1268403404692</v>
      </c>
      <c r="K170" s="127">
        <f>Table1[[#This Row],[Allocation]]/Table1[[#This Row],[Total Riders (AM/PM counts)]]</f>
        <v>1450.3540263090017</v>
      </c>
      <c r="L170" s="127">
        <f>Table1[[#This Row],[Allocation]]/Table1[[#This Row],[Total Students]]</f>
        <v>2900.7080526180034</v>
      </c>
      <c r="M170" s="130">
        <f>IF(Table1[[#This Row],[Allocation]]&gt;Table1[[#This Row],[AdjPriorYear 
Expenditures]],100%, Table1[[#This Row],[Allocation]]/Table1[[#This Row],[AdjPriorYear 
Expenditures]])</f>
        <v>0.89690608804713245</v>
      </c>
      <c r="N170" s="127">
        <f>IF(Table1[[#This Row],[Percent Funded of Adjusted PYE]]=1,0,Table1[[#This Row],[AdjPriorYear 
Expenditures]]-Table1[[#This Row],[Allocation]])</f>
        <v>80791.540000000037</v>
      </c>
    </row>
    <row r="171" spans="1:14" x14ac:dyDescent="0.35">
      <c r="A171">
        <v>33030</v>
      </c>
      <c r="B171" t="s">
        <v>918</v>
      </c>
      <c r="C171" s="127">
        <v>99396.38</v>
      </c>
      <c r="D171" s="127">
        <v>117431.57999999999</v>
      </c>
      <c r="E171" s="128">
        <v>72.125</v>
      </c>
      <c r="F171" s="128">
        <v>0</v>
      </c>
      <c r="G171" s="129">
        <v>72.125</v>
      </c>
      <c r="H171" s="128">
        <v>36.0625</v>
      </c>
      <c r="I171" s="127">
        <f>Table1[[#This Row],[AdjPriorYear 
Expenditures]]/Table1[[#This Row],[Total Riders (AM/PM counts)]]</f>
        <v>1378.1127209705373</v>
      </c>
      <c r="J171" s="165">
        <f>Table1[[#This Row],[AdjPriorYear 
Expenditures]]/Table1[[#This Row],[Total Students]]</f>
        <v>2756.2254419410747</v>
      </c>
      <c r="K171" s="127">
        <f>Table1[[#This Row],[Allocation]]/Table1[[#This Row],[Total Riders (AM/PM counts)]]</f>
        <v>1628.167487001733</v>
      </c>
      <c r="L171" s="127">
        <f>Table1[[#This Row],[Allocation]]/Table1[[#This Row],[Total Students]]</f>
        <v>3256.334974003466</v>
      </c>
      <c r="M171" s="130">
        <f>IF(Table1[[#This Row],[Allocation]]&gt;Table1[[#This Row],[AdjPriorYear 
Expenditures]],100%, Table1[[#This Row],[Allocation]]/Table1[[#This Row],[AdjPriorYear 
Expenditures]])</f>
        <v>1</v>
      </c>
      <c r="N171" s="127">
        <f>IF(Table1[[#This Row],[Percent Funded of Adjusted PYE]]=1,0,Table1[[#This Row],[AdjPriorYear 
Expenditures]]-Table1[[#This Row],[Allocation]])</f>
        <v>0</v>
      </c>
    </row>
    <row r="172" spans="1:14" x14ac:dyDescent="0.35">
      <c r="A172">
        <v>28137</v>
      </c>
      <c r="B172" t="s">
        <v>919</v>
      </c>
      <c r="C172" s="127">
        <v>212536.85</v>
      </c>
      <c r="D172" s="127">
        <v>228847.7</v>
      </c>
      <c r="E172" s="128">
        <v>105</v>
      </c>
      <c r="F172" s="128">
        <v>5.75</v>
      </c>
      <c r="G172" s="129">
        <v>109.5</v>
      </c>
      <c r="H172" s="128">
        <v>54.75</v>
      </c>
      <c r="I172" s="127">
        <f>Table1[[#This Row],[AdjPriorYear 
Expenditures]]/Table1[[#This Row],[Total Riders (AM/PM counts)]]</f>
        <v>1940.9757990867581</v>
      </c>
      <c r="J172" s="165">
        <f>Table1[[#This Row],[AdjPriorYear 
Expenditures]]/Table1[[#This Row],[Total Students]]</f>
        <v>3881.9515981735162</v>
      </c>
      <c r="K172" s="127">
        <f>Table1[[#This Row],[Allocation]]/Table1[[#This Row],[Total Riders (AM/PM counts)]]</f>
        <v>2089.9333333333334</v>
      </c>
      <c r="L172" s="127">
        <f>Table1[[#This Row],[Allocation]]/Table1[[#This Row],[Total Students]]</f>
        <v>4179.8666666666668</v>
      </c>
      <c r="M172" s="130">
        <f>IF(Table1[[#This Row],[Allocation]]&gt;Table1[[#This Row],[AdjPriorYear 
Expenditures]],100%, Table1[[#This Row],[Allocation]]/Table1[[#This Row],[AdjPriorYear 
Expenditures]])</f>
        <v>1</v>
      </c>
      <c r="N172" s="127">
        <f>IF(Table1[[#This Row],[Percent Funded of Adjusted PYE]]=1,0,Table1[[#This Row],[AdjPriorYear 
Expenditures]]-Table1[[#This Row],[Allocation]])</f>
        <v>0</v>
      </c>
    </row>
    <row r="173" spans="1:14" x14ac:dyDescent="0.35">
      <c r="A173">
        <v>32123</v>
      </c>
      <c r="B173" t="s">
        <v>920</v>
      </c>
      <c r="C173" s="127">
        <v>39098.629999999997</v>
      </c>
      <c r="D173" s="127">
        <v>41614.58</v>
      </c>
      <c r="E173" s="128">
        <v>58.5</v>
      </c>
      <c r="F173" s="128">
        <v>0</v>
      </c>
      <c r="G173" s="129">
        <v>58.5</v>
      </c>
      <c r="H173" s="128">
        <v>29.25</v>
      </c>
      <c r="I173" s="127">
        <f>Table1[[#This Row],[AdjPriorYear 
Expenditures]]/Table1[[#This Row],[Total Riders (AM/PM counts)]]</f>
        <v>668.35264957264951</v>
      </c>
      <c r="J173" s="165">
        <f>Table1[[#This Row],[AdjPriorYear 
Expenditures]]/Table1[[#This Row],[Total Students]]</f>
        <v>1336.705299145299</v>
      </c>
      <c r="K173" s="127">
        <f>Table1[[#This Row],[Allocation]]/Table1[[#This Row],[Total Riders (AM/PM counts)]]</f>
        <v>711.36034188034193</v>
      </c>
      <c r="L173" s="127">
        <f>Table1[[#This Row],[Allocation]]/Table1[[#This Row],[Total Students]]</f>
        <v>1422.7206837606839</v>
      </c>
      <c r="M173" s="130">
        <f>IF(Table1[[#This Row],[Allocation]]&gt;Table1[[#This Row],[AdjPriorYear 
Expenditures]],100%, Table1[[#This Row],[Allocation]]/Table1[[#This Row],[AdjPriorYear 
Expenditures]])</f>
        <v>1</v>
      </c>
      <c r="N173" s="127">
        <f>IF(Table1[[#This Row],[Percent Funded of Adjusted PYE]]=1,0,Table1[[#This Row],[AdjPriorYear 
Expenditures]]-Table1[[#This Row],[Allocation]])</f>
        <v>0</v>
      </c>
    </row>
    <row r="174" spans="1:14" x14ac:dyDescent="0.35">
      <c r="A174">
        <v>10065</v>
      </c>
      <c r="B174" t="s">
        <v>921</v>
      </c>
      <c r="C174" s="127">
        <v>297714.82</v>
      </c>
      <c r="D174" s="127">
        <v>291511.11</v>
      </c>
      <c r="E174" s="128">
        <v>68.125</v>
      </c>
      <c r="F174" s="128">
        <v>0</v>
      </c>
      <c r="G174" s="129">
        <v>68.125</v>
      </c>
      <c r="H174" s="128">
        <v>34.0625</v>
      </c>
      <c r="I174" s="127">
        <f>Table1[[#This Row],[AdjPriorYear 
Expenditures]]/Table1[[#This Row],[Total Riders (AM/PM counts)]]</f>
        <v>4370.1257981651379</v>
      </c>
      <c r="J174" s="165">
        <f>Table1[[#This Row],[AdjPriorYear 
Expenditures]]/Table1[[#This Row],[Total Students]]</f>
        <v>8740.2515963302758</v>
      </c>
      <c r="K174" s="127">
        <f>Table1[[#This Row],[Allocation]]/Table1[[#This Row],[Total Riders (AM/PM counts)]]</f>
        <v>4279.0621651376141</v>
      </c>
      <c r="L174" s="127">
        <f>Table1[[#This Row],[Allocation]]/Table1[[#This Row],[Total Students]]</f>
        <v>8558.1243302752282</v>
      </c>
      <c r="M174" s="130">
        <f>IF(Table1[[#This Row],[Allocation]]&gt;Table1[[#This Row],[AdjPriorYear 
Expenditures]],100%, Table1[[#This Row],[Allocation]]/Table1[[#This Row],[AdjPriorYear 
Expenditures]])</f>
        <v>0.97916223989118167</v>
      </c>
      <c r="N174" s="127">
        <f>IF(Table1[[#This Row],[Percent Funded of Adjusted PYE]]=1,0,Table1[[#This Row],[AdjPriorYear 
Expenditures]]-Table1[[#This Row],[Allocation]])</f>
        <v>6203.710000000021</v>
      </c>
    </row>
    <row r="175" spans="1:14" x14ac:dyDescent="0.35">
      <c r="A175">
        <v>9013</v>
      </c>
      <c r="B175" t="s">
        <v>922</v>
      </c>
      <c r="C175" s="127">
        <v>297555.31</v>
      </c>
      <c r="D175" s="127">
        <v>291838.89999999997</v>
      </c>
      <c r="E175" s="128">
        <v>256.125</v>
      </c>
      <c r="F175" s="128">
        <v>0</v>
      </c>
      <c r="G175" s="129">
        <v>258.875</v>
      </c>
      <c r="H175" s="128">
        <v>129.4375</v>
      </c>
      <c r="I175" s="127">
        <f>Table1[[#This Row],[AdjPriorYear 
Expenditures]]/Table1[[#This Row],[Total Riders (AM/PM counts)]]</f>
        <v>1149.4169386769677</v>
      </c>
      <c r="J175" s="165">
        <f>Table1[[#This Row],[AdjPriorYear 
Expenditures]]/Table1[[#This Row],[Total Students]]</f>
        <v>2298.8338773539353</v>
      </c>
      <c r="K175" s="127">
        <f>Table1[[#This Row],[Allocation]]/Table1[[#This Row],[Total Riders (AM/PM counts)]]</f>
        <v>1127.3352003862867</v>
      </c>
      <c r="L175" s="127">
        <f>Table1[[#This Row],[Allocation]]/Table1[[#This Row],[Total Students]]</f>
        <v>2254.6704007725734</v>
      </c>
      <c r="M175" s="130">
        <f>IF(Table1[[#This Row],[Allocation]]&gt;Table1[[#This Row],[AdjPriorYear 
Expenditures]],100%, Table1[[#This Row],[Allocation]]/Table1[[#This Row],[AdjPriorYear 
Expenditures]])</f>
        <v>0.98078874814904149</v>
      </c>
      <c r="N175" s="127">
        <f>IF(Table1[[#This Row],[Percent Funded of Adjusted PYE]]=1,0,Table1[[#This Row],[AdjPriorYear 
Expenditures]]-Table1[[#This Row],[Allocation]])</f>
        <v>5716.4100000000326</v>
      </c>
    </row>
    <row r="176" spans="1:14" x14ac:dyDescent="0.35">
      <c r="A176">
        <v>24410</v>
      </c>
      <c r="B176" t="s">
        <v>923</v>
      </c>
      <c r="C176" s="127">
        <v>237426.63</v>
      </c>
      <c r="D176" s="127">
        <v>246662.28</v>
      </c>
      <c r="E176" s="128">
        <v>201.375</v>
      </c>
      <c r="F176" s="128">
        <v>0</v>
      </c>
      <c r="G176" s="129">
        <v>201.375</v>
      </c>
      <c r="H176" s="128">
        <v>100.6875</v>
      </c>
      <c r="I176" s="127">
        <f>Table1[[#This Row],[AdjPriorYear 
Expenditures]]/Table1[[#This Row],[Total Riders (AM/PM counts)]]</f>
        <v>1179.0273370577281</v>
      </c>
      <c r="J176" s="165">
        <f>Table1[[#This Row],[AdjPriorYear 
Expenditures]]/Table1[[#This Row],[Total Students]]</f>
        <v>2358.0546741154562</v>
      </c>
      <c r="K176" s="127">
        <f>Table1[[#This Row],[Allocation]]/Table1[[#This Row],[Total Riders (AM/PM counts)]]</f>
        <v>1224.890279329609</v>
      </c>
      <c r="L176" s="127">
        <f>Table1[[#This Row],[Allocation]]/Table1[[#This Row],[Total Students]]</f>
        <v>2449.7805586592181</v>
      </c>
      <c r="M176" s="130">
        <f>IF(Table1[[#This Row],[Allocation]]&gt;Table1[[#This Row],[AdjPriorYear 
Expenditures]],100%, Table1[[#This Row],[Allocation]]/Table1[[#This Row],[AdjPriorYear 
Expenditures]])</f>
        <v>1</v>
      </c>
      <c r="N176" s="127">
        <f>IF(Table1[[#This Row],[Percent Funded of Adjusted PYE]]=1,0,Table1[[#This Row],[AdjPriorYear 
Expenditures]]-Table1[[#This Row],[Allocation]])</f>
        <v>0</v>
      </c>
    </row>
    <row r="177" spans="1:14" x14ac:dyDescent="0.35">
      <c r="A177">
        <v>27344</v>
      </c>
      <c r="B177" t="s">
        <v>924</v>
      </c>
      <c r="C177" s="127">
        <v>2357366.8500000006</v>
      </c>
      <c r="D177" s="127">
        <v>2099781.19</v>
      </c>
      <c r="E177" s="128">
        <v>2419.125</v>
      </c>
      <c r="F177" s="128">
        <v>97.625</v>
      </c>
      <c r="G177" s="129">
        <v>2576.375</v>
      </c>
      <c r="H177" s="128">
        <v>1288.1875</v>
      </c>
      <c r="I177" s="127">
        <f>Table1[[#This Row],[AdjPriorYear 
Expenditures]]/Table1[[#This Row],[Total Riders (AM/PM counts)]]</f>
        <v>914.9936829848142</v>
      </c>
      <c r="J177" s="165">
        <f>Table1[[#This Row],[AdjPriorYear 
Expenditures]]/Table1[[#This Row],[Total Students]]</f>
        <v>1829.9873659696284</v>
      </c>
      <c r="K177" s="127">
        <f>Table1[[#This Row],[Allocation]]/Table1[[#This Row],[Total Riders (AM/PM counts)]]</f>
        <v>815.01380427926836</v>
      </c>
      <c r="L177" s="127">
        <f>Table1[[#This Row],[Allocation]]/Table1[[#This Row],[Total Students]]</f>
        <v>1630.0276085585367</v>
      </c>
      <c r="M177" s="130">
        <f>IF(Table1[[#This Row],[Allocation]]&gt;Table1[[#This Row],[AdjPriorYear 
Expenditures]],100%, Table1[[#This Row],[Allocation]]/Table1[[#This Row],[AdjPriorYear 
Expenditures]])</f>
        <v>0.89073161862779204</v>
      </c>
      <c r="N177" s="127">
        <f>IF(Table1[[#This Row],[Percent Funded of Adjusted PYE]]=1,0,Table1[[#This Row],[AdjPriorYear 
Expenditures]]-Table1[[#This Row],[Allocation]])</f>
        <v>257585.66000000061</v>
      </c>
    </row>
    <row r="178" spans="1:14" x14ac:dyDescent="0.35">
      <c r="A178">
        <v>1147</v>
      </c>
      <c r="B178" t="s">
        <v>925</v>
      </c>
      <c r="C178" s="127">
        <v>2722454.15</v>
      </c>
      <c r="D178" s="127">
        <v>2840998.24</v>
      </c>
      <c r="E178" s="128">
        <v>2370.25</v>
      </c>
      <c r="F178" s="128">
        <v>249.75</v>
      </c>
      <c r="G178" s="129">
        <v>2648</v>
      </c>
      <c r="H178" s="128">
        <v>1324</v>
      </c>
      <c r="I178" s="127">
        <f>Table1[[#This Row],[AdjPriorYear 
Expenditures]]/Table1[[#This Row],[Total Riders (AM/PM counts)]]</f>
        <v>1028.1171261329305</v>
      </c>
      <c r="J178" s="165">
        <f>Table1[[#This Row],[AdjPriorYear 
Expenditures]]/Table1[[#This Row],[Total Students]]</f>
        <v>2056.234252265861</v>
      </c>
      <c r="K178" s="127">
        <f>Table1[[#This Row],[Allocation]]/Table1[[#This Row],[Total Riders (AM/PM counts)]]</f>
        <v>1072.8845317220544</v>
      </c>
      <c r="L178" s="127">
        <f>Table1[[#This Row],[Allocation]]/Table1[[#This Row],[Total Students]]</f>
        <v>2145.7690634441087</v>
      </c>
      <c r="M178" s="130">
        <f>IF(Table1[[#This Row],[Allocation]]&gt;Table1[[#This Row],[AdjPriorYear 
Expenditures]],100%, Table1[[#This Row],[Allocation]]/Table1[[#This Row],[AdjPriorYear 
Expenditures]])</f>
        <v>1</v>
      </c>
      <c r="N178" s="127">
        <f>IF(Table1[[#This Row],[Percent Funded of Adjusted PYE]]=1,0,Table1[[#This Row],[AdjPriorYear 
Expenditures]]-Table1[[#This Row],[Allocation]])</f>
        <v>0</v>
      </c>
    </row>
    <row r="179" spans="1:14" x14ac:dyDescent="0.35">
      <c r="A179">
        <v>9102</v>
      </c>
      <c r="B179" t="s">
        <v>926</v>
      </c>
      <c r="C179" s="127">
        <v>96297.709999999977</v>
      </c>
      <c r="D179" s="127">
        <v>82462.109999999986</v>
      </c>
      <c r="E179" s="128">
        <v>67.125</v>
      </c>
      <c r="F179" s="128">
        <v>0</v>
      </c>
      <c r="G179" s="129">
        <v>67.125</v>
      </c>
      <c r="H179" s="128">
        <v>33.5625</v>
      </c>
      <c r="I179" s="127">
        <f>Table1[[#This Row],[AdjPriorYear 
Expenditures]]/Table1[[#This Row],[Total Riders (AM/PM counts)]]</f>
        <v>1434.6027560521411</v>
      </c>
      <c r="J179" s="165">
        <f>Table1[[#This Row],[AdjPriorYear 
Expenditures]]/Table1[[#This Row],[Total Students]]</f>
        <v>2869.2055121042822</v>
      </c>
      <c r="K179" s="127">
        <f>Table1[[#This Row],[Allocation]]/Table1[[#This Row],[Total Riders (AM/PM counts)]]</f>
        <v>1228.4858100558656</v>
      </c>
      <c r="L179" s="127">
        <f>Table1[[#This Row],[Allocation]]/Table1[[#This Row],[Total Students]]</f>
        <v>2456.9716201117312</v>
      </c>
      <c r="M179" s="130">
        <f>IF(Table1[[#This Row],[Allocation]]&gt;Table1[[#This Row],[AdjPriorYear 
Expenditures]],100%, Table1[[#This Row],[Allocation]]/Table1[[#This Row],[AdjPriorYear 
Expenditures]])</f>
        <v>0.85632472464817699</v>
      </c>
      <c r="N179" s="127">
        <f>IF(Table1[[#This Row],[Percent Funded of Adjusted PYE]]=1,0,Table1[[#This Row],[AdjPriorYear 
Expenditures]]-Table1[[#This Row],[Allocation]])</f>
        <v>13835.599999999991</v>
      </c>
    </row>
    <row r="180" spans="1:14" x14ac:dyDescent="0.35">
      <c r="A180">
        <v>11001</v>
      </c>
      <c r="B180" t="s">
        <v>927</v>
      </c>
      <c r="C180" s="127">
        <v>11270300.370000003</v>
      </c>
      <c r="D180" s="127">
        <v>9420261.6199999992</v>
      </c>
      <c r="E180" s="128">
        <v>8330.25</v>
      </c>
      <c r="F180" s="128">
        <v>903.75</v>
      </c>
      <c r="G180" s="129">
        <v>9300.875</v>
      </c>
      <c r="H180" s="128">
        <v>4650.4375</v>
      </c>
      <c r="I180" s="127">
        <f>Table1[[#This Row],[AdjPriorYear 
Expenditures]]/Table1[[#This Row],[Total Riders (AM/PM counts)]]</f>
        <v>1211.7462464553068</v>
      </c>
      <c r="J180" s="165">
        <f>Table1[[#This Row],[AdjPriorYear 
Expenditures]]/Table1[[#This Row],[Total Students]]</f>
        <v>2423.4924929106137</v>
      </c>
      <c r="K180" s="127">
        <f>Table1[[#This Row],[Allocation]]/Table1[[#This Row],[Total Riders (AM/PM counts)]]</f>
        <v>1012.8360632736167</v>
      </c>
      <c r="L180" s="127">
        <f>Table1[[#This Row],[Allocation]]/Table1[[#This Row],[Total Students]]</f>
        <v>2025.6721265472333</v>
      </c>
      <c r="M180" s="130">
        <f>IF(Table1[[#This Row],[Allocation]]&gt;Table1[[#This Row],[AdjPriorYear 
Expenditures]],100%, Table1[[#This Row],[Allocation]]/Table1[[#This Row],[AdjPriorYear 
Expenditures]])</f>
        <v>0.83584831909852608</v>
      </c>
      <c r="N180" s="127">
        <f>IF(Table1[[#This Row],[Percent Funded of Adjusted PYE]]=1,0,Table1[[#This Row],[AdjPriorYear 
Expenditures]]-Table1[[#This Row],[Allocation]])</f>
        <v>1850038.7500000037</v>
      </c>
    </row>
    <row r="181" spans="1:14" x14ac:dyDescent="0.35">
      <c r="A181">
        <v>24122</v>
      </c>
      <c r="B181" t="s">
        <v>928</v>
      </c>
      <c r="C181" s="127">
        <v>198187.49</v>
      </c>
      <c r="D181" s="127">
        <v>254152.27</v>
      </c>
      <c r="E181" s="128">
        <v>119.25</v>
      </c>
      <c r="F181" s="128">
        <v>1.5</v>
      </c>
      <c r="G181" s="129">
        <v>119.25</v>
      </c>
      <c r="H181" s="128">
        <v>59.625</v>
      </c>
      <c r="I181" s="127">
        <f>Table1[[#This Row],[AdjPriorYear 
Expenditures]]/Table1[[#This Row],[Total Riders (AM/PM counts)]]</f>
        <v>1661.9496016771488</v>
      </c>
      <c r="J181" s="165">
        <f>Table1[[#This Row],[AdjPriorYear 
Expenditures]]/Table1[[#This Row],[Total Students]]</f>
        <v>3323.8992033542977</v>
      </c>
      <c r="K181" s="127">
        <f>Table1[[#This Row],[Allocation]]/Table1[[#This Row],[Total Riders (AM/PM counts)]]</f>
        <v>2131.2559329140458</v>
      </c>
      <c r="L181" s="127">
        <f>Table1[[#This Row],[Allocation]]/Table1[[#This Row],[Total Students]]</f>
        <v>4262.5118658280917</v>
      </c>
      <c r="M181" s="130">
        <f>IF(Table1[[#This Row],[Allocation]]&gt;Table1[[#This Row],[AdjPriorYear 
Expenditures]],100%, Table1[[#This Row],[Allocation]]/Table1[[#This Row],[AdjPriorYear 
Expenditures]])</f>
        <v>1</v>
      </c>
      <c r="N181" s="127">
        <f>IF(Table1[[#This Row],[Percent Funded of Adjusted PYE]]=1,0,Table1[[#This Row],[AdjPriorYear 
Expenditures]]-Table1[[#This Row],[Allocation]])</f>
        <v>0</v>
      </c>
    </row>
    <row r="182" spans="1:14" x14ac:dyDescent="0.35">
      <c r="A182">
        <v>3050</v>
      </c>
      <c r="B182" t="s">
        <v>929</v>
      </c>
      <c r="C182" s="127">
        <v>335912.75</v>
      </c>
      <c r="D182" s="127">
        <v>341308.41000000003</v>
      </c>
      <c r="E182" s="128">
        <v>264.5</v>
      </c>
      <c r="F182" s="128">
        <v>0</v>
      </c>
      <c r="G182" s="129">
        <v>264.5</v>
      </c>
      <c r="H182" s="128">
        <v>132.25</v>
      </c>
      <c r="I182" s="127">
        <f>Table1[[#This Row],[AdjPriorYear 
Expenditures]]/Table1[[#This Row],[Total Riders (AM/PM counts)]]</f>
        <v>1269.9914933837429</v>
      </c>
      <c r="J182" s="165">
        <f>Table1[[#This Row],[AdjPriorYear 
Expenditures]]/Table1[[#This Row],[Total Students]]</f>
        <v>2539.9829867674857</v>
      </c>
      <c r="K182" s="127">
        <f>Table1[[#This Row],[Allocation]]/Table1[[#This Row],[Total Riders (AM/PM counts)]]</f>
        <v>1290.390964083176</v>
      </c>
      <c r="L182" s="127">
        <f>Table1[[#This Row],[Allocation]]/Table1[[#This Row],[Total Students]]</f>
        <v>2580.7819281663519</v>
      </c>
      <c r="M182" s="130">
        <f>IF(Table1[[#This Row],[Allocation]]&gt;Table1[[#This Row],[AdjPriorYear 
Expenditures]],100%, Table1[[#This Row],[Allocation]]/Table1[[#This Row],[AdjPriorYear 
Expenditures]])</f>
        <v>1</v>
      </c>
      <c r="N182" s="127">
        <f>IF(Table1[[#This Row],[Percent Funded of Adjusted PYE]]=1,0,Table1[[#This Row],[AdjPriorYear 
Expenditures]]-Table1[[#This Row],[Allocation]])</f>
        <v>0</v>
      </c>
    </row>
    <row r="183" spans="1:14" x14ac:dyDescent="0.35">
      <c r="A183">
        <v>21301</v>
      </c>
      <c r="B183" t="s">
        <v>930</v>
      </c>
      <c r="C183" s="127">
        <v>244157.7</v>
      </c>
      <c r="D183" s="127">
        <v>186549.13999999998</v>
      </c>
      <c r="E183" s="128">
        <v>280.125</v>
      </c>
      <c r="F183" s="128">
        <v>0</v>
      </c>
      <c r="G183" s="129">
        <v>281.625</v>
      </c>
      <c r="H183" s="128">
        <v>140.8125</v>
      </c>
      <c r="I183" s="127">
        <f>Table1[[#This Row],[AdjPriorYear 
Expenditures]]/Table1[[#This Row],[Total Riders (AM/PM counts)]]</f>
        <v>866.96031957390153</v>
      </c>
      <c r="J183" s="165">
        <f>Table1[[#This Row],[AdjPriorYear 
Expenditures]]/Table1[[#This Row],[Total Students]]</f>
        <v>1733.9206391478031</v>
      </c>
      <c r="K183" s="127">
        <f>Table1[[#This Row],[Allocation]]/Table1[[#This Row],[Total Riders (AM/PM counts)]]</f>
        <v>662.40262760763426</v>
      </c>
      <c r="L183" s="127">
        <f>Table1[[#This Row],[Allocation]]/Table1[[#This Row],[Total Students]]</f>
        <v>1324.8052552152685</v>
      </c>
      <c r="M183" s="130">
        <f>IF(Table1[[#This Row],[Allocation]]&gt;Table1[[#This Row],[AdjPriorYear 
Expenditures]],100%, Table1[[#This Row],[Allocation]]/Table1[[#This Row],[AdjPriorYear 
Expenditures]])</f>
        <v>0.76405184026553319</v>
      </c>
      <c r="N183" s="127">
        <f>IF(Table1[[#This Row],[Percent Funded of Adjusted PYE]]=1,0,Table1[[#This Row],[AdjPriorYear 
Expenditures]]-Table1[[#This Row],[Allocation]])</f>
        <v>57608.560000000027</v>
      </c>
    </row>
    <row r="184" spans="1:14" x14ac:dyDescent="0.35">
      <c r="A184">
        <v>27401</v>
      </c>
      <c r="B184" t="s">
        <v>931</v>
      </c>
      <c r="C184" s="127">
        <v>7101405.3499999996</v>
      </c>
      <c r="D184" s="127">
        <v>7115008.8700000001</v>
      </c>
      <c r="E184" s="128">
        <v>7397</v>
      </c>
      <c r="F184" s="128">
        <v>368.125</v>
      </c>
      <c r="G184" s="129">
        <v>7744.125</v>
      </c>
      <c r="H184" s="128">
        <v>3872.0625</v>
      </c>
      <c r="I184" s="127">
        <f>Table1[[#This Row],[AdjPriorYear 
Expenditures]]/Table1[[#This Row],[Total Riders (AM/PM counts)]]</f>
        <v>917.00551708553257</v>
      </c>
      <c r="J184" s="165">
        <f>Table1[[#This Row],[AdjPriorYear 
Expenditures]]/Table1[[#This Row],[Total Students]]</f>
        <v>1834.0110341710651</v>
      </c>
      <c r="K184" s="127">
        <f>Table1[[#This Row],[Allocation]]/Table1[[#This Row],[Total Riders (AM/PM counts)]]</f>
        <v>918.76214162348879</v>
      </c>
      <c r="L184" s="127">
        <f>Table1[[#This Row],[Allocation]]/Table1[[#This Row],[Total Students]]</f>
        <v>1837.5242832469776</v>
      </c>
      <c r="M184" s="130">
        <f>IF(Table1[[#This Row],[Allocation]]&gt;Table1[[#This Row],[AdjPriorYear 
Expenditures]],100%, Table1[[#This Row],[Allocation]]/Table1[[#This Row],[AdjPriorYear 
Expenditures]])</f>
        <v>1</v>
      </c>
      <c r="N184" s="127">
        <f>IF(Table1[[#This Row],[Percent Funded of Adjusted PYE]]=1,0,Table1[[#This Row],[AdjPriorYear 
Expenditures]]-Table1[[#This Row],[Allocation]])</f>
        <v>0</v>
      </c>
    </row>
    <row r="185" spans="1:14" x14ac:dyDescent="0.35">
      <c r="A185">
        <v>23402</v>
      </c>
      <c r="B185" t="s">
        <v>932</v>
      </c>
      <c r="C185" s="127">
        <v>892647.95000000007</v>
      </c>
      <c r="D185" s="127">
        <v>783508.67</v>
      </c>
      <c r="E185" s="128">
        <v>458.5</v>
      </c>
      <c r="F185" s="128">
        <v>68.375</v>
      </c>
      <c r="G185" s="129">
        <v>527.25</v>
      </c>
      <c r="H185" s="128">
        <v>263.625</v>
      </c>
      <c r="I185" s="127">
        <f>Table1[[#This Row],[AdjPriorYear 
Expenditures]]/Table1[[#This Row],[Total Riders (AM/PM counts)]]</f>
        <v>1693.0259838786155</v>
      </c>
      <c r="J185" s="165">
        <f>Table1[[#This Row],[AdjPriorYear 
Expenditures]]/Table1[[#This Row],[Total Students]]</f>
        <v>3386.0519677572311</v>
      </c>
      <c r="K185" s="127">
        <f>Table1[[#This Row],[Allocation]]/Table1[[#This Row],[Total Riders (AM/PM counts)]]</f>
        <v>1486.0287719298246</v>
      </c>
      <c r="L185" s="127">
        <f>Table1[[#This Row],[Allocation]]/Table1[[#This Row],[Total Students]]</f>
        <v>2972.0575438596493</v>
      </c>
      <c r="M185" s="130">
        <f>IF(Table1[[#This Row],[Allocation]]&gt;Table1[[#This Row],[AdjPriorYear 
Expenditures]],100%, Table1[[#This Row],[Allocation]]/Table1[[#This Row],[AdjPriorYear 
Expenditures]])</f>
        <v>0.87773536028397303</v>
      </c>
      <c r="N185" s="127">
        <f>IF(Table1[[#This Row],[Percent Funded of Adjusted PYE]]=1,0,Table1[[#This Row],[AdjPriorYear 
Expenditures]]-Table1[[#This Row],[Allocation]])</f>
        <v>109139.28000000003</v>
      </c>
    </row>
    <row r="186" spans="1:14" x14ac:dyDescent="0.35">
      <c r="A186">
        <v>12110</v>
      </c>
      <c r="B186" t="s">
        <v>933</v>
      </c>
      <c r="C186" s="127">
        <v>443645.35</v>
      </c>
      <c r="D186" s="127">
        <v>426630.14000000007</v>
      </c>
      <c r="E186" s="128">
        <v>151.125</v>
      </c>
      <c r="F186" s="128">
        <v>0</v>
      </c>
      <c r="G186" s="129">
        <v>151.125</v>
      </c>
      <c r="H186" s="128">
        <v>75.5625</v>
      </c>
      <c r="I186" s="127">
        <f>Table1[[#This Row],[AdjPriorYear 
Expenditures]]/Table1[[#This Row],[Total Riders (AM/PM counts)]]</f>
        <v>2935.6185277088503</v>
      </c>
      <c r="J186" s="165">
        <f>Table1[[#This Row],[AdjPriorYear 
Expenditures]]/Table1[[#This Row],[Total Students]]</f>
        <v>5871.2370554177005</v>
      </c>
      <c r="K186" s="127">
        <f>Table1[[#This Row],[Allocation]]/Table1[[#This Row],[Total Riders (AM/PM counts)]]</f>
        <v>2823.0282216708028</v>
      </c>
      <c r="L186" s="127">
        <f>Table1[[#This Row],[Allocation]]/Table1[[#This Row],[Total Students]]</f>
        <v>5646.0564433416057</v>
      </c>
      <c r="M186" s="130">
        <f>IF(Table1[[#This Row],[Allocation]]&gt;Table1[[#This Row],[AdjPriorYear 
Expenditures]],100%, Table1[[#This Row],[Allocation]]/Table1[[#This Row],[AdjPriorYear 
Expenditures]])</f>
        <v>0.96164681992046142</v>
      </c>
      <c r="N186" s="127">
        <f>IF(Table1[[#This Row],[Percent Funded of Adjusted PYE]]=1,0,Table1[[#This Row],[AdjPriorYear 
Expenditures]]-Table1[[#This Row],[Allocation]])</f>
        <v>17015.209999999905</v>
      </c>
    </row>
    <row r="187" spans="1:14" x14ac:dyDescent="0.35">
      <c r="A187">
        <v>5121</v>
      </c>
      <c r="B187" t="s">
        <v>934</v>
      </c>
      <c r="C187" s="127">
        <v>2098030.71</v>
      </c>
      <c r="D187" s="127">
        <v>1933699.52</v>
      </c>
      <c r="E187" s="128">
        <v>1819.625</v>
      </c>
      <c r="F187" s="128">
        <v>101.125</v>
      </c>
      <c r="G187" s="129">
        <v>1935.125</v>
      </c>
      <c r="H187" s="128">
        <v>967.5625</v>
      </c>
      <c r="I187" s="127">
        <f>Table1[[#This Row],[AdjPriorYear 
Expenditures]]/Table1[[#This Row],[Total Riders (AM/PM counts)]]</f>
        <v>1084.1835592016018</v>
      </c>
      <c r="J187" s="165">
        <f>Table1[[#This Row],[AdjPriorYear 
Expenditures]]/Table1[[#This Row],[Total Students]]</f>
        <v>2168.3671184032037</v>
      </c>
      <c r="K187" s="127">
        <f>Table1[[#This Row],[Allocation]]/Table1[[#This Row],[Total Riders (AM/PM counts)]]</f>
        <v>999.26336541567082</v>
      </c>
      <c r="L187" s="127">
        <f>Table1[[#This Row],[Allocation]]/Table1[[#This Row],[Total Students]]</f>
        <v>1998.5267308313416</v>
      </c>
      <c r="M187" s="130">
        <f>IF(Table1[[#This Row],[Allocation]]&gt;Table1[[#This Row],[AdjPriorYear 
Expenditures]],100%, Table1[[#This Row],[Allocation]]/Table1[[#This Row],[AdjPriorYear 
Expenditures]])</f>
        <v>0.92167360124104192</v>
      </c>
      <c r="N187" s="127">
        <f>IF(Table1[[#This Row],[Percent Funded of Adjusted PYE]]=1,0,Table1[[#This Row],[AdjPriorYear 
Expenditures]]-Table1[[#This Row],[Allocation]])</f>
        <v>164331.18999999994</v>
      </c>
    </row>
    <row r="188" spans="1:14" x14ac:dyDescent="0.35">
      <c r="A188">
        <v>16050</v>
      </c>
      <c r="B188" t="s">
        <v>935</v>
      </c>
      <c r="C188" s="127">
        <v>827163.97</v>
      </c>
      <c r="D188" s="127">
        <v>784147.95</v>
      </c>
      <c r="E188" s="128">
        <v>428.375</v>
      </c>
      <c r="F188" s="128">
        <v>33.125</v>
      </c>
      <c r="G188" s="129">
        <v>462.875</v>
      </c>
      <c r="H188" s="128">
        <v>231.4375</v>
      </c>
      <c r="I188" s="127">
        <f>Table1[[#This Row],[AdjPriorYear 
Expenditures]]/Table1[[#This Row],[Total Riders (AM/PM counts)]]</f>
        <v>1787.0137078044827</v>
      </c>
      <c r="J188" s="165">
        <f>Table1[[#This Row],[AdjPriorYear 
Expenditures]]/Table1[[#This Row],[Total Students]]</f>
        <v>3574.0274156089654</v>
      </c>
      <c r="K188" s="127">
        <f>Table1[[#This Row],[Allocation]]/Table1[[#This Row],[Total Riders (AM/PM counts)]]</f>
        <v>1694.0814474750202</v>
      </c>
      <c r="L188" s="127">
        <f>Table1[[#This Row],[Allocation]]/Table1[[#This Row],[Total Students]]</f>
        <v>3388.1628949500405</v>
      </c>
      <c r="M188" s="130">
        <f>IF(Table1[[#This Row],[Allocation]]&gt;Table1[[#This Row],[AdjPriorYear 
Expenditures]],100%, Table1[[#This Row],[Allocation]]/Table1[[#This Row],[AdjPriorYear 
Expenditures]])</f>
        <v>0.94799577646013766</v>
      </c>
      <c r="N188" s="127">
        <f>IF(Table1[[#This Row],[Percent Funded of Adjusted PYE]]=1,0,Table1[[#This Row],[AdjPriorYear 
Expenditures]]-Table1[[#This Row],[Allocation]])</f>
        <v>43016.020000000019</v>
      </c>
    </row>
    <row r="189" spans="1:14" x14ac:dyDescent="0.35">
      <c r="A189">
        <v>36402</v>
      </c>
      <c r="B189" t="s">
        <v>936</v>
      </c>
      <c r="C189" s="127">
        <v>494155.65</v>
      </c>
      <c r="D189" s="127">
        <v>528352.81999999995</v>
      </c>
      <c r="E189" s="128">
        <v>327.875</v>
      </c>
      <c r="F189" s="128">
        <v>14</v>
      </c>
      <c r="G189" s="129">
        <v>351.375</v>
      </c>
      <c r="H189" s="128">
        <v>175.6875</v>
      </c>
      <c r="I189" s="127">
        <f>Table1[[#This Row],[AdjPriorYear 
Expenditures]]/Table1[[#This Row],[Total Riders (AM/PM counts)]]</f>
        <v>1406.3483457844184</v>
      </c>
      <c r="J189" s="165">
        <f>Table1[[#This Row],[AdjPriorYear 
Expenditures]]/Table1[[#This Row],[Total Students]]</f>
        <v>2812.6966915688367</v>
      </c>
      <c r="K189" s="127">
        <f>Table1[[#This Row],[Allocation]]/Table1[[#This Row],[Total Riders (AM/PM counts)]]</f>
        <v>1503.6722020633224</v>
      </c>
      <c r="L189" s="127">
        <f>Table1[[#This Row],[Allocation]]/Table1[[#This Row],[Total Students]]</f>
        <v>3007.3444041266448</v>
      </c>
      <c r="M189" s="130">
        <f>IF(Table1[[#This Row],[Allocation]]&gt;Table1[[#This Row],[AdjPriorYear 
Expenditures]],100%, Table1[[#This Row],[Allocation]]/Table1[[#This Row],[AdjPriorYear 
Expenditures]])</f>
        <v>1</v>
      </c>
      <c r="N189" s="127">
        <f>IF(Table1[[#This Row],[Percent Funded of Adjusted PYE]]=1,0,Table1[[#This Row],[AdjPriorYear 
Expenditures]]-Table1[[#This Row],[Allocation]])</f>
        <v>0</v>
      </c>
    </row>
    <row r="190" spans="1:14" x14ac:dyDescent="0.35">
      <c r="A190">
        <v>3116</v>
      </c>
      <c r="B190" t="s">
        <v>937</v>
      </c>
      <c r="C190" s="127">
        <v>1747832.8400000003</v>
      </c>
      <c r="D190" s="127">
        <v>1920810.62</v>
      </c>
      <c r="E190" s="128">
        <v>1823.375</v>
      </c>
      <c r="F190" s="128">
        <v>79.5</v>
      </c>
      <c r="G190" s="129">
        <v>1906.875</v>
      </c>
      <c r="H190" s="128">
        <v>953.4375</v>
      </c>
      <c r="I190" s="127">
        <f>Table1[[#This Row],[AdjPriorYear 
Expenditures]]/Table1[[#This Row],[Total Riders (AM/PM counts)]]</f>
        <v>916.59539298590641</v>
      </c>
      <c r="J190" s="165">
        <f>Table1[[#This Row],[AdjPriorYear 
Expenditures]]/Table1[[#This Row],[Total Students]]</f>
        <v>1833.1907859718128</v>
      </c>
      <c r="K190" s="127">
        <f>Table1[[#This Row],[Allocation]]/Table1[[#This Row],[Total Riders (AM/PM counts)]]</f>
        <v>1007.3080930842348</v>
      </c>
      <c r="L190" s="127">
        <f>Table1[[#This Row],[Allocation]]/Table1[[#This Row],[Total Students]]</f>
        <v>2014.6161861684695</v>
      </c>
      <c r="M190" s="130">
        <f>IF(Table1[[#This Row],[Allocation]]&gt;Table1[[#This Row],[AdjPriorYear 
Expenditures]],100%, Table1[[#This Row],[Allocation]]/Table1[[#This Row],[AdjPriorYear 
Expenditures]])</f>
        <v>1</v>
      </c>
      <c r="N190" s="127">
        <f>IF(Table1[[#This Row],[Percent Funded of Adjusted PYE]]=1,0,Table1[[#This Row],[AdjPriorYear 
Expenditures]]-Table1[[#This Row],[Allocation]])</f>
        <v>0</v>
      </c>
    </row>
    <row r="191" spans="1:14" x14ac:dyDescent="0.35">
      <c r="A191">
        <v>38267</v>
      </c>
      <c r="B191" t="s">
        <v>938</v>
      </c>
      <c r="C191" s="127">
        <v>1220374.1299999999</v>
      </c>
      <c r="D191" s="127">
        <v>1113596.76</v>
      </c>
      <c r="E191" s="128">
        <v>770.625</v>
      </c>
      <c r="F191" s="128">
        <v>57.375</v>
      </c>
      <c r="G191" s="129">
        <v>862.875</v>
      </c>
      <c r="H191" s="128">
        <v>431.4375</v>
      </c>
      <c r="I191" s="127">
        <f>Table1[[#This Row],[AdjPriorYear 
Expenditures]]/Table1[[#This Row],[Total Riders (AM/PM counts)]]</f>
        <v>1414.3116094451686</v>
      </c>
      <c r="J191" s="165">
        <f>Table1[[#This Row],[AdjPriorYear 
Expenditures]]/Table1[[#This Row],[Total Students]]</f>
        <v>2828.6232188903373</v>
      </c>
      <c r="K191" s="127">
        <f>Table1[[#This Row],[Allocation]]/Table1[[#This Row],[Total Riders (AM/PM counts)]]</f>
        <v>1290.565562798783</v>
      </c>
      <c r="L191" s="127">
        <f>Table1[[#This Row],[Allocation]]/Table1[[#This Row],[Total Students]]</f>
        <v>2581.1311255975661</v>
      </c>
      <c r="M191" s="130">
        <f>IF(Table1[[#This Row],[Allocation]]&gt;Table1[[#This Row],[AdjPriorYear 
Expenditures]],100%, Table1[[#This Row],[Allocation]]/Table1[[#This Row],[AdjPriorYear 
Expenditures]])</f>
        <v>0.91250439731953359</v>
      </c>
      <c r="N191" s="127">
        <f>IF(Table1[[#This Row],[Percent Funded of Adjusted PYE]]=1,0,Table1[[#This Row],[AdjPriorYear 
Expenditures]]-Table1[[#This Row],[Allocation]])</f>
        <v>106777.36999999988</v>
      </c>
    </row>
    <row r="192" spans="1:14" x14ac:dyDescent="0.35">
      <c r="A192">
        <v>27003</v>
      </c>
      <c r="B192" t="s">
        <v>939</v>
      </c>
      <c r="C192" s="127">
        <v>17044256.559999999</v>
      </c>
      <c r="D192" s="127">
        <v>15289914.41</v>
      </c>
      <c r="E192" s="128">
        <v>14680.25</v>
      </c>
      <c r="F192" s="128">
        <v>1214.125</v>
      </c>
      <c r="G192" s="129">
        <v>15826.25</v>
      </c>
      <c r="H192" s="128">
        <v>7913.125</v>
      </c>
      <c r="I192" s="127">
        <f>Table1[[#This Row],[AdjPriorYear 
Expenditures]]/Table1[[#This Row],[Total Riders (AM/PM counts)]]</f>
        <v>1076.9611600979385</v>
      </c>
      <c r="J192" s="165">
        <f>Table1[[#This Row],[AdjPriorYear 
Expenditures]]/Table1[[#This Row],[Total Students]]</f>
        <v>2153.9223201958771</v>
      </c>
      <c r="K192" s="127">
        <f>Table1[[#This Row],[Allocation]]/Table1[[#This Row],[Total Riders (AM/PM counts)]]</f>
        <v>966.11101240028438</v>
      </c>
      <c r="L192" s="127">
        <f>Table1[[#This Row],[Allocation]]/Table1[[#This Row],[Total Students]]</f>
        <v>1932.2220248005688</v>
      </c>
      <c r="M192" s="130">
        <f>IF(Table1[[#This Row],[Allocation]]&gt;Table1[[#This Row],[AdjPriorYear 
Expenditures]],100%, Table1[[#This Row],[Allocation]]/Table1[[#This Row],[AdjPriorYear 
Expenditures]])</f>
        <v>0.89707135985519348</v>
      </c>
      <c r="N192" s="127">
        <f>IF(Table1[[#This Row],[Percent Funded of Adjusted PYE]]=1,0,Table1[[#This Row],[AdjPriorYear 
Expenditures]]-Table1[[#This Row],[Allocation]])</f>
        <v>1754342.1499999985</v>
      </c>
    </row>
    <row r="193" spans="1:14" x14ac:dyDescent="0.35">
      <c r="A193">
        <v>16020</v>
      </c>
      <c r="B193" t="s">
        <v>940</v>
      </c>
      <c r="C193" s="127">
        <v>57149.569999999992</v>
      </c>
      <c r="D193" s="127">
        <v>59401.119999999995</v>
      </c>
      <c r="E193" s="128">
        <v>79.5</v>
      </c>
      <c r="F193" s="128">
        <v>0</v>
      </c>
      <c r="G193" s="129">
        <v>79.5</v>
      </c>
      <c r="H193" s="128">
        <v>39.75</v>
      </c>
      <c r="I193" s="127">
        <f>Table1[[#This Row],[AdjPriorYear 
Expenditures]]/Table1[[#This Row],[Total Riders (AM/PM counts)]]</f>
        <v>718.86251572327035</v>
      </c>
      <c r="J193" s="165">
        <f>Table1[[#This Row],[AdjPriorYear 
Expenditures]]/Table1[[#This Row],[Total Students]]</f>
        <v>1437.7250314465407</v>
      </c>
      <c r="K193" s="127">
        <f>Table1[[#This Row],[Allocation]]/Table1[[#This Row],[Total Riders (AM/PM counts)]]</f>
        <v>747.18389937106917</v>
      </c>
      <c r="L193" s="127">
        <f>Table1[[#This Row],[Allocation]]/Table1[[#This Row],[Total Students]]</f>
        <v>1494.3677987421383</v>
      </c>
      <c r="M193" s="130">
        <f>IF(Table1[[#This Row],[Allocation]]&gt;Table1[[#This Row],[AdjPriorYear 
Expenditures]],100%, Table1[[#This Row],[Allocation]]/Table1[[#This Row],[AdjPriorYear 
Expenditures]])</f>
        <v>1</v>
      </c>
      <c r="N193" s="127">
        <f>IF(Table1[[#This Row],[Percent Funded of Adjusted PYE]]=1,0,Table1[[#This Row],[AdjPriorYear 
Expenditures]]-Table1[[#This Row],[Allocation]])</f>
        <v>0</v>
      </c>
    </row>
    <row r="194" spans="1:14" x14ac:dyDescent="0.35">
      <c r="A194">
        <v>16048</v>
      </c>
      <c r="B194" t="s">
        <v>941</v>
      </c>
      <c r="C194" s="127">
        <v>498440.29999999993</v>
      </c>
      <c r="D194" s="127">
        <v>476182.96</v>
      </c>
      <c r="E194" s="128">
        <v>143.875</v>
      </c>
      <c r="F194" s="128">
        <v>2.625</v>
      </c>
      <c r="G194" s="129">
        <v>145.375</v>
      </c>
      <c r="H194" s="128">
        <v>72.6875</v>
      </c>
      <c r="I194" s="127">
        <f>Table1[[#This Row],[AdjPriorYear 
Expenditures]]/Table1[[#This Row],[Total Riders (AM/PM counts)]]</f>
        <v>3428.6521066208079</v>
      </c>
      <c r="J194" s="165">
        <f>Table1[[#This Row],[AdjPriorYear 
Expenditures]]/Table1[[#This Row],[Total Students]]</f>
        <v>6857.3042132416158</v>
      </c>
      <c r="K194" s="127">
        <f>Table1[[#This Row],[Allocation]]/Table1[[#This Row],[Total Riders (AM/PM counts)]]</f>
        <v>3275.549165950129</v>
      </c>
      <c r="L194" s="127">
        <f>Table1[[#This Row],[Allocation]]/Table1[[#This Row],[Total Students]]</f>
        <v>6551.098331900258</v>
      </c>
      <c r="M194" s="130">
        <f>IF(Table1[[#This Row],[Allocation]]&gt;Table1[[#This Row],[AdjPriorYear 
Expenditures]],100%, Table1[[#This Row],[Allocation]]/Table1[[#This Row],[AdjPriorYear 
Expenditures]])</f>
        <v>0.95534602639473587</v>
      </c>
      <c r="N194" s="127">
        <f>IF(Table1[[#This Row],[Percent Funded of Adjusted PYE]]=1,0,Table1[[#This Row],[AdjPriorYear 
Expenditures]]-Table1[[#This Row],[Allocation]])</f>
        <v>22257.339999999909</v>
      </c>
    </row>
    <row r="195" spans="1:14" x14ac:dyDescent="0.35">
      <c r="A195">
        <v>5402</v>
      </c>
      <c r="B195" t="s">
        <v>942</v>
      </c>
      <c r="C195" s="127">
        <v>701316.49</v>
      </c>
      <c r="D195" s="127">
        <v>688491.55</v>
      </c>
      <c r="E195" s="128">
        <v>661</v>
      </c>
      <c r="F195" s="128">
        <v>64.5</v>
      </c>
      <c r="G195" s="129">
        <v>735.125</v>
      </c>
      <c r="H195" s="128">
        <v>367.5625</v>
      </c>
      <c r="I195" s="127">
        <f>Table1[[#This Row],[AdjPriorYear 
Expenditures]]/Table1[[#This Row],[Total Riders (AM/PM counts)]]</f>
        <v>954.00984866519298</v>
      </c>
      <c r="J195" s="165">
        <f>Table1[[#This Row],[AdjPriorYear 
Expenditures]]/Table1[[#This Row],[Total Students]]</f>
        <v>1908.019697330386</v>
      </c>
      <c r="K195" s="127">
        <f>Table1[[#This Row],[Allocation]]/Table1[[#This Row],[Total Riders (AM/PM counts)]]</f>
        <v>936.56391770107132</v>
      </c>
      <c r="L195" s="127">
        <f>Table1[[#This Row],[Allocation]]/Table1[[#This Row],[Total Students]]</f>
        <v>1873.1278354021426</v>
      </c>
      <c r="M195" s="130">
        <f>IF(Table1[[#This Row],[Allocation]]&gt;Table1[[#This Row],[AdjPriorYear 
Expenditures]],100%, Table1[[#This Row],[Allocation]]/Table1[[#This Row],[AdjPriorYear 
Expenditures]])</f>
        <v>0.98171304941083026</v>
      </c>
      <c r="N195" s="127">
        <f>IF(Table1[[#This Row],[Percent Funded of Adjusted PYE]]=1,0,Table1[[#This Row],[AdjPriorYear 
Expenditures]]-Table1[[#This Row],[Allocation]])</f>
        <v>12824.939999999944</v>
      </c>
    </row>
    <row r="196" spans="1:14" x14ac:dyDescent="0.35">
      <c r="A196">
        <v>13144</v>
      </c>
      <c r="B196" t="s">
        <v>943</v>
      </c>
      <c r="C196" s="127">
        <v>1781589.1300000001</v>
      </c>
      <c r="D196" s="127">
        <v>1881096.92</v>
      </c>
      <c r="E196" s="128">
        <v>1280.875</v>
      </c>
      <c r="F196" s="128">
        <v>113.375</v>
      </c>
      <c r="G196" s="129">
        <v>1392.5</v>
      </c>
      <c r="H196" s="128">
        <v>696.25</v>
      </c>
      <c r="I196" s="127">
        <f>Table1[[#This Row],[AdjPriorYear 
Expenditures]]/Table1[[#This Row],[Total Riders (AM/PM counts)]]</f>
        <v>1279.4176876122083</v>
      </c>
      <c r="J196" s="165">
        <f>Table1[[#This Row],[AdjPriorYear 
Expenditures]]/Table1[[#This Row],[Total Students]]</f>
        <v>2558.8353752244166</v>
      </c>
      <c r="K196" s="127">
        <f>Table1[[#This Row],[Allocation]]/Table1[[#This Row],[Total Riders (AM/PM counts)]]</f>
        <v>1350.8775008976661</v>
      </c>
      <c r="L196" s="127">
        <f>Table1[[#This Row],[Allocation]]/Table1[[#This Row],[Total Students]]</f>
        <v>2701.7550017953322</v>
      </c>
      <c r="M196" s="130">
        <f>IF(Table1[[#This Row],[Allocation]]&gt;Table1[[#This Row],[AdjPriorYear 
Expenditures]],100%, Table1[[#This Row],[Allocation]]/Table1[[#This Row],[AdjPriorYear 
Expenditures]])</f>
        <v>1</v>
      </c>
      <c r="N196" s="127">
        <f>IF(Table1[[#This Row],[Percent Funded of Adjusted PYE]]=1,0,Table1[[#This Row],[AdjPriorYear 
Expenditures]]-Table1[[#This Row],[Allocation]])</f>
        <v>0</v>
      </c>
    </row>
    <row r="197" spans="1:14" x14ac:dyDescent="0.35">
      <c r="A197">
        <v>34307</v>
      </c>
      <c r="B197" t="s">
        <v>944</v>
      </c>
      <c r="C197" s="127">
        <v>587279.75</v>
      </c>
      <c r="D197" s="127">
        <v>614416.22</v>
      </c>
      <c r="E197" s="128">
        <v>611.125</v>
      </c>
      <c r="F197" s="128">
        <v>15.375</v>
      </c>
      <c r="G197" s="129">
        <v>630.5</v>
      </c>
      <c r="H197" s="128">
        <v>315.25</v>
      </c>
      <c r="I197" s="127">
        <f>Table1[[#This Row],[AdjPriorYear 
Expenditures]]/Table1[[#This Row],[Total Riders (AM/PM counts)]]</f>
        <v>931.45083267248219</v>
      </c>
      <c r="J197" s="165">
        <f>Table1[[#This Row],[AdjPriorYear 
Expenditures]]/Table1[[#This Row],[Total Students]]</f>
        <v>1862.9016653449644</v>
      </c>
      <c r="K197" s="127">
        <f>Table1[[#This Row],[Allocation]]/Table1[[#This Row],[Total Riders (AM/PM counts)]]</f>
        <v>974.4904361617763</v>
      </c>
      <c r="L197" s="127">
        <f>Table1[[#This Row],[Allocation]]/Table1[[#This Row],[Total Students]]</f>
        <v>1948.9808723235526</v>
      </c>
      <c r="M197" s="130">
        <f>IF(Table1[[#This Row],[Allocation]]&gt;Table1[[#This Row],[AdjPriorYear 
Expenditures]],100%, Table1[[#This Row],[Allocation]]/Table1[[#This Row],[AdjPriorYear 
Expenditures]])</f>
        <v>1</v>
      </c>
      <c r="N197" s="127">
        <f>IF(Table1[[#This Row],[Percent Funded of Adjusted PYE]]=1,0,Table1[[#This Row],[AdjPriorYear 
Expenditures]]-Table1[[#This Row],[Allocation]])</f>
        <v>0</v>
      </c>
    </row>
    <row r="198" spans="1:14" x14ac:dyDescent="0.35">
      <c r="A198">
        <v>25116</v>
      </c>
      <c r="B198" t="s">
        <v>945</v>
      </c>
      <c r="C198" s="127">
        <v>507371.22000000003</v>
      </c>
      <c r="D198" s="127">
        <v>508881.28</v>
      </c>
      <c r="E198" s="128">
        <v>448.625</v>
      </c>
      <c r="F198" s="128">
        <v>12</v>
      </c>
      <c r="G198" s="129">
        <v>456</v>
      </c>
      <c r="H198" s="128">
        <v>228</v>
      </c>
      <c r="I198" s="127">
        <f>Table1[[#This Row],[AdjPriorYear 
Expenditures]]/Table1[[#This Row],[Total Riders (AM/PM counts)]]</f>
        <v>1112.6561842105264</v>
      </c>
      <c r="J198" s="165">
        <f>Table1[[#This Row],[AdjPriorYear 
Expenditures]]/Table1[[#This Row],[Total Students]]</f>
        <v>2225.3123684210527</v>
      </c>
      <c r="K198" s="127">
        <f>Table1[[#This Row],[Allocation]]/Table1[[#This Row],[Total Riders (AM/PM counts)]]</f>
        <v>1115.9677192982456</v>
      </c>
      <c r="L198" s="127">
        <f>Table1[[#This Row],[Allocation]]/Table1[[#This Row],[Total Students]]</f>
        <v>2231.9354385964912</v>
      </c>
      <c r="M198" s="130">
        <f>IF(Table1[[#This Row],[Allocation]]&gt;Table1[[#This Row],[AdjPriorYear 
Expenditures]],100%, Table1[[#This Row],[Allocation]]/Table1[[#This Row],[AdjPriorYear 
Expenditures]])</f>
        <v>1</v>
      </c>
      <c r="N198" s="127">
        <f>IF(Table1[[#This Row],[Percent Funded of Adjusted PYE]]=1,0,Table1[[#This Row],[AdjPriorYear 
Expenditures]]-Table1[[#This Row],[Allocation]])</f>
        <v>0</v>
      </c>
    </row>
    <row r="199" spans="1:14" x14ac:dyDescent="0.35">
      <c r="A199">
        <v>22009</v>
      </c>
      <c r="B199" t="s">
        <v>946</v>
      </c>
      <c r="C199" s="127">
        <v>986600.62</v>
      </c>
      <c r="D199" s="127">
        <v>991197.12</v>
      </c>
      <c r="E199" s="128">
        <v>809.625</v>
      </c>
      <c r="F199" s="128">
        <v>0</v>
      </c>
      <c r="G199" s="129">
        <v>815.625</v>
      </c>
      <c r="H199" s="128">
        <v>407.8125</v>
      </c>
      <c r="I199" s="127">
        <f>Table1[[#This Row],[AdjPriorYear 
Expenditures]]/Table1[[#This Row],[Total Riders (AM/PM counts)]]</f>
        <v>1209.6252812260536</v>
      </c>
      <c r="J199" s="165">
        <f>Table1[[#This Row],[AdjPriorYear 
Expenditures]]/Table1[[#This Row],[Total Students]]</f>
        <v>2419.2505624521073</v>
      </c>
      <c r="K199" s="127">
        <f>Table1[[#This Row],[Allocation]]/Table1[[#This Row],[Total Riders (AM/PM counts)]]</f>
        <v>1215.2608367816092</v>
      </c>
      <c r="L199" s="127">
        <f>Table1[[#This Row],[Allocation]]/Table1[[#This Row],[Total Students]]</f>
        <v>2430.5216735632184</v>
      </c>
      <c r="M199" s="130">
        <f>IF(Table1[[#This Row],[Allocation]]&gt;Table1[[#This Row],[AdjPriorYear 
Expenditures]],100%, Table1[[#This Row],[Allocation]]/Table1[[#This Row],[AdjPriorYear 
Expenditures]])</f>
        <v>1</v>
      </c>
      <c r="N199" s="127">
        <f>IF(Table1[[#This Row],[Percent Funded of Adjusted PYE]]=1,0,Table1[[#This Row],[AdjPriorYear 
Expenditures]]-Table1[[#This Row],[Allocation]])</f>
        <v>0</v>
      </c>
    </row>
    <row r="200" spans="1:14" x14ac:dyDescent="0.35">
      <c r="A200">
        <v>17403</v>
      </c>
      <c r="B200" t="s">
        <v>947</v>
      </c>
      <c r="C200" s="127">
        <v>12932960.970000001</v>
      </c>
      <c r="D200" s="127">
        <v>9166274.0700000003</v>
      </c>
      <c r="E200" s="128">
        <v>8839.875</v>
      </c>
      <c r="F200" s="128">
        <v>739.375</v>
      </c>
      <c r="G200" s="129">
        <v>9678</v>
      </c>
      <c r="H200" s="128">
        <v>4839</v>
      </c>
      <c r="I200" s="127">
        <f>Table1[[#This Row],[AdjPriorYear 
Expenditures]]/Table1[[#This Row],[Total Riders (AM/PM counts)]]</f>
        <v>1336.3257873527589</v>
      </c>
      <c r="J200" s="165">
        <f>Table1[[#This Row],[AdjPriorYear 
Expenditures]]/Table1[[#This Row],[Total Students]]</f>
        <v>2672.6515747055178</v>
      </c>
      <c r="K200" s="127">
        <f>Table1[[#This Row],[Allocation]]/Table1[[#This Row],[Total Riders (AM/PM counts)]]</f>
        <v>947.12482641041538</v>
      </c>
      <c r="L200" s="127">
        <f>Table1[[#This Row],[Allocation]]/Table1[[#This Row],[Total Students]]</f>
        <v>1894.2496528208308</v>
      </c>
      <c r="M200" s="130">
        <f>IF(Table1[[#This Row],[Allocation]]&gt;Table1[[#This Row],[AdjPriorYear 
Expenditures]],100%, Table1[[#This Row],[Allocation]]/Table1[[#This Row],[AdjPriorYear 
Expenditures]])</f>
        <v>0.70875293687675911</v>
      </c>
      <c r="N200" s="127">
        <f>IF(Table1[[#This Row],[Percent Funded of Adjusted PYE]]=1,0,Table1[[#This Row],[AdjPriorYear 
Expenditures]]-Table1[[#This Row],[Allocation]])</f>
        <v>3766686.9000000004</v>
      </c>
    </row>
    <row r="201" spans="1:14" x14ac:dyDescent="0.35">
      <c r="A201">
        <v>10309</v>
      </c>
      <c r="B201" t="s">
        <v>948</v>
      </c>
      <c r="C201" s="127">
        <v>384288.38</v>
      </c>
      <c r="D201" s="127">
        <v>406131.54</v>
      </c>
      <c r="E201" s="128">
        <v>309.5</v>
      </c>
      <c r="F201" s="128">
        <v>1.75</v>
      </c>
      <c r="G201" s="129">
        <v>310.75</v>
      </c>
      <c r="H201" s="128">
        <v>155.375</v>
      </c>
      <c r="I201" s="127">
        <f>Table1[[#This Row],[AdjPriorYear 
Expenditures]]/Table1[[#This Row],[Total Riders (AM/PM counts)]]</f>
        <v>1236.6480450522929</v>
      </c>
      <c r="J201" s="165">
        <f>Table1[[#This Row],[AdjPriorYear 
Expenditures]]/Table1[[#This Row],[Total Students]]</f>
        <v>2473.2960901045858</v>
      </c>
      <c r="K201" s="127">
        <f>Table1[[#This Row],[Allocation]]/Table1[[#This Row],[Total Riders (AM/PM counts)]]</f>
        <v>1306.9397908286403</v>
      </c>
      <c r="L201" s="127">
        <f>Table1[[#This Row],[Allocation]]/Table1[[#This Row],[Total Students]]</f>
        <v>2613.8795816572806</v>
      </c>
      <c r="M201" s="130">
        <f>IF(Table1[[#This Row],[Allocation]]&gt;Table1[[#This Row],[AdjPriorYear 
Expenditures]],100%, Table1[[#This Row],[Allocation]]/Table1[[#This Row],[AdjPriorYear 
Expenditures]])</f>
        <v>1</v>
      </c>
      <c r="N201" s="127">
        <f>IF(Table1[[#This Row],[Percent Funded of Adjusted PYE]]=1,0,Table1[[#This Row],[AdjPriorYear 
Expenditures]]-Table1[[#This Row],[Allocation]])</f>
        <v>0</v>
      </c>
    </row>
    <row r="202" spans="1:14" x14ac:dyDescent="0.35">
      <c r="A202">
        <v>3400</v>
      </c>
      <c r="B202" t="s">
        <v>949</v>
      </c>
      <c r="C202" s="127">
        <v>5515784.8200000003</v>
      </c>
      <c r="D202" s="127">
        <v>5536306.29</v>
      </c>
      <c r="E202" s="128">
        <v>4640</v>
      </c>
      <c r="F202" s="128">
        <v>648.75</v>
      </c>
      <c r="G202" s="129">
        <v>5311.5</v>
      </c>
      <c r="H202" s="128">
        <v>2655.75</v>
      </c>
      <c r="I202" s="127">
        <f>Table1[[#This Row],[AdjPriorYear 
Expenditures]]/Table1[[#This Row],[Total Riders (AM/PM counts)]]</f>
        <v>1038.4608528664219</v>
      </c>
      <c r="J202" s="165">
        <f>Table1[[#This Row],[AdjPriorYear 
Expenditures]]/Table1[[#This Row],[Total Students]]</f>
        <v>2076.9217057328437</v>
      </c>
      <c r="K202" s="127">
        <f>Table1[[#This Row],[Allocation]]/Table1[[#This Row],[Total Riders (AM/PM counts)]]</f>
        <v>1042.3244450720135</v>
      </c>
      <c r="L202" s="127">
        <f>Table1[[#This Row],[Allocation]]/Table1[[#This Row],[Total Students]]</f>
        <v>2084.6488901440271</v>
      </c>
      <c r="M202" s="130">
        <f>IF(Table1[[#This Row],[Allocation]]&gt;Table1[[#This Row],[AdjPriorYear 
Expenditures]],100%, Table1[[#This Row],[Allocation]]/Table1[[#This Row],[AdjPriorYear 
Expenditures]])</f>
        <v>1</v>
      </c>
      <c r="N202" s="127">
        <f>IF(Table1[[#This Row],[Percent Funded of Adjusted PYE]]=1,0,Table1[[#This Row],[AdjPriorYear 
Expenditures]]-Table1[[#This Row],[Allocation]])</f>
        <v>0</v>
      </c>
    </row>
    <row r="203" spans="1:14" x14ac:dyDescent="0.35">
      <c r="A203">
        <v>32416</v>
      </c>
      <c r="B203" t="s">
        <v>950</v>
      </c>
      <c r="C203" s="127">
        <v>1367016.04</v>
      </c>
      <c r="D203" s="127">
        <v>1418911.28</v>
      </c>
      <c r="E203" s="128">
        <v>1240</v>
      </c>
      <c r="F203" s="128">
        <v>26.875</v>
      </c>
      <c r="G203" s="129">
        <v>1283.5</v>
      </c>
      <c r="H203" s="128">
        <v>641.75</v>
      </c>
      <c r="I203" s="127">
        <f>Table1[[#This Row],[AdjPriorYear 
Expenditures]]/Table1[[#This Row],[Total Riders (AM/PM counts)]]</f>
        <v>1065.0689832489288</v>
      </c>
      <c r="J203" s="165">
        <f>Table1[[#This Row],[AdjPriorYear 
Expenditures]]/Table1[[#This Row],[Total Students]]</f>
        <v>2130.1379664978576</v>
      </c>
      <c r="K203" s="127">
        <f>Table1[[#This Row],[Allocation]]/Table1[[#This Row],[Total Riders (AM/PM counts)]]</f>
        <v>1105.5015816127775</v>
      </c>
      <c r="L203" s="127">
        <f>Table1[[#This Row],[Allocation]]/Table1[[#This Row],[Total Students]]</f>
        <v>2211.003163225555</v>
      </c>
      <c r="M203" s="130">
        <f>IF(Table1[[#This Row],[Allocation]]&gt;Table1[[#This Row],[AdjPriorYear 
Expenditures]],100%, Table1[[#This Row],[Allocation]]/Table1[[#This Row],[AdjPriorYear 
Expenditures]])</f>
        <v>1</v>
      </c>
      <c r="N203" s="127">
        <f>IF(Table1[[#This Row],[Percent Funded of Adjusted PYE]]=1,0,Table1[[#This Row],[AdjPriorYear 
Expenditures]]-Table1[[#This Row],[Allocation]])</f>
        <v>0</v>
      </c>
    </row>
    <row r="204" spans="1:14" x14ac:dyDescent="0.35">
      <c r="A204">
        <v>17407</v>
      </c>
      <c r="B204" t="s">
        <v>951</v>
      </c>
      <c r="C204" s="127">
        <v>2974753.1500000004</v>
      </c>
      <c r="D204" s="127">
        <v>2654338.66</v>
      </c>
      <c r="E204" s="128">
        <v>2625</v>
      </c>
      <c r="F204" s="128">
        <v>87.375</v>
      </c>
      <c r="G204" s="129">
        <v>2719</v>
      </c>
      <c r="H204" s="128">
        <v>1359.5</v>
      </c>
      <c r="I204" s="127">
        <f>Table1[[#This Row],[AdjPriorYear 
Expenditures]]/Table1[[#This Row],[Total Riders (AM/PM counts)]]</f>
        <v>1094.0614748069145</v>
      </c>
      <c r="J204" s="165">
        <f>Table1[[#This Row],[AdjPriorYear 
Expenditures]]/Table1[[#This Row],[Total Students]]</f>
        <v>2188.122949613829</v>
      </c>
      <c r="K204" s="127">
        <f>Table1[[#This Row],[Allocation]]/Table1[[#This Row],[Total Riders (AM/PM counts)]]</f>
        <v>976.21870540639952</v>
      </c>
      <c r="L204" s="127">
        <f>Table1[[#This Row],[Allocation]]/Table1[[#This Row],[Total Students]]</f>
        <v>1952.437410812799</v>
      </c>
      <c r="M204" s="130">
        <f>IF(Table1[[#This Row],[Allocation]]&gt;Table1[[#This Row],[AdjPriorYear 
Expenditures]],100%, Table1[[#This Row],[Allocation]]/Table1[[#This Row],[AdjPriorYear 
Expenditures]])</f>
        <v>0.89228871309876578</v>
      </c>
      <c r="N204" s="127">
        <f>IF(Table1[[#This Row],[Percent Funded of Adjusted PYE]]=1,0,Table1[[#This Row],[AdjPriorYear 
Expenditures]]-Table1[[#This Row],[Allocation]])</f>
        <v>320414.49000000022</v>
      </c>
    </row>
    <row r="205" spans="1:14" x14ac:dyDescent="0.35">
      <c r="A205">
        <v>34401</v>
      </c>
      <c r="B205" t="s">
        <v>952</v>
      </c>
      <c r="C205" s="127">
        <v>2547662</v>
      </c>
      <c r="D205" s="127">
        <v>2003225.47</v>
      </c>
      <c r="E205" s="128">
        <v>2104.375</v>
      </c>
      <c r="F205" s="128">
        <v>117.5</v>
      </c>
      <c r="G205" s="129">
        <v>2260.625</v>
      </c>
      <c r="H205" s="128">
        <v>1130.3125</v>
      </c>
      <c r="I205" s="127">
        <f>Table1[[#This Row],[AdjPriorYear 
Expenditures]]/Table1[[#This Row],[Total Riders (AM/PM counts)]]</f>
        <v>1126.9724080729886</v>
      </c>
      <c r="J205" s="165">
        <f>Table1[[#This Row],[AdjPriorYear 
Expenditures]]/Table1[[#This Row],[Total Students]]</f>
        <v>2253.9448161459773</v>
      </c>
      <c r="K205" s="127">
        <f>Table1[[#This Row],[Allocation]]/Table1[[#This Row],[Total Riders (AM/PM counts)]]</f>
        <v>886.1378910699475</v>
      </c>
      <c r="L205" s="127">
        <f>Table1[[#This Row],[Allocation]]/Table1[[#This Row],[Total Students]]</f>
        <v>1772.275782139895</v>
      </c>
      <c r="M205" s="130">
        <f>IF(Table1[[#This Row],[Allocation]]&gt;Table1[[#This Row],[AdjPriorYear 
Expenditures]],100%, Table1[[#This Row],[Allocation]]/Table1[[#This Row],[AdjPriorYear 
Expenditures]])</f>
        <v>0.78629954444506378</v>
      </c>
      <c r="N205" s="127">
        <f>IF(Table1[[#This Row],[Percent Funded of Adjusted PYE]]=1,0,Table1[[#This Row],[AdjPriorYear 
Expenditures]]-Table1[[#This Row],[Allocation]])</f>
        <v>544436.53</v>
      </c>
    </row>
    <row r="206" spans="1:14" x14ac:dyDescent="0.35">
      <c r="A206">
        <v>20403</v>
      </c>
      <c r="B206" t="s">
        <v>953</v>
      </c>
      <c r="C206" s="127">
        <v>92692.41</v>
      </c>
      <c r="D206" s="127">
        <v>127945.59</v>
      </c>
      <c r="E206" s="128">
        <v>43.25</v>
      </c>
      <c r="F206" s="128">
        <v>0</v>
      </c>
      <c r="G206" s="129">
        <v>43.25</v>
      </c>
      <c r="H206" s="128">
        <v>21.625</v>
      </c>
      <c r="I206" s="127">
        <f>Table1[[#This Row],[AdjPriorYear 
Expenditures]]/Table1[[#This Row],[Total Riders (AM/PM counts)]]</f>
        <v>2143.1771098265895</v>
      </c>
      <c r="J206" s="165">
        <f>Table1[[#This Row],[AdjPriorYear 
Expenditures]]/Table1[[#This Row],[Total Students]]</f>
        <v>4286.3542196531789</v>
      </c>
      <c r="K206" s="127">
        <f>Table1[[#This Row],[Allocation]]/Table1[[#This Row],[Total Riders (AM/PM counts)]]</f>
        <v>2958.2795375722544</v>
      </c>
      <c r="L206" s="127">
        <f>Table1[[#This Row],[Allocation]]/Table1[[#This Row],[Total Students]]</f>
        <v>5916.5590751445088</v>
      </c>
      <c r="M206" s="130">
        <f>IF(Table1[[#This Row],[Allocation]]&gt;Table1[[#This Row],[AdjPriorYear 
Expenditures]],100%, Table1[[#This Row],[Allocation]]/Table1[[#This Row],[AdjPriorYear 
Expenditures]])</f>
        <v>1</v>
      </c>
      <c r="N206" s="127">
        <f>IF(Table1[[#This Row],[Percent Funded of Adjusted PYE]]=1,0,Table1[[#This Row],[AdjPriorYear 
Expenditures]]-Table1[[#This Row],[Allocation]])</f>
        <v>0</v>
      </c>
    </row>
    <row r="207" spans="1:14" x14ac:dyDescent="0.35">
      <c r="A207">
        <v>38320</v>
      </c>
      <c r="B207" t="s">
        <v>954</v>
      </c>
      <c r="C207" s="127">
        <v>254129.54</v>
      </c>
      <c r="D207" s="127">
        <v>235868.86</v>
      </c>
      <c r="E207" s="128">
        <v>161.5</v>
      </c>
      <c r="F207" s="128">
        <v>0</v>
      </c>
      <c r="G207" s="129">
        <v>161.5</v>
      </c>
      <c r="H207" s="128">
        <v>80.75</v>
      </c>
      <c r="I207" s="127">
        <f>Table1[[#This Row],[AdjPriorYear 
Expenditures]]/Table1[[#This Row],[Total Riders (AM/PM counts)]]</f>
        <v>1573.5575232198144</v>
      </c>
      <c r="J207" s="165">
        <f>Table1[[#This Row],[AdjPriorYear 
Expenditures]]/Table1[[#This Row],[Total Students]]</f>
        <v>3147.1150464396287</v>
      </c>
      <c r="K207" s="127">
        <f>Table1[[#This Row],[Allocation]]/Table1[[#This Row],[Total Riders (AM/PM counts)]]</f>
        <v>1460.4882972136222</v>
      </c>
      <c r="L207" s="127">
        <f>Table1[[#This Row],[Allocation]]/Table1[[#This Row],[Total Students]]</f>
        <v>2920.9765944272444</v>
      </c>
      <c r="M207" s="130">
        <f>IF(Table1[[#This Row],[Allocation]]&gt;Table1[[#This Row],[AdjPriorYear 
Expenditures]],100%, Table1[[#This Row],[Allocation]]/Table1[[#This Row],[AdjPriorYear 
Expenditures]])</f>
        <v>0.92814420551030774</v>
      </c>
      <c r="N207" s="127">
        <f>IF(Table1[[#This Row],[Percent Funded of Adjusted PYE]]=1,0,Table1[[#This Row],[AdjPriorYear 
Expenditures]]-Table1[[#This Row],[Allocation]])</f>
        <v>18260.680000000022</v>
      </c>
    </row>
    <row r="208" spans="1:14" x14ac:dyDescent="0.35">
      <c r="A208">
        <v>13160</v>
      </c>
      <c r="B208" t="s">
        <v>955</v>
      </c>
      <c r="C208" s="127">
        <v>1314290.8100000003</v>
      </c>
      <c r="D208" s="127">
        <v>1346645.58</v>
      </c>
      <c r="E208" s="128">
        <v>1339.25</v>
      </c>
      <c r="F208" s="128">
        <v>29.375</v>
      </c>
      <c r="G208" s="129">
        <v>1366.75</v>
      </c>
      <c r="H208" s="128">
        <v>683.375</v>
      </c>
      <c r="I208" s="127">
        <f>Table1[[#This Row],[AdjPriorYear 
Expenditures]]/Table1[[#This Row],[Total Riders (AM/PM counts)]]</f>
        <v>961.61756722151108</v>
      </c>
      <c r="J208" s="165">
        <f>Table1[[#This Row],[AdjPriorYear 
Expenditures]]/Table1[[#This Row],[Total Students]]</f>
        <v>1923.2351344430222</v>
      </c>
      <c r="K208" s="127">
        <f>Table1[[#This Row],[Allocation]]/Table1[[#This Row],[Total Riders (AM/PM counts)]]</f>
        <v>985.29034571062743</v>
      </c>
      <c r="L208" s="127">
        <f>Table1[[#This Row],[Allocation]]/Table1[[#This Row],[Total Students]]</f>
        <v>1970.5806914212549</v>
      </c>
      <c r="M208" s="130">
        <f>IF(Table1[[#This Row],[Allocation]]&gt;Table1[[#This Row],[AdjPriorYear 
Expenditures]],100%, Table1[[#This Row],[Allocation]]/Table1[[#This Row],[AdjPriorYear 
Expenditures]])</f>
        <v>1</v>
      </c>
      <c r="N208" s="127">
        <f>IF(Table1[[#This Row],[Percent Funded of Adjusted PYE]]=1,0,Table1[[#This Row],[AdjPriorYear 
Expenditures]]-Table1[[#This Row],[Allocation]])</f>
        <v>0</v>
      </c>
    </row>
    <row r="209" spans="1:14" x14ac:dyDescent="0.35">
      <c r="A209">
        <v>28149</v>
      </c>
      <c r="B209" t="s">
        <v>956</v>
      </c>
      <c r="C209" s="127">
        <v>408694.47</v>
      </c>
      <c r="D209" s="127">
        <v>428616.73000000004</v>
      </c>
      <c r="E209" s="128">
        <v>372.75</v>
      </c>
      <c r="F209" s="128">
        <v>3.875</v>
      </c>
      <c r="G209" s="129">
        <v>376.25</v>
      </c>
      <c r="H209" s="128">
        <v>188.125</v>
      </c>
      <c r="I209" s="127">
        <f>Table1[[#This Row],[AdjPriorYear 
Expenditures]]/Table1[[#This Row],[Total Riders (AM/PM counts)]]</f>
        <v>1086.2311495016611</v>
      </c>
      <c r="J209" s="165">
        <f>Table1[[#This Row],[AdjPriorYear 
Expenditures]]/Table1[[#This Row],[Total Students]]</f>
        <v>2172.4622990033222</v>
      </c>
      <c r="K209" s="127">
        <f>Table1[[#This Row],[Allocation]]/Table1[[#This Row],[Total Riders (AM/PM counts)]]</f>
        <v>1139.180677740864</v>
      </c>
      <c r="L209" s="127">
        <f>Table1[[#This Row],[Allocation]]/Table1[[#This Row],[Total Students]]</f>
        <v>2278.361355481728</v>
      </c>
      <c r="M209" s="130">
        <f>IF(Table1[[#This Row],[Allocation]]&gt;Table1[[#This Row],[AdjPriorYear 
Expenditures]],100%, Table1[[#This Row],[Allocation]]/Table1[[#This Row],[AdjPriorYear 
Expenditures]])</f>
        <v>1</v>
      </c>
      <c r="N209" s="127">
        <f>IF(Table1[[#This Row],[Percent Funded of Adjusted PYE]]=1,0,Table1[[#This Row],[AdjPriorYear 
Expenditures]]-Table1[[#This Row],[Allocation]])</f>
        <v>0</v>
      </c>
    </row>
    <row r="210" spans="1:14" x14ac:dyDescent="0.35">
      <c r="A210">
        <v>17001</v>
      </c>
      <c r="B210" t="s">
        <v>957</v>
      </c>
      <c r="C210" s="127">
        <v>58879960.099999994</v>
      </c>
      <c r="D210" s="127">
        <v>35472313.740000002</v>
      </c>
      <c r="E210" s="128">
        <v>8556</v>
      </c>
      <c r="F210" s="128">
        <v>3285.5</v>
      </c>
      <c r="G210" s="129">
        <v>12108.875</v>
      </c>
      <c r="H210" s="128">
        <v>6054.4375</v>
      </c>
      <c r="I210" s="127">
        <f>Table1[[#This Row],[AdjPriorYear 
Expenditures]]/Table1[[#This Row],[Total Riders (AM/PM counts)]]</f>
        <v>4862.5458682164935</v>
      </c>
      <c r="J210" s="165">
        <f>Table1[[#This Row],[AdjPriorYear 
Expenditures]]/Table1[[#This Row],[Total Students]]</f>
        <v>9725.0917364329871</v>
      </c>
      <c r="K210" s="127">
        <f>Table1[[#This Row],[Allocation]]/Table1[[#This Row],[Total Riders (AM/PM counts)]]</f>
        <v>2929.4475118456508</v>
      </c>
      <c r="L210" s="127">
        <f>Table1[[#This Row],[Allocation]]/Table1[[#This Row],[Total Students]]</f>
        <v>5858.8950236913015</v>
      </c>
      <c r="M210" s="130">
        <f>IF(Table1[[#This Row],[Allocation]]&gt;Table1[[#This Row],[AdjPriorYear 
Expenditures]],100%, Table1[[#This Row],[Allocation]]/Table1[[#This Row],[AdjPriorYear 
Expenditures]])</f>
        <v>0.60245138888944327</v>
      </c>
      <c r="N210" s="127">
        <f>IF(Table1[[#This Row],[Percent Funded of Adjusted PYE]]=1,0,Table1[[#This Row],[AdjPriorYear 
Expenditures]]-Table1[[#This Row],[Allocation]])</f>
        <v>23407646.359999992</v>
      </c>
    </row>
    <row r="211" spans="1:14" x14ac:dyDescent="0.35">
      <c r="A211">
        <v>29101</v>
      </c>
      <c r="B211" t="s">
        <v>958</v>
      </c>
      <c r="C211" s="127">
        <v>3845679.5399999996</v>
      </c>
      <c r="D211" s="127">
        <v>3881839.33</v>
      </c>
      <c r="E211" s="128">
        <v>2957.25</v>
      </c>
      <c r="F211" s="128">
        <v>273.125</v>
      </c>
      <c r="G211" s="129">
        <v>3225.25</v>
      </c>
      <c r="H211" s="128">
        <v>1612.625</v>
      </c>
      <c r="I211" s="127">
        <f>Table1[[#This Row],[AdjPriorYear 
Expenditures]]/Table1[[#This Row],[Total Riders (AM/PM counts)]]</f>
        <v>1192.3663405937523</v>
      </c>
      <c r="J211" s="165">
        <f>Table1[[#This Row],[AdjPriorYear 
Expenditures]]/Table1[[#This Row],[Total Students]]</f>
        <v>2384.7326811875046</v>
      </c>
      <c r="K211" s="127">
        <f>Table1[[#This Row],[Allocation]]/Table1[[#This Row],[Total Riders (AM/PM counts)]]</f>
        <v>1203.577809472134</v>
      </c>
      <c r="L211" s="127">
        <f>Table1[[#This Row],[Allocation]]/Table1[[#This Row],[Total Students]]</f>
        <v>2407.1556189442681</v>
      </c>
      <c r="M211" s="130">
        <f>IF(Table1[[#This Row],[Allocation]]&gt;Table1[[#This Row],[AdjPriorYear 
Expenditures]],100%, Table1[[#This Row],[Allocation]]/Table1[[#This Row],[AdjPriorYear 
Expenditures]])</f>
        <v>1</v>
      </c>
      <c r="N211" s="127">
        <f>IF(Table1[[#This Row],[Percent Funded of Adjusted PYE]]=1,0,Table1[[#This Row],[AdjPriorYear 
Expenditures]]-Table1[[#This Row],[Allocation]])</f>
        <v>0</v>
      </c>
    </row>
    <row r="212" spans="1:14" x14ac:dyDescent="0.35">
      <c r="A212">
        <v>39119</v>
      </c>
      <c r="B212" t="s">
        <v>959</v>
      </c>
      <c r="C212" s="127">
        <v>2003699.15</v>
      </c>
      <c r="D212" s="127">
        <v>2096856.81</v>
      </c>
      <c r="E212" s="128">
        <v>2543.375</v>
      </c>
      <c r="F212" s="128">
        <v>121</v>
      </c>
      <c r="G212" s="129">
        <v>2668.625</v>
      </c>
      <c r="H212" s="128">
        <v>1334.3125</v>
      </c>
      <c r="I212" s="127">
        <f>Table1[[#This Row],[AdjPriorYear 
Expenditures]]/Table1[[#This Row],[Total Riders (AM/PM counts)]]</f>
        <v>750.83578621949505</v>
      </c>
      <c r="J212" s="165">
        <f>Table1[[#This Row],[AdjPriorYear 
Expenditures]]/Table1[[#This Row],[Total Students]]</f>
        <v>1501.6715724389901</v>
      </c>
      <c r="K212" s="127">
        <f>Table1[[#This Row],[Allocation]]/Table1[[#This Row],[Total Riders (AM/PM counts)]]</f>
        <v>785.74427279966278</v>
      </c>
      <c r="L212" s="127">
        <f>Table1[[#This Row],[Allocation]]/Table1[[#This Row],[Total Students]]</f>
        <v>1571.4885455993256</v>
      </c>
      <c r="M212" s="130">
        <f>IF(Table1[[#This Row],[Allocation]]&gt;Table1[[#This Row],[AdjPriorYear 
Expenditures]],100%, Table1[[#This Row],[Allocation]]/Table1[[#This Row],[AdjPriorYear 
Expenditures]])</f>
        <v>1</v>
      </c>
      <c r="N212" s="127">
        <f>IF(Table1[[#This Row],[Percent Funded of Adjusted PYE]]=1,0,Table1[[#This Row],[AdjPriorYear 
Expenditures]]-Table1[[#This Row],[Allocation]])</f>
        <v>0</v>
      </c>
    </row>
    <row r="213" spans="1:14" x14ac:dyDescent="0.35">
      <c r="A213">
        <v>26070</v>
      </c>
      <c r="B213" t="s">
        <v>960</v>
      </c>
      <c r="C213" s="127">
        <v>401750.46999999991</v>
      </c>
      <c r="D213" s="127">
        <v>418094.59</v>
      </c>
      <c r="E213" s="128">
        <v>254</v>
      </c>
      <c r="F213" s="128">
        <v>0</v>
      </c>
      <c r="G213" s="129">
        <v>268.75</v>
      </c>
      <c r="H213" s="128">
        <v>134.375</v>
      </c>
      <c r="I213" s="127">
        <f>Table1[[#This Row],[AdjPriorYear 
Expenditures]]/Table1[[#This Row],[Total Riders (AM/PM counts)]]</f>
        <v>1494.8854697674415</v>
      </c>
      <c r="J213" s="165">
        <f>Table1[[#This Row],[AdjPriorYear 
Expenditures]]/Table1[[#This Row],[Total Students]]</f>
        <v>2989.7709395348829</v>
      </c>
      <c r="K213" s="127">
        <f>Table1[[#This Row],[Allocation]]/Table1[[#This Row],[Total Riders (AM/PM counts)]]</f>
        <v>1555.7008000000001</v>
      </c>
      <c r="L213" s="127">
        <f>Table1[[#This Row],[Allocation]]/Table1[[#This Row],[Total Students]]</f>
        <v>3111.4016000000001</v>
      </c>
      <c r="M213" s="130">
        <f>IF(Table1[[#This Row],[Allocation]]&gt;Table1[[#This Row],[AdjPriorYear 
Expenditures]],100%, Table1[[#This Row],[Allocation]]/Table1[[#This Row],[AdjPriorYear 
Expenditures]])</f>
        <v>1</v>
      </c>
      <c r="N213" s="127">
        <f>IF(Table1[[#This Row],[Percent Funded of Adjusted PYE]]=1,0,Table1[[#This Row],[AdjPriorYear 
Expenditures]]-Table1[[#This Row],[Allocation]])</f>
        <v>0</v>
      </c>
    </row>
    <row r="214" spans="1:14" x14ac:dyDescent="0.35">
      <c r="A214">
        <v>5323</v>
      </c>
      <c r="B214" t="s">
        <v>961</v>
      </c>
      <c r="C214" s="127">
        <v>1994733.8500000003</v>
      </c>
      <c r="D214" s="127">
        <v>1595809.21</v>
      </c>
      <c r="E214" s="128">
        <v>1355.25</v>
      </c>
      <c r="F214" s="128">
        <v>87.25</v>
      </c>
      <c r="G214" s="129">
        <v>1459.875</v>
      </c>
      <c r="H214" s="128">
        <v>729.9375</v>
      </c>
      <c r="I214" s="127">
        <f>Table1[[#This Row],[AdjPriorYear 
Expenditures]]/Table1[[#This Row],[Total Riders (AM/PM counts)]]</f>
        <v>1366.3730456374692</v>
      </c>
      <c r="J214" s="165">
        <f>Table1[[#This Row],[AdjPriorYear 
Expenditures]]/Table1[[#This Row],[Total Students]]</f>
        <v>2732.7460912749384</v>
      </c>
      <c r="K214" s="127">
        <f>Table1[[#This Row],[Allocation]]/Table1[[#This Row],[Total Riders (AM/PM counts)]]</f>
        <v>1093.1135953420669</v>
      </c>
      <c r="L214" s="127">
        <f>Table1[[#This Row],[Allocation]]/Table1[[#This Row],[Total Students]]</f>
        <v>2186.2271906841338</v>
      </c>
      <c r="M214" s="130">
        <f>IF(Table1[[#This Row],[Allocation]]&gt;Table1[[#This Row],[AdjPriorYear 
Expenditures]],100%, Table1[[#This Row],[Allocation]]/Table1[[#This Row],[AdjPriorYear 
Expenditures]])</f>
        <v>0.80001109421189187</v>
      </c>
      <c r="N214" s="127">
        <f>IF(Table1[[#This Row],[Percent Funded of Adjusted PYE]]=1,0,Table1[[#This Row],[AdjPriorYear 
Expenditures]]-Table1[[#This Row],[Allocation]])</f>
        <v>398924.64000000036</v>
      </c>
    </row>
    <row r="215" spans="1:14" x14ac:dyDescent="0.35">
      <c r="A215">
        <v>23309</v>
      </c>
      <c r="B215" t="s">
        <v>962</v>
      </c>
      <c r="C215" s="127">
        <v>3893338.8000000003</v>
      </c>
      <c r="D215" s="127">
        <v>3516714.04</v>
      </c>
      <c r="E215" s="128">
        <v>2512</v>
      </c>
      <c r="F215" s="128">
        <v>337.125</v>
      </c>
      <c r="G215" s="129">
        <v>3140.25</v>
      </c>
      <c r="H215" s="128">
        <v>1570.125</v>
      </c>
      <c r="I215" s="127">
        <f>Table1[[#This Row],[AdjPriorYear 
Expenditures]]/Table1[[#This Row],[Total Riders (AM/PM counts)]]</f>
        <v>1239.8181036541678</v>
      </c>
      <c r="J215" s="165">
        <f>Table1[[#This Row],[AdjPriorYear 
Expenditures]]/Table1[[#This Row],[Total Students]]</f>
        <v>2479.6362073083355</v>
      </c>
      <c r="K215" s="127">
        <f>Table1[[#This Row],[Allocation]]/Table1[[#This Row],[Total Riders (AM/PM counts)]]</f>
        <v>1119.8834615078417</v>
      </c>
      <c r="L215" s="127">
        <f>Table1[[#This Row],[Allocation]]/Table1[[#This Row],[Total Students]]</f>
        <v>2239.7669230156835</v>
      </c>
      <c r="M215" s="130">
        <f>IF(Table1[[#This Row],[Allocation]]&gt;Table1[[#This Row],[AdjPriorYear 
Expenditures]],100%, Table1[[#This Row],[Allocation]]/Table1[[#This Row],[AdjPriorYear 
Expenditures]])</f>
        <v>0.90326432418365432</v>
      </c>
      <c r="N215" s="127">
        <f>IF(Table1[[#This Row],[Percent Funded of Adjusted PYE]]=1,0,Table1[[#This Row],[AdjPriorYear 
Expenditures]]-Table1[[#This Row],[Allocation]])</f>
        <v>376624.76000000024</v>
      </c>
    </row>
    <row r="216" spans="1:14" x14ac:dyDescent="0.35">
      <c r="A216">
        <v>17412</v>
      </c>
      <c r="B216" t="s">
        <v>963</v>
      </c>
      <c r="C216" s="127">
        <v>5463091.6400000006</v>
      </c>
      <c r="D216" s="127">
        <v>5078048.13</v>
      </c>
      <c r="E216" s="128">
        <v>5188.75</v>
      </c>
      <c r="F216" s="128">
        <v>383.875</v>
      </c>
      <c r="G216" s="129">
        <v>5505.625</v>
      </c>
      <c r="H216" s="128">
        <v>2752.8125</v>
      </c>
      <c r="I216" s="127">
        <f>Table1[[#This Row],[AdjPriorYear 
Expenditures]]/Table1[[#This Row],[Total Riders (AM/PM counts)]]</f>
        <v>992.27456283346589</v>
      </c>
      <c r="J216" s="165">
        <f>Table1[[#This Row],[AdjPriorYear 
Expenditures]]/Table1[[#This Row],[Total Students]]</f>
        <v>1984.5491256669318</v>
      </c>
      <c r="K216" s="127">
        <f>Table1[[#This Row],[Allocation]]/Table1[[#This Row],[Total Riders (AM/PM counts)]]</f>
        <v>922.33817777273237</v>
      </c>
      <c r="L216" s="127">
        <f>Table1[[#This Row],[Allocation]]/Table1[[#This Row],[Total Students]]</f>
        <v>1844.6763555454647</v>
      </c>
      <c r="M216" s="130">
        <f>IF(Table1[[#This Row],[Allocation]]&gt;Table1[[#This Row],[AdjPriorYear 
Expenditures]],100%, Table1[[#This Row],[Allocation]]/Table1[[#This Row],[AdjPriorYear 
Expenditures]])</f>
        <v>0.92951911932416331</v>
      </c>
      <c r="N216" s="127">
        <f>IF(Table1[[#This Row],[Percent Funded of Adjusted PYE]]=1,0,Table1[[#This Row],[AdjPriorYear 
Expenditures]]-Table1[[#This Row],[Allocation]])</f>
        <v>385043.51000000071</v>
      </c>
    </row>
    <row r="217" spans="1:14" x14ac:dyDescent="0.35">
      <c r="A217">
        <v>30002</v>
      </c>
      <c r="B217" t="s">
        <v>964</v>
      </c>
      <c r="C217" s="127">
        <v>117067.92</v>
      </c>
      <c r="D217" s="127">
        <v>126347.92</v>
      </c>
      <c r="E217" s="128">
        <v>86</v>
      </c>
      <c r="F217" s="128">
        <v>0</v>
      </c>
      <c r="G217" s="129">
        <v>86</v>
      </c>
      <c r="H217" s="128">
        <v>43</v>
      </c>
      <c r="I217" s="127">
        <f>Table1[[#This Row],[AdjPriorYear 
Expenditures]]/Table1[[#This Row],[Total Riders (AM/PM counts)]]</f>
        <v>1361.2548837209301</v>
      </c>
      <c r="J217" s="165">
        <f>Table1[[#This Row],[AdjPriorYear 
Expenditures]]/Table1[[#This Row],[Total Students]]</f>
        <v>2722.5097674418603</v>
      </c>
      <c r="K217" s="127">
        <f>Table1[[#This Row],[Allocation]]/Table1[[#This Row],[Total Riders (AM/PM counts)]]</f>
        <v>1469.1618604651162</v>
      </c>
      <c r="L217" s="127">
        <f>Table1[[#This Row],[Allocation]]/Table1[[#This Row],[Total Students]]</f>
        <v>2938.3237209302324</v>
      </c>
      <c r="M217" s="130">
        <f>IF(Table1[[#This Row],[Allocation]]&gt;Table1[[#This Row],[AdjPriorYear 
Expenditures]],100%, Table1[[#This Row],[Allocation]]/Table1[[#This Row],[AdjPriorYear 
Expenditures]])</f>
        <v>1</v>
      </c>
      <c r="N217" s="127">
        <f>IF(Table1[[#This Row],[Percent Funded of Adjusted PYE]]=1,0,Table1[[#This Row],[AdjPriorYear 
Expenditures]]-Table1[[#This Row],[Allocation]])</f>
        <v>0</v>
      </c>
    </row>
    <row r="218" spans="1:14" x14ac:dyDescent="0.35">
      <c r="A218">
        <v>17404</v>
      </c>
      <c r="B218" t="s">
        <v>965</v>
      </c>
      <c r="C218" s="127">
        <v>55450.900000000009</v>
      </c>
      <c r="D218" s="127">
        <v>37640.03</v>
      </c>
      <c r="E218" s="128">
        <v>62.25</v>
      </c>
      <c r="F218" s="128">
        <v>0</v>
      </c>
      <c r="G218" s="129">
        <v>64.75</v>
      </c>
      <c r="H218" s="128">
        <v>32.375</v>
      </c>
      <c r="I218" s="127">
        <f>Table1[[#This Row],[AdjPriorYear 
Expenditures]]/Table1[[#This Row],[Total Riders (AM/PM counts)]]</f>
        <v>856.38455598455607</v>
      </c>
      <c r="J218" s="165">
        <f>Table1[[#This Row],[AdjPriorYear 
Expenditures]]/Table1[[#This Row],[Total Students]]</f>
        <v>1712.7691119691121</v>
      </c>
      <c r="K218" s="127">
        <f>Table1[[#This Row],[Allocation]]/Table1[[#This Row],[Total Riders (AM/PM counts)]]</f>
        <v>581.31320463320458</v>
      </c>
      <c r="L218" s="127">
        <f>Table1[[#This Row],[Allocation]]/Table1[[#This Row],[Total Students]]</f>
        <v>1162.6264092664092</v>
      </c>
      <c r="M218" s="130">
        <f>IF(Table1[[#This Row],[Allocation]]&gt;Table1[[#This Row],[AdjPriorYear 
Expenditures]],100%, Table1[[#This Row],[Allocation]]/Table1[[#This Row],[AdjPriorYear 
Expenditures]])</f>
        <v>0.67879926204984942</v>
      </c>
      <c r="N218" s="127">
        <f>IF(Table1[[#This Row],[Percent Funded of Adjusted PYE]]=1,0,Table1[[#This Row],[AdjPriorYear 
Expenditures]]-Table1[[#This Row],[Allocation]])</f>
        <v>17810.87000000001</v>
      </c>
    </row>
    <row r="219" spans="1:14" x14ac:dyDescent="0.35">
      <c r="A219">
        <v>31201</v>
      </c>
      <c r="B219" t="s">
        <v>966</v>
      </c>
      <c r="C219" s="127">
        <v>6967687.379999999</v>
      </c>
      <c r="D219" s="127">
        <v>6630921.1499999994</v>
      </c>
      <c r="E219" s="128">
        <v>6858.375</v>
      </c>
      <c r="F219" s="128">
        <v>334.5</v>
      </c>
      <c r="G219" s="129">
        <v>7225.875</v>
      </c>
      <c r="H219" s="128">
        <v>3612.9375</v>
      </c>
      <c r="I219" s="127">
        <f>Table1[[#This Row],[AdjPriorYear 
Expenditures]]/Table1[[#This Row],[Total Riders (AM/PM counts)]]</f>
        <v>964.26901655508834</v>
      </c>
      <c r="J219" s="165">
        <f>Table1[[#This Row],[AdjPriorYear 
Expenditures]]/Table1[[#This Row],[Total Students]]</f>
        <v>1928.5380331101767</v>
      </c>
      <c r="K219" s="127">
        <f>Table1[[#This Row],[Allocation]]/Table1[[#This Row],[Total Riders (AM/PM counts)]]</f>
        <v>917.66341792516471</v>
      </c>
      <c r="L219" s="127">
        <f>Table1[[#This Row],[Allocation]]/Table1[[#This Row],[Total Students]]</f>
        <v>1835.3268358503294</v>
      </c>
      <c r="M219" s="130">
        <f>IF(Table1[[#This Row],[Allocation]]&gt;Table1[[#This Row],[AdjPriorYear 
Expenditures]],100%, Table1[[#This Row],[Allocation]]/Table1[[#This Row],[AdjPriorYear 
Expenditures]])</f>
        <v>0.95166743115274499</v>
      </c>
      <c r="N219" s="127">
        <f>IF(Table1[[#This Row],[Percent Funded of Adjusted PYE]]=1,0,Table1[[#This Row],[AdjPriorYear 
Expenditures]]-Table1[[#This Row],[Allocation]])</f>
        <v>336766.22999999952</v>
      </c>
    </row>
    <row r="220" spans="1:14" x14ac:dyDescent="0.35">
      <c r="A220">
        <v>17410</v>
      </c>
      <c r="B220" t="s">
        <v>967</v>
      </c>
      <c r="C220" s="127">
        <v>5405273.8000000007</v>
      </c>
      <c r="D220" s="127">
        <v>4049951.05</v>
      </c>
      <c r="E220" s="128">
        <v>4310.875</v>
      </c>
      <c r="F220" s="128">
        <v>145.25</v>
      </c>
      <c r="G220" s="129">
        <v>4438</v>
      </c>
      <c r="H220" s="128">
        <v>2219</v>
      </c>
      <c r="I220" s="127">
        <f>Table1[[#This Row],[AdjPriorYear 
Expenditures]]/Table1[[#This Row],[Total Riders (AM/PM counts)]]</f>
        <v>1217.952636322668</v>
      </c>
      <c r="J220" s="165">
        <f>Table1[[#This Row],[AdjPriorYear 
Expenditures]]/Table1[[#This Row],[Total Students]]</f>
        <v>2435.905272645336</v>
      </c>
      <c r="K220" s="127">
        <f>Table1[[#This Row],[Allocation]]/Table1[[#This Row],[Total Riders (AM/PM counts)]]</f>
        <v>912.56220144209101</v>
      </c>
      <c r="L220" s="127">
        <f>Table1[[#This Row],[Allocation]]/Table1[[#This Row],[Total Students]]</f>
        <v>1825.124402884182</v>
      </c>
      <c r="M220" s="130">
        <f>IF(Table1[[#This Row],[Allocation]]&gt;Table1[[#This Row],[AdjPriorYear 
Expenditures]],100%, Table1[[#This Row],[Allocation]]/Table1[[#This Row],[AdjPriorYear 
Expenditures]])</f>
        <v>0.74925918646341272</v>
      </c>
      <c r="N220" s="127">
        <f>IF(Table1[[#This Row],[Percent Funded of Adjusted PYE]]=1,0,Table1[[#This Row],[AdjPriorYear 
Expenditures]]-Table1[[#This Row],[Allocation]])</f>
        <v>1355322.7500000009</v>
      </c>
    </row>
    <row r="221" spans="1:14" x14ac:dyDescent="0.35">
      <c r="A221">
        <v>13156</v>
      </c>
      <c r="B221" t="s">
        <v>968</v>
      </c>
      <c r="C221" s="127">
        <v>373100.64</v>
      </c>
      <c r="D221" s="127">
        <v>407898.33999999997</v>
      </c>
      <c r="E221" s="128">
        <v>399.625</v>
      </c>
      <c r="F221" s="128">
        <v>15</v>
      </c>
      <c r="G221" s="129">
        <v>418.375</v>
      </c>
      <c r="H221" s="128">
        <v>209.1875</v>
      </c>
      <c r="I221" s="127">
        <f>Table1[[#This Row],[AdjPriorYear 
Expenditures]]/Table1[[#This Row],[Total Riders (AM/PM counts)]]</f>
        <v>891.78521661189131</v>
      </c>
      <c r="J221" s="165">
        <f>Table1[[#This Row],[AdjPriorYear 
Expenditures]]/Table1[[#This Row],[Total Students]]</f>
        <v>1783.5704332237826</v>
      </c>
      <c r="K221" s="127">
        <f>Table1[[#This Row],[Allocation]]/Table1[[#This Row],[Total Riders (AM/PM counts)]]</f>
        <v>974.95868538990135</v>
      </c>
      <c r="L221" s="127">
        <f>Table1[[#This Row],[Allocation]]/Table1[[#This Row],[Total Students]]</f>
        <v>1949.9173707798027</v>
      </c>
      <c r="M221" s="130">
        <f>IF(Table1[[#This Row],[Allocation]]&gt;Table1[[#This Row],[AdjPriorYear 
Expenditures]],100%, Table1[[#This Row],[Allocation]]/Table1[[#This Row],[AdjPriorYear 
Expenditures]])</f>
        <v>1</v>
      </c>
      <c r="N221" s="127">
        <f>IF(Table1[[#This Row],[Percent Funded of Adjusted PYE]]=1,0,Table1[[#This Row],[AdjPriorYear 
Expenditures]]-Table1[[#This Row],[Allocation]])</f>
        <v>0</v>
      </c>
    </row>
    <row r="222" spans="1:14" x14ac:dyDescent="0.35">
      <c r="A222">
        <v>25118</v>
      </c>
      <c r="B222" t="s">
        <v>969</v>
      </c>
      <c r="C222" s="127">
        <v>564705.75000000012</v>
      </c>
      <c r="D222" s="127">
        <v>573580.23</v>
      </c>
      <c r="E222" s="128">
        <v>431.75</v>
      </c>
      <c r="F222" s="128">
        <v>30.5</v>
      </c>
      <c r="G222" s="129">
        <v>500.375</v>
      </c>
      <c r="H222" s="128">
        <v>250.1875</v>
      </c>
      <c r="I222" s="127">
        <f>Table1[[#This Row],[AdjPriorYear 
Expenditures]]/Table1[[#This Row],[Total Riders (AM/PM counts)]]</f>
        <v>1128.5650761928555</v>
      </c>
      <c r="J222" s="165">
        <f>Table1[[#This Row],[AdjPriorYear 
Expenditures]]/Table1[[#This Row],[Total Students]]</f>
        <v>2257.130152385711</v>
      </c>
      <c r="K222" s="127">
        <f>Table1[[#This Row],[Allocation]]/Table1[[#This Row],[Total Riders (AM/PM counts)]]</f>
        <v>1146.3007344491632</v>
      </c>
      <c r="L222" s="127">
        <f>Table1[[#This Row],[Allocation]]/Table1[[#This Row],[Total Students]]</f>
        <v>2292.6014688983264</v>
      </c>
      <c r="M222" s="130">
        <f>IF(Table1[[#This Row],[Allocation]]&gt;Table1[[#This Row],[AdjPriorYear 
Expenditures]],100%, Table1[[#This Row],[Allocation]]/Table1[[#This Row],[AdjPriorYear 
Expenditures]])</f>
        <v>1</v>
      </c>
      <c r="N222" s="127">
        <f>IF(Table1[[#This Row],[Percent Funded of Adjusted PYE]]=1,0,Table1[[#This Row],[AdjPriorYear 
Expenditures]]-Table1[[#This Row],[Allocation]])</f>
        <v>0</v>
      </c>
    </row>
    <row r="223" spans="1:14" x14ac:dyDescent="0.35">
      <c r="A223">
        <v>18402</v>
      </c>
      <c r="B223" t="s">
        <v>970</v>
      </c>
      <c r="C223" s="127">
        <v>9078955.3399999999</v>
      </c>
      <c r="D223" s="127">
        <v>7547265.9500000002</v>
      </c>
      <c r="E223" s="128">
        <v>7428.875</v>
      </c>
      <c r="F223" s="128">
        <v>496.625</v>
      </c>
      <c r="G223" s="129">
        <v>7982.625</v>
      </c>
      <c r="H223" s="128">
        <v>3991.3125</v>
      </c>
      <c r="I223" s="127">
        <f>Table1[[#This Row],[AdjPriorYear 
Expenditures]]/Table1[[#This Row],[Total Riders (AM/PM counts)]]</f>
        <v>1137.3395768935657</v>
      </c>
      <c r="J223" s="165">
        <f>Table1[[#This Row],[AdjPriorYear 
Expenditures]]/Table1[[#This Row],[Total Students]]</f>
        <v>2274.6791537871313</v>
      </c>
      <c r="K223" s="127">
        <f>Table1[[#This Row],[Allocation]]/Table1[[#This Row],[Total Riders (AM/PM counts)]]</f>
        <v>945.46166831086271</v>
      </c>
      <c r="L223" s="127">
        <f>Table1[[#This Row],[Allocation]]/Table1[[#This Row],[Total Students]]</f>
        <v>1890.9233366217254</v>
      </c>
      <c r="M223" s="130">
        <f>IF(Table1[[#This Row],[Allocation]]&gt;Table1[[#This Row],[AdjPriorYear 
Expenditures]],100%, Table1[[#This Row],[Allocation]]/Table1[[#This Row],[AdjPriorYear 
Expenditures]])</f>
        <v>0.83129233126065805</v>
      </c>
      <c r="N223" s="127">
        <f>IF(Table1[[#This Row],[Percent Funded of Adjusted PYE]]=1,0,Table1[[#This Row],[AdjPriorYear 
Expenditures]]-Table1[[#This Row],[Allocation]])</f>
        <v>1531689.3899999997</v>
      </c>
    </row>
    <row r="224" spans="1:14" x14ac:dyDescent="0.35">
      <c r="A224">
        <v>15206</v>
      </c>
      <c r="B224" t="s">
        <v>971</v>
      </c>
      <c r="C224" s="127">
        <v>894777.33</v>
      </c>
      <c r="D224" s="127">
        <v>839928.74</v>
      </c>
      <c r="E224" s="128">
        <v>710.75</v>
      </c>
      <c r="F224" s="128">
        <v>17</v>
      </c>
      <c r="G224" s="129">
        <v>727.875</v>
      </c>
      <c r="H224" s="128">
        <v>363.9375</v>
      </c>
      <c r="I224" s="127">
        <f>Table1[[#This Row],[AdjPriorYear 
Expenditures]]/Table1[[#This Row],[Total Riders (AM/PM counts)]]</f>
        <v>1229.3008140133952</v>
      </c>
      <c r="J224" s="165">
        <f>Table1[[#This Row],[AdjPriorYear 
Expenditures]]/Table1[[#This Row],[Total Students]]</f>
        <v>2458.6016280267904</v>
      </c>
      <c r="K224" s="127">
        <f>Table1[[#This Row],[Allocation]]/Table1[[#This Row],[Total Riders (AM/PM counts)]]</f>
        <v>1153.9464056328352</v>
      </c>
      <c r="L224" s="127">
        <f>Table1[[#This Row],[Allocation]]/Table1[[#This Row],[Total Students]]</f>
        <v>2307.8928112656704</v>
      </c>
      <c r="M224" s="130">
        <f>IF(Table1[[#This Row],[Allocation]]&gt;Table1[[#This Row],[AdjPriorYear 
Expenditures]],100%, Table1[[#This Row],[Allocation]]/Table1[[#This Row],[AdjPriorYear 
Expenditures]])</f>
        <v>0.93870140853926198</v>
      </c>
      <c r="N224" s="127">
        <f>IF(Table1[[#This Row],[Percent Funded of Adjusted PYE]]=1,0,Table1[[#This Row],[AdjPriorYear 
Expenditures]]-Table1[[#This Row],[Allocation]])</f>
        <v>54848.589999999967</v>
      </c>
    </row>
    <row r="225" spans="1:14" x14ac:dyDescent="0.35">
      <c r="A225">
        <v>23042</v>
      </c>
      <c r="B225" t="s">
        <v>972</v>
      </c>
      <c r="C225" s="127">
        <v>137408.98000000001</v>
      </c>
      <c r="D225" s="127">
        <v>150104.39000000001</v>
      </c>
      <c r="E225" s="128">
        <v>201.125</v>
      </c>
      <c r="F225" s="128">
        <v>0</v>
      </c>
      <c r="G225" s="129">
        <v>201.875</v>
      </c>
      <c r="H225" s="128">
        <v>100.9375</v>
      </c>
      <c r="I225" s="127">
        <f>Table1[[#This Row],[AdjPriorYear 
Expenditures]]/Table1[[#This Row],[Total Riders (AM/PM counts)]]</f>
        <v>680.66367801857587</v>
      </c>
      <c r="J225" s="165">
        <f>Table1[[#This Row],[AdjPriorYear 
Expenditures]]/Table1[[#This Row],[Total Students]]</f>
        <v>1361.3273560371517</v>
      </c>
      <c r="K225" s="127">
        <f>Table1[[#This Row],[Allocation]]/Table1[[#This Row],[Total Riders (AM/PM counts)]]</f>
        <v>743.55115789473689</v>
      </c>
      <c r="L225" s="127">
        <f>Table1[[#This Row],[Allocation]]/Table1[[#This Row],[Total Students]]</f>
        <v>1487.1023157894738</v>
      </c>
      <c r="M225" s="130">
        <f>IF(Table1[[#This Row],[Allocation]]&gt;Table1[[#This Row],[AdjPriorYear 
Expenditures]],100%, Table1[[#This Row],[Allocation]]/Table1[[#This Row],[AdjPriorYear 
Expenditures]])</f>
        <v>1</v>
      </c>
      <c r="N225" s="127">
        <f>IF(Table1[[#This Row],[Percent Funded of Adjusted PYE]]=1,0,Table1[[#This Row],[AdjPriorYear 
Expenditures]]-Table1[[#This Row],[Allocation]])</f>
        <v>0</v>
      </c>
    </row>
    <row r="226" spans="1:14" x14ac:dyDescent="0.35">
      <c r="A226">
        <v>32081</v>
      </c>
      <c r="B226" t="s">
        <v>973</v>
      </c>
      <c r="C226" s="127">
        <v>15651404.32</v>
      </c>
      <c r="D226" s="127">
        <v>10914792.16</v>
      </c>
      <c r="E226" s="128">
        <v>6601.25</v>
      </c>
      <c r="F226" s="128">
        <v>767.125</v>
      </c>
      <c r="G226" s="129">
        <v>7800.125</v>
      </c>
      <c r="H226" s="128">
        <v>3900.0625</v>
      </c>
      <c r="I226" s="127">
        <f>Table1[[#This Row],[AdjPriorYear 
Expenditures]]/Table1[[#This Row],[Total Riders (AM/PM counts)]]</f>
        <v>2006.5581410554319</v>
      </c>
      <c r="J226" s="165">
        <f>Table1[[#This Row],[AdjPriorYear 
Expenditures]]/Table1[[#This Row],[Total Students]]</f>
        <v>4013.1162821108637</v>
      </c>
      <c r="K226" s="127">
        <f>Table1[[#This Row],[Allocation]]/Table1[[#This Row],[Total Riders (AM/PM counts)]]</f>
        <v>1399.3099033669332</v>
      </c>
      <c r="L226" s="127">
        <f>Table1[[#This Row],[Allocation]]/Table1[[#This Row],[Total Students]]</f>
        <v>2798.6198067338664</v>
      </c>
      <c r="M226" s="130">
        <f>IF(Table1[[#This Row],[Allocation]]&gt;Table1[[#This Row],[AdjPriorYear 
Expenditures]],100%, Table1[[#This Row],[Allocation]]/Table1[[#This Row],[AdjPriorYear 
Expenditures]])</f>
        <v>0.69736823206673126</v>
      </c>
      <c r="N226" s="127">
        <f>IF(Table1[[#This Row],[Percent Funded of Adjusted PYE]]=1,0,Table1[[#This Row],[AdjPriorYear 
Expenditures]]-Table1[[#This Row],[Allocation]])</f>
        <v>4736612.16</v>
      </c>
    </row>
    <row r="227" spans="1:14" x14ac:dyDescent="0.35">
      <c r="A227">
        <v>22008</v>
      </c>
      <c r="B227" t="s">
        <v>974</v>
      </c>
      <c r="C227" s="127">
        <v>162783.85</v>
      </c>
      <c r="D227" s="127">
        <v>165699.63</v>
      </c>
      <c r="E227" s="128">
        <v>24.5</v>
      </c>
      <c r="F227" s="128">
        <v>0</v>
      </c>
      <c r="G227" s="129">
        <v>24.5</v>
      </c>
      <c r="H227" s="128">
        <v>12.25</v>
      </c>
      <c r="I227" s="127">
        <f>Table1[[#This Row],[AdjPriorYear 
Expenditures]]/Table1[[#This Row],[Total Riders (AM/PM counts)]]</f>
        <v>6644.2387755102045</v>
      </c>
      <c r="J227" s="165">
        <f>Table1[[#This Row],[AdjPriorYear 
Expenditures]]/Table1[[#This Row],[Total Students]]</f>
        <v>13288.477551020409</v>
      </c>
      <c r="K227" s="127">
        <f>Table1[[#This Row],[Allocation]]/Table1[[#This Row],[Total Riders (AM/PM counts)]]</f>
        <v>6763.2502040816325</v>
      </c>
      <c r="L227" s="127">
        <f>Table1[[#This Row],[Allocation]]/Table1[[#This Row],[Total Students]]</f>
        <v>13526.500408163265</v>
      </c>
      <c r="M227" s="130">
        <f>IF(Table1[[#This Row],[Allocation]]&gt;Table1[[#This Row],[AdjPriorYear 
Expenditures]],100%, Table1[[#This Row],[Allocation]]/Table1[[#This Row],[AdjPriorYear 
Expenditures]])</f>
        <v>1</v>
      </c>
      <c r="N227" s="127">
        <f>IF(Table1[[#This Row],[Percent Funded of Adjusted PYE]]=1,0,Table1[[#This Row],[AdjPriorYear 
Expenditures]]-Table1[[#This Row],[Allocation]])</f>
        <v>0</v>
      </c>
    </row>
    <row r="228" spans="1:14" x14ac:dyDescent="0.35">
      <c r="A228">
        <v>38322</v>
      </c>
      <c r="B228" t="s">
        <v>975</v>
      </c>
      <c r="C228" s="127">
        <v>360638.76</v>
      </c>
      <c r="D228" s="127">
        <v>417171.74</v>
      </c>
      <c r="E228" s="128">
        <v>137.875</v>
      </c>
      <c r="F228" s="128">
        <v>0.75</v>
      </c>
      <c r="G228" s="129">
        <v>137.875</v>
      </c>
      <c r="H228" s="128">
        <v>68.9375</v>
      </c>
      <c r="I228" s="127">
        <f>Table1[[#This Row],[AdjPriorYear 
Expenditures]]/Table1[[#This Row],[Total Riders (AM/PM counts)]]</f>
        <v>2615.6936355394378</v>
      </c>
      <c r="J228" s="165">
        <f>Table1[[#This Row],[AdjPriorYear 
Expenditures]]/Table1[[#This Row],[Total Students]]</f>
        <v>5231.3872710788755</v>
      </c>
      <c r="K228" s="127">
        <f>Table1[[#This Row],[Allocation]]/Table1[[#This Row],[Total Riders (AM/PM counts)]]</f>
        <v>3025.7243155031729</v>
      </c>
      <c r="L228" s="127">
        <f>Table1[[#This Row],[Allocation]]/Table1[[#This Row],[Total Students]]</f>
        <v>6051.4486310063457</v>
      </c>
      <c r="M228" s="130">
        <f>IF(Table1[[#This Row],[Allocation]]&gt;Table1[[#This Row],[AdjPriorYear 
Expenditures]],100%, Table1[[#This Row],[Allocation]]/Table1[[#This Row],[AdjPriorYear 
Expenditures]])</f>
        <v>1</v>
      </c>
      <c r="N228" s="127">
        <f>IF(Table1[[#This Row],[Percent Funded of Adjusted PYE]]=1,0,Table1[[#This Row],[AdjPriorYear 
Expenditures]]-Table1[[#This Row],[Allocation]])</f>
        <v>0</v>
      </c>
    </row>
    <row r="229" spans="1:14" x14ac:dyDescent="0.35">
      <c r="A229">
        <v>31401</v>
      </c>
      <c r="B229" t="s">
        <v>976</v>
      </c>
      <c r="C229" s="127">
        <v>4316173.4399999995</v>
      </c>
      <c r="D229" s="127">
        <v>3581028.78</v>
      </c>
      <c r="E229" s="128">
        <v>3025.75</v>
      </c>
      <c r="F229" s="128">
        <v>211.5</v>
      </c>
      <c r="G229" s="129">
        <v>3228.75</v>
      </c>
      <c r="H229" s="128">
        <v>1614.375</v>
      </c>
      <c r="I229" s="127">
        <f>Table1[[#This Row],[AdjPriorYear 
Expenditures]]/Table1[[#This Row],[Total Riders (AM/PM counts)]]</f>
        <v>1336.7939419279905</v>
      </c>
      <c r="J229" s="165">
        <f>Table1[[#This Row],[AdjPriorYear 
Expenditures]]/Table1[[#This Row],[Total Students]]</f>
        <v>2673.5878838559811</v>
      </c>
      <c r="K229" s="127">
        <f>Table1[[#This Row],[Allocation]]/Table1[[#This Row],[Total Riders (AM/PM counts)]]</f>
        <v>1109.1068617886178</v>
      </c>
      <c r="L229" s="127">
        <f>Table1[[#This Row],[Allocation]]/Table1[[#This Row],[Total Students]]</f>
        <v>2218.2137235772357</v>
      </c>
      <c r="M229" s="130">
        <f>IF(Table1[[#This Row],[Allocation]]&gt;Table1[[#This Row],[AdjPriorYear 
Expenditures]],100%, Table1[[#This Row],[Allocation]]/Table1[[#This Row],[AdjPriorYear 
Expenditures]])</f>
        <v>0.82967675645582961</v>
      </c>
      <c r="N229" s="127">
        <f>IF(Table1[[#This Row],[Percent Funded of Adjusted PYE]]=1,0,Table1[[#This Row],[AdjPriorYear 
Expenditures]]-Table1[[#This Row],[Allocation]])</f>
        <v>735144.65999999968</v>
      </c>
    </row>
    <row r="230" spans="1:14" x14ac:dyDescent="0.35">
      <c r="A230">
        <v>11054</v>
      </c>
      <c r="B230" t="s">
        <v>977</v>
      </c>
      <c r="C230" s="127">
        <v>123703.56999999998</v>
      </c>
      <c r="D230" s="127">
        <v>113100.90000000001</v>
      </c>
      <c r="E230" s="128">
        <v>31.25</v>
      </c>
      <c r="F230" s="128">
        <v>0</v>
      </c>
      <c r="G230" s="129">
        <v>31.25</v>
      </c>
      <c r="H230" s="128">
        <v>15.625</v>
      </c>
      <c r="I230" s="127">
        <f>Table1[[#This Row],[AdjPriorYear 
Expenditures]]/Table1[[#This Row],[Total Riders (AM/PM counts)]]</f>
        <v>3958.5142399999995</v>
      </c>
      <c r="J230" s="165">
        <f>Table1[[#This Row],[AdjPriorYear 
Expenditures]]/Table1[[#This Row],[Total Students]]</f>
        <v>7917.028479999999</v>
      </c>
      <c r="K230" s="127">
        <f>Table1[[#This Row],[Allocation]]/Table1[[#This Row],[Total Riders (AM/PM counts)]]</f>
        <v>3619.2288000000003</v>
      </c>
      <c r="L230" s="127">
        <f>Table1[[#This Row],[Allocation]]/Table1[[#This Row],[Total Students]]</f>
        <v>7238.4576000000006</v>
      </c>
      <c r="M230" s="130">
        <f>IF(Table1[[#This Row],[Allocation]]&gt;Table1[[#This Row],[AdjPriorYear 
Expenditures]],100%, Table1[[#This Row],[Allocation]]/Table1[[#This Row],[AdjPriorYear 
Expenditures]])</f>
        <v>0.9142897007741978</v>
      </c>
      <c r="N230" s="127">
        <f>IF(Table1[[#This Row],[Percent Funded of Adjusted PYE]]=1,0,Table1[[#This Row],[AdjPriorYear 
Expenditures]]-Table1[[#This Row],[Allocation]])</f>
        <v>10602.669999999969</v>
      </c>
    </row>
    <row r="231" spans="1:14" x14ac:dyDescent="0.35">
      <c r="A231">
        <v>7035</v>
      </c>
      <c r="B231" t="s">
        <v>978</v>
      </c>
      <c r="C231" s="127">
        <v>64975.729999999996</v>
      </c>
      <c r="D231" s="127">
        <v>58302.21</v>
      </c>
      <c r="E231" s="128">
        <v>32.75</v>
      </c>
      <c r="F231" s="128">
        <v>0</v>
      </c>
      <c r="G231" s="129">
        <v>32.75</v>
      </c>
      <c r="H231" s="128">
        <v>16.375</v>
      </c>
      <c r="I231" s="127">
        <f>Table1[[#This Row],[AdjPriorYear 
Expenditures]]/Table1[[#This Row],[Total Riders (AM/PM counts)]]</f>
        <v>1983.9917557251906</v>
      </c>
      <c r="J231" s="165">
        <f>Table1[[#This Row],[AdjPriorYear 
Expenditures]]/Table1[[#This Row],[Total Students]]</f>
        <v>3967.9835114503812</v>
      </c>
      <c r="K231" s="127">
        <f>Table1[[#This Row],[Allocation]]/Table1[[#This Row],[Total Riders (AM/PM counts)]]</f>
        <v>1780.2201526717556</v>
      </c>
      <c r="L231" s="127">
        <f>Table1[[#This Row],[Allocation]]/Table1[[#This Row],[Total Students]]</f>
        <v>3560.4403053435112</v>
      </c>
      <c r="M231" s="130">
        <f>IF(Table1[[#This Row],[Allocation]]&gt;Table1[[#This Row],[AdjPriorYear 
Expenditures]],100%, Table1[[#This Row],[Allocation]]/Table1[[#This Row],[AdjPriorYear 
Expenditures]])</f>
        <v>0.89729211199320125</v>
      </c>
      <c r="N231" s="127">
        <f>IF(Table1[[#This Row],[Percent Funded of Adjusted PYE]]=1,0,Table1[[#This Row],[AdjPriorYear 
Expenditures]]-Table1[[#This Row],[Allocation]])</f>
        <v>6673.5199999999968</v>
      </c>
    </row>
    <row r="232" spans="1:14" x14ac:dyDescent="0.35">
      <c r="A232">
        <v>27001</v>
      </c>
      <c r="B232" t="s">
        <v>979</v>
      </c>
      <c r="C232" s="127">
        <v>2830847.1799999997</v>
      </c>
      <c r="D232" s="127">
        <v>2613953.34</v>
      </c>
      <c r="E232" s="128">
        <v>2716.375</v>
      </c>
      <c r="F232" s="128">
        <v>126.75</v>
      </c>
      <c r="G232" s="129">
        <v>2819</v>
      </c>
      <c r="H232" s="128">
        <v>1409.5</v>
      </c>
      <c r="I232" s="127">
        <f>Table1[[#This Row],[AdjPriorYear 
Expenditures]]/Table1[[#This Row],[Total Riders (AM/PM counts)]]</f>
        <v>1004.2026179496274</v>
      </c>
      <c r="J232" s="165">
        <f>Table1[[#This Row],[AdjPriorYear 
Expenditures]]/Table1[[#This Row],[Total Students]]</f>
        <v>2008.4052358992549</v>
      </c>
      <c r="K232" s="127">
        <f>Table1[[#This Row],[Allocation]]/Table1[[#This Row],[Total Riders (AM/PM counts)]]</f>
        <v>927.26262504434192</v>
      </c>
      <c r="L232" s="127">
        <f>Table1[[#This Row],[Allocation]]/Table1[[#This Row],[Total Students]]</f>
        <v>1854.5252500886838</v>
      </c>
      <c r="M232" s="130">
        <f>IF(Table1[[#This Row],[Allocation]]&gt;Table1[[#This Row],[AdjPriorYear 
Expenditures]],100%, Table1[[#This Row],[Allocation]]/Table1[[#This Row],[AdjPriorYear 
Expenditures]])</f>
        <v>0.92338200326306563</v>
      </c>
      <c r="N232" s="127">
        <f>IF(Table1[[#This Row],[Percent Funded of Adjusted PYE]]=1,0,Table1[[#This Row],[AdjPriorYear 
Expenditures]]-Table1[[#This Row],[Allocation]])</f>
        <v>216893.83999999985</v>
      </c>
    </row>
    <row r="233" spans="1:14" x14ac:dyDescent="0.35">
      <c r="A233">
        <v>38304</v>
      </c>
      <c r="B233" t="s">
        <v>980</v>
      </c>
      <c r="C233" s="127">
        <v>91429.400000000009</v>
      </c>
      <c r="D233" s="127">
        <v>101804.8</v>
      </c>
      <c r="E233" s="128">
        <v>63.125</v>
      </c>
      <c r="F233" s="128">
        <v>0</v>
      </c>
      <c r="G233" s="129">
        <v>63.125</v>
      </c>
      <c r="H233" s="128">
        <v>31.5625</v>
      </c>
      <c r="I233" s="127">
        <f>Table1[[#This Row],[AdjPriorYear 
Expenditures]]/Table1[[#This Row],[Total Riders (AM/PM counts)]]</f>
        <v>1448.3865346534656</v>
      </c>
      <c r="J233" s="165">
        <f>Table1[[#This Row],[AdjPriorYear 
Expenditures]]/Table1[[#This Row],[Total Students]]</f>
        <v>2896.7730693069311</v>
      </c>
      <c r="K233" s="127">
        <f>Table1[[#This Row],[Allocation]]/Table1[[#This Row],[Total Riders (AM/PM counts)]]</f>
        <v>1612.7493069306931</v>
      </c>
      <c r="L233" s="127">
        <f>Table1[[#This Row],[Allocation]]/Table1[[#This Row],[Total Students]]</f>
        <v>3225.4986138613863</v>
      </c>
      <c r="M233" s="130">
        <f>IF(Table1[[#This Row],[Allocation]]&gt;Table1[[#This Row],[AdjPriorYear 
Expenditures]],100%, Table1[[#This Row],[Allocation]]/Table1[[#This Row],[AdjPriorYear 
Expenditures]])</f>
        <v>1</v>
      </c>
      <c r="N233" s="127">
        <f>IF(Table1[[#This Row],[Percent Funded of Adjusted PYE]]=1,0,Table1[[#This Row],[AdjPriorYear 
Expenditures]]-Table1[[#This Row],[Allocation]])</f>
        <v>0</v>
      </c>
    </row>
    <row r="234" spans="1:14" x14ac:dyDescent="0.35">
      <c r="A234">
        <v>30303</v>
      </c>
      <c r="B234" t="s">
        <v>981</v>
      </c>
      <c r="C234" s="127">
        <v>785577.80999999982</v>
      </c>
      <c r="D234" s="127">
        <v>832681.96000000008</v>
      </c>
      <c r="E234" s="128">
        <v>591.625</v>
      </c>
      <c r="F234" s="128">
        <v>69.125</v>
      </c>
      <c r="G234" s="129">
        <v>630.25</v>
      </c>
      <c r="H234" s="128">
        <v>315.125</v>
      </c>
      <c r="I234" s="127">
        <f>Table1[[#This Row],[AdjPriorYear 
Expenditures]]/Table1[[#This Row],[Total Riders (AM/PM counts)]]</f>
        <v>1246.4542800475999</v>
      </c>
      <c r="J234" s="165">
        <f>Table1[[#This Row],[AdjPriorYear 
Expenditures]]/Table1[[#This Row],[Total Students]]</f>
        <v>2492.9085600951998</v>
      </c>
      <c r="K234" s="127">
        <f>Table1[[#This Row],[Allocation]]/Table1[[#This Row],[Total Riders (AM/PM counts)]]</f>
        <v>1321.193113843713</v>
      </c>
      <c r="L234" s="127">
        <f>Table1[[#This Row],[Allocation]]/Table1[[#This Row],[Total Students]]</f>
        <v>2642.3862276874261</v>
      </c>
      <c r="M234" s="130">
        <f>IF(Table1[[#This Row],[Allocation]]&gt;Table1[[#This Row],[AdjPriorYear 
Expenditures]],100%, Table1[[#This Row],[Allocation]]/Table1[[#This Row],[AdjPriorYear 
Expenditures]])</f>
        <v>1</v>
      </c>
      <c r="N234" s="127">
        <f>IF(Table1[[#This Row],[Percent Funded of Adjusted PYE]]=1,0,Table1[[#This Row],[AdjPriorYear 
Expenditures]]-Table1[[#This Row],[Allocation]])</f>
        <v>0</v>
      </c>
    </row>
    <row r="235" spans="1:14" x14ac:dyDescent="0.35">
      <c r="A235">
        <v>31311</v>
      </c>
      <c r="B235" t="s">
        <v>982</v>
      </c>
      <c r="C235" s="127">
        <v>1952398.0899999999</v>
      </c>
      <c r="D235" s="127">
        <v>1896096.5</v>
      </c>
      <c r="E235" s="128">
        <v>1705.625</v>
      </c>
      <c r="F235" s="128">
        <v>123.125</v>
      </c>
      <c r="G235" s="129">
        <v>1789.75</v>
      </c>
      <c r="H235" s="128">
        <v>894.875</v>
      </c>
      <c r="I235" s="127">
        <f>Table1[[#This Row],[AdjPriorYear 
Expenditures]]/Table1[[#This Row],[Total Riders (AM/PM counts)]]</f>
        <v>1090.8775471434558</v>
      </c>
      <c r="J235" s="165">
        <f>Table1[[#This Row],[AdjPriorYear 
Expenditures]]/Table1[[#This Row],[Total Students]]</f>
        <v>2181.7550942869116</v>
      </c>
      <c r="K235" s="127">
        <f>Table1[[#This Row],[Allocation]]/Table1[[#This Row],[Total Riders (AM/PM counts)]]</f>
        <v>1059.419751361922</v>
      </c>
      <c r="L235" s="127">
        <f>Table1[[#This Row],[Allocation]]/Table1[[#This Row],[Total Students]]</f>
        <v>2118.8395027238439</v>
      </c>
      <c r="M235" s="130">
        <f>IF(Table1[[#This Row],[Allocation]]&gt;Table1[[#This Row],[AdjPriorYear 
Expenditures]],100%, Table1[[#This Row],[Allocation]]/Table1[[#This Row],[AdjPriorYear 
Expenditures]])</f>
        <v>0.97116285337074881</v>
      </c>
      <c r="N235" s="127">
        <f>IF(Table1[[#This Row],[Percent Funded of Adjusted PYE]]=1,0,Table1[[#This Row],[AdjPriorYear 
Expenditures]]-Table1[[#This Row],[Allocation]])</f>
        <v>56301.589999999851</v>
      </c>
    </row>
    <row r="236" spans="1:14" x14ac:dyDescent="0.35">
      <c r="A236">
        <v>27320</v>
      </c>
      <c r="B236" t="s">
        <v>983</v>
      </c>
      <c r="C236" s="127">
        <v>5744907.669999999</v>
      </c>
      <c r="D236" s="127">
        <v>5600489.5199999996</v>
      </c>
      <c r="E236" s="128">
        <v>6106.5</v>
      </c>
      <c r="F236" s="128">
        <v>366.875</v>
      </c>
      <c r="G236" s="129">
        <v>6528.375</v>
      </c>
      <c r="H236" s="128">
        <v>3264.1875</v>
      </c>
      <c r="I236" s="127">
        <f>Table1[[#This Row],[AdjPriorYear 
Expenditures]]/Table1[[#This Row],[Total Riders (AM/PM counts)]]</f>
        <v>879.99045244796741</v>
      </c>
      <c r="J236" s="165">
        <f>Table1[[#This Row],[AdjPriorYear 
Expenditures]]/Table1[[#This Row],[Total Students]]</f>
        <v>1759.9809048959348</v>
      </c>
      <c r="K236" s="127">
        <f>Table1[[#This Row],[Allocation]]/Table1[[#This Row],[Total Riders (AM/PM counts)]]</f>
        <v>857.86884485036467</v>
      </c>
      <c r="L236" s="127">
        <f>Table1[[#This Row],[Allocation]]/Table1[[#This Row],[Total Students]]</f>
        <v>1715.7376897007293</v>
      </c>
      <c r="M236" s="130">
        <f>IF(Table1[[#This Row],[Allocation]]&gt;Table1[[#This Row],[AdjPriorYear 
Expenditures]],100%, Table1[[#This Row],[Allocation]]/Table1[[#This Row],[AdjPriorYear 
Expenditures]])</f>
        <v>0.97486153680864995</v>
      </c>
      <c r="N236" s="127">
        <f>IF(Table1[[#This Row],[Percent Funded of Adjusted PYE]]=1,0,Table1[[#This Row],[AdjPriorYear 
Expenditures]]-Table1[[#This Row],[Allocation]])</f>
        <v>144418.14999999944</v>
      </c>
    </row>
    <row r="237" spans="1:14" x14ac:dyDescent="0.35">
      <c r="A237">
        <v>39201</v>
      </c>
      <c r="B237" t="s">
        <v>984</v>
      </c>
      <c r="C237" s="127">
        <v>3240365.4900000007</v>
      </c>
      <c r="D237" s="127">
        <v>3492870.9699999997</v>
      </c>
      <c r="E237" s="128">
        <v>4020</v>
      </c>
      <c r="F237" s="128">
        <v>224.375</v>
      </c>
      <c r="G237" s="129">
        <v>4229</v>
      </c>
      <c r="H237" s="128">
        <v>2114.5</v>
      </c>
      <c r="I237" s="127">
        <f>Table1[[#This Row],[AdjPriorYear 
Expenditures]]/Table1[[#This Row],[Total Riders (AM/PM counts)]]</f>
        <v>766.22499172381197</v>
      </c>
      <c r="J237" s="165">
        <f>Table1[[#This Row],[AdjPriorYear 
Expenditures]]/Table1[[#This Row],[Total Students]]</f>
        <v>1532.4499834476239</v>
      </c>
      <c r="K237" s="127">
        <f>Table1[[#This Row],[Allocation]]/Table1[[#This Row],[Total Riders (AM/PM counts)]]</f>
        <v>825.93307401276888</v>
      </c>
      <c r="L237" s="127">
        <f>Table1[[#This Row],[Allocation]]/Table1[[#This Row],[Total Students]]</f>
        <v>1651.8661480255378</v>
      </c>
      <c r="M237" s="130">
        <f>IF(Table1[[#This Row],[Allocation]]&gt;Table1[[#This Row],[AdjPriorYear 
Expenditures]],100%, Table1[[#This Row],[Allocation]]/Table1[[#This Row],[AdjPriorYear 
Expenditures]])</f>
        <v>1</v>
      </c>
      <c r="N237" s="127">
        <f>IF(Table1[[#This Row],[Percent Funded of Adjusted PYE]]=1,0,Table1[[#This Row],[AdjPriorYear 
Expenditures]]-Table1[[#This Row],[Allocation]])</f>
        <v>0</v>
      </c>
    </row>
    <row r="238" spans="1:14" x14ac:dyDescent="0.35">
      <c r="A238">
        <v>27010</v>
      </c>
      <c r="B238" t="s">
        <v>985</v>
      </c>
      <c r="C238" s="127">
        <v>19470227.07</v>
      </c>
      <c r="D238" s="127">
        <v>16809171.390000001</v>
      </c>
      <c r="E238" s="128">
        <v>8987.75</v>
      </c>
      <c r="F238" s="128">
        <v>1404</v>
      </c>
      <c r="G238" s="129">
        <v>10394.25</v>
      </c>
      <c r="H238" s="128">
        <v>5197.125</v>
      </c>
      <c r="I238" s="127">
        <f>Table1[[#This Row],[AdjPriorYear 
Expenditures]]/Table1[[#This Row],[Total Riders (AM/PM counts)]]</f>
        <v>1873.1728667292014</v>
      </c>
      <c r="J238" s="165">
        <f>Table1[[#This Row],[AdjPriorYear 
Expenditures]]/Table1[[#This Row],[Total Students]]</f>
        <v>3746.3457334584027</v>
      </c>
      <c r="K238" s="127">
        <f>Table1[[#This Row],[Allocation]]/Table1[[#This Row],[Total Riders (AM/PM counts)]]</f>
        <v>1617.1605830146475</v>
      </c>
      <c r="L238" s="127">
        <f>Table1[[#This Row],[Allocation]]/Table1[[#This Row],[Total Students]]</f>
        <v>3234.321166029295</v>
      </c>
      <c r="M238" s="130">
        <f>IF(Table1[[#This Row],[Allocation]]&gt;Table1[[#This Row],[AdjPriorYear 
Expenditures]],100%, Table1[[#This Row],[Allocation]]/Table1[[#This Row],[AdjPriorYear 
Expenditures]])</f>
        <v>0.86332693139977845</v>
      </c>
      <c r="N238" s="127">
        <f>IF(Table1[[#This Row],[Percent Funded of Adjusted PYE]]=1,0,Table1[[#This Row],[AdjPriorYear 
Expenditures]]-Table1[[#This Row],[Allocation]])</f>
        <v>2661055.6799999997</v>
      </c>
    </row>
    <row r="239" spans="1:14" x14ac:dyDescent="0.35">
      <c r="A239">
        <v>14077</v>
      </c>
      <c r="B239" t="s">
        <v>986</v>
      </c>
      <c r="C239" s="127">
        <v>107136.71000000002</v>
      </c>
      <c r="D239" s="127">
        <v>91699.77</v>
      </c>
      <c r="E239" s="128">
        <v>89.25</v>
      </c>
      <c r="F239" s="128">
        <v>0</v>
      </c>
      <c r="G239" s="129">
        <v>89.25</v>
      </c>
      <c r="H239" s="128">
        <v>44.625</v>
      </c>
      <c r="I239" s="127">
        <f>Table1[[#This Row],[AdjPriorYear 
Expenditures]]/Table1[[#This Row],[Total Riders (AM/PM counts)]]</f>
        <v>1200.4113165266108</v>
      </c>
      <c r="J239" s="165">
        <f>Table1[[#This Row],[AdjPriorYear 
Expenditures]]/Table1[[#This Row],[Total Students]]</f>
        <v>2400.8226330532216</v>
      </c>
      <c r="K239" s="127">
        <f>Table1[[#This Row],[Allocation]]/Table1[[#This Row],[Total Riders (AM/PM counts)]]</f>
        <v>1027.4484033613446</v>
      </c>
      <c r="L239" s="127">
        <f>Table1[[#This Row],[Allocation]]/Table1[[#This Row],[Total Students]]</f>
        <v>2054.8968067226892</v>
      </c>
      <c r="M239" s="130">
        <f>IF(Table1[[#This Row],[Allocation]]&gt;Table1[[#This Row],[AdjPriorYear 
Expenditures]],100%, Table1[[#This Row],[Allocation]]/Table1[[#This Row],[AdjPriorYear 
Expenditures]])</f>
        <v>0.85591362661780435</v>
      </c>
      <c r="N239" s="127">
        <f>IF(Table1[[#This Row],[Percent Funded of Adjusted PYE]]=1,0,Table1[[#This Row],[AdjPriorYear 
Expenditures]]-Table1[[#This Row],[Allocation]])</f>
        <v>15436.940000000017</v>
      </c>
    </row>
    <row r="240" spans="1:14" x14ac:dyDescent="0.35">
      <c r="A240">
        <v>17409</v>
      </c>
      <c r="B240" t="s">
        <v>987</v>
      </c>
      <c r="C240" s="127">
        <v>6352520.9600000009</v>
      </c>
      <c r="D240" s="127">
        <v>6564968.2599999998</v>
      </c>
      <c r="E240" s="128">
        <v>8147.5</v>
      </c>
      <c r="F240" s="128">
        <v>268.875</v>
      </c>
      <c r="G240" s="129">
        <v>8440.125</v>
      </c>
      <c r="H240" s="128">
        <v>4220.0625</v>
      </c>
      <c r="I240" s="127">
        <f>Table1[[#This Row],[AdjPriorYear 
Expenditures]]/Table1[[#This Row],[Total Riders (AM/PM counts)]]</f>
        <v>752.65721301521023</v>
      </c>
      <c r="J240" s="165">
        <f>Table1[[#This Row],[AdjPriorYear 
Expenditures]]/Table1[[#This Row],[Total Students]]</f>
        <v>1505.3144260304205</v>
      </c>
      <c r="K240" s="127">
        <f>Table1[[#This Row],[Allocation]]/Table1[[#This Row],[Total Riders (AM/PM counts)]]</f>
        <v>777.82832126301446</v>
      </c>
      <c r="L240" s="127">
        <f>Table1[[#This Row],[Allocation]]/Table1[[#This Row],[Total Students]]</f>
        <v>1555.6566425260289</v>
      </c>
      <c r="M240" s="130">
        <f>IF(Table1[[#This Row],[Allocation]]&gt;Table1[[#This Row],[AdjPriorYear 
Expenditures]],100%, Table1[[#This Row],[Allocation]]/Table1[[#This Row],[AdjPriorYear 
Expenditures]])</f>
        <v>1</v>
      </c>
      <c r="N240" s="127">
        <f>IF(Table1[[#This Row],[Percent Funded of Adjusted PYE]]=1,0,Table1[[#This Row],[AdjPriorYear 
Expenditures]]-Table1[[#This Row],[Allocation]])</f>
        <v>0</v>
      </c>
    </row>
    <row r="241" spans="1:14" x14ac:dyDescent="0.35">
      <c r="A241">
        <v>38265</v>
      </c>
      <c r="B241" t="s">
        <v>988</v>
      </c>
      <c r="C241" s="127">
        <v>259371.35</v>
      </c>
      <c r="D241" s="127">
        <v>267756.44</v>
      </c>
      <c r="E241" s="128">
        <v>118.5</v>
      </c>
      <c r="F241" s="128">
        <v>0</v>
      </c>
      <c r="G241" s="129">
        <v>118.5</v>
      </c>
      <c r="H241" s="128">
        <v>59.25</v>
      </c>
      <c r="I241" s="127">
        <f>Table1[[#This Row],[AdjPriorYear 
Expenditures]]/Table1[[#This Row],[Total Riders (AM/PM counts)]]</f>
        <v>2188.78776371308</v>
      </c>
      <c r="J241" s="165">
        <f>Table1[[#This Row],[AdjPriorYear 
Expenditures]]/Table1[[#This Row],[Total Students]]</f>
        <v>4377.5755274261601</v>
      </c>
      <c r="K241" s="127">
        <f>Table1[[#This Row],[Allocation]]/Table1[[#This Row],[Total Riders (AM/PM counts)]]</f>
        <v>2259.5480168776371</v>
      </c>
      <c r="L241" s="127">
        <f>Table1[[#This Row],[Allocation]]/Table1[[#This Row],[Total Students]]</f>
        <v>4519.0960337552742</v>
      </c>
      <c r="M241" s="130">
        <f>IF(Table1[[#This Row],[Allocation]]&gt;Table1[[#This Row],[AdjPriorYear 
Expenditures]],100%, Table1[[#This Row],[Allocation]]/Table1[[#This Row],[AdjPriorYear 
Expenditures]])</f>
        <v>1</v>
      </c>
      <c r="N241" s="127">
        <f>IF(Table1[[#This Row],[Percent Funded of Adjusted PYE]]=1,0,Table1[[#This Row],[AdjPriorYear 
Expenditures]]-Table1[[#This Row],[Allocation]])</f>
        <v>0</v>
      </c>
    </row>
    <row r="242" spans="1:14" x14ac:dyDescent="0.35">
      <c r="A242">
        <v>34402</v>
      </c>
      <c r="B242" t="s">
        <v>989</v>
      </c>
      <c r="C242" s="127">
        <v>1086501.7799999998</v>
      </c>
      <c r="D242" s="127">
        <v>1042185.98</v>
      </c>
      <c r="E242" s="128">
        <v>858.375</v>
      </c>
      <c r="F242" s="128">
        <v>64</v>
      </c>
      <c r="G242" s="129">
        <v>918.75</v>
      </c>
      <c r="H242" s="128">
        <v>459.375</v>
      </c>
      <c r="I242" s="127">
        <f>Table1[[#This Row],[AdjPriorYear 
Expenditures]]/Table1[[#This Row],[Total Riders (AM/PM counts)]]</f>
        <v>1182.5869714285711</v>
      </c>
      <c r="J242" s="165">
        <f>Table1[[#This Row],[AdjPriorYear 
Expenditures]]/Table1[[#This Row],[Total Students]]</f>
        <v>2365.1739428571423</v>
      </c>
      <c r="K242" s="127">
        <f>Table1[[#This Row],[Allocation]]/Table1[[#This Row],[Total Riders (AM/PM counts)]]</f>
        <v>1134.35208707483</v>
      </c>
      <c r="L242" s="127">
        <f>Table1[[#This Row],[Allocation]]/Table1[[#This Row],[Total Students]]</f>
        <v>2268.70417414966</v>
      </c>
      <c r="M242" s="130">
        <f>IF(Table1[[#This Row],[Allocation]]&gt;Table1[[#This Row],[AdjPriorYear 
Expenditures]],100%, Table1[[#This Row],[Allocation]]/Table1[[#This Row],[AdjPriorYear 
Expenditures]])</f>
        <v>0.95921240000177466</v>
      </c>
      <c r="N242" s="127">
        <f>IF(Table1[[#This Row],[Percent Funded of Adjusted PYE]]=1,0,Table1[[#This Row],[AdjPriorYear 
Expenditures]]-Table1[[#This Row],[Allocation]])</f>
        <v>44315.799999999814</v>
      </c>
    </row>
    <row r="243" spans="1:14" x14ac:dyDescent="0.35">
      <c r="A243">
        <v>19400</v>
      </c>
      <c r="B243" t="s">
        <v>990</v>
      </c>
      <c r="C243" s="127">
        <v>268084.28999999998</v>
      </c>
      <c r="D243" s="127">
        <v>219256.65</v>
      </c>
      <c r="E243" s="128">
        <v>232.875</v>
      </c>
      <c r="F243" s="128">
        <v>0</v>
      </c>
      <c r="G243" s="129">
        <v>232.875</v>
      </c>
      <c r="H243" s="128">
        <v>116.4375</v>
      </c>
      <c r="I243" s="127">
        <f>Table1[[#This Row],[AdjPriorYear 
Expenditures]]/Table1[[#This Row],[Total Riders (AM/PM counts)]]</f>
        <v>1151.1939452495974</v>
      </c>
      <c r="J243" s="165">
        <f>Table1[[#This Row],[AdjPriorYear 
Expenditures]]/Table1[[#This Row],[Total Students]]</f>
        <v>2302.3878904991948</v>
      </c>
      <c r="K243" s="127">
        <f>Table1[[#This Row],[Allocation]]/Table1[[#This Row],[Total Riders (AM/PM counts)]]</f>
        <v>941.52077294685989</v>
      </c>
      <c r="L243" s="127">
        <f>Table1[[#This Row],[Allocation]]/Table1[[#This Row],[Total Students]]</f>
        <v>1883.0415458937198</v>
      </c>
      <c r="M243" s="130">
        <f>IF(Table1[[#This Row],[Allocation]]&gt;Table1[[#This Row],[AdjPriorYear 
Expenditures]],100%, Table1[[#This Row],[Allocation]]/Table1[[#This Row],[AdjPriorYear 
Expenditures]])</f>
        <v>0.81786459773528697</v>
      </c>
      <c r="N243" s="127">
        <f>IF(Table1[[#This Row],[Percent Funded of Adjusted PYE]]=1,0,Table1[[#This Row],[AdjPriorYear 
Expenditures]]-Table1[[#This Row],[Allocation]])</f>
        <v>48827.639999999985</v>
      </c>
    </row>
    <row r="244" spans="1:14" x14ac:dyDescent="0.35">
      <c r="A244">
        <v>21237</v>
      </c>
      <c r="B244" t="s">
        <v>991</v>
      </c>
      <c r="C244" s="127">
        <v>806339.17999999993</v>
      </c>
      <c r="D244" s="127">
        <v>829278.34</v>
      </c>
      <c r="E244" s="128">
        <v>650.375</v>
      </c>
      <c r="F244" s="128">
        <v>31.75</v>
      </c>
      <c r="G244" s="129">
        <v>693.5</v>
      </c>
      <c r="H244" s="128">
        <v>346.75</v>
      </c>
      <c r="I244" s="127">
        <f>Table1[[#This Row],[AdjPriorYear 
Expenditures]]/Table1[[#This Row],[Total Riders (AM/PM counts)]]</f>
        <v>1162.7097043979811</v>
      </c>
      <c r="J244" s="165">
        <f>Table1[[#This Row],[AdjPriorYear 
Expenditures]]/Table1[[#This Row],[Total Students]]</f>
        <v>2325.4194087959622</v>
      </c>
      <c r="K244" s="127">
        <f>Table1[[#This Row],[Allocation]]/Table1[[#This Row],[Total Riders (AM/PM counts)]]</f>
        <v>1195.7870800288392</v>
      </c>
      <c r="L244" s="127">
        <f>Table1[[#This Row],[Allocation]]/Table1[[#This Row],[Total Students]]</f>
        <v>2391.5741600576785</v>
      </c>
      <c r="M244" s="130">
        <f>IF(Table1[[#This Row],[Allocation]]&gt;Table1[[#This Row],[AdjPriorYear 
Expenditures]],100%, Table1[[#This Row],[Allocation]]/Table1[[#This Row],[AdjPriorYear 
Expenditures]])</f>
        <v>1</v>
      </c>
      <c r="N244" s="127">
        <f>IF(Table1[[#This Row],[Percent Funded of Adjusted PYE]]=1,0,Table1[[#This Row],[AdjPriorYear 
Expenditures]]-Table1[[#This Row],[Allocation]])</f>
        <v>0</v>
      </c>
    </row>
    <row r="245" spans="1:14" x14ac:dyDescent="0.35">
      <c r="A245">
        <v>24404</v>
      </c>
      <c r="B245" t="s">
        <v>992</v>
      </c>
      <c r="C245" s="127">
        <v>1154151.32</v>
      </c>
      <c r="D245" s="127">
        <v>1154596.7400000002</v>
      </c>
      <c r="E245" s="128">
        <v>901.625</v>
      </c>
      <c r="F245" s="128">
        <v>13.125</v>
      </c>
      <c r="G245" s="129">
        <v>912.375</v>
      </c>
      <c r="H245" s="128">
        <v>456.1875</v>
      </c>
      <c r="I245" s="127">
        <f>Table1[[#This Row],[AdjPriorYear 
Expenditures]]/Table1[[#This Row],[Total Riders (AM/PM counts)]]</f>
        <v>1264.9966515961091</v>
      </c>
      <c r="J245" s="165">
        <f>Table1[[#This Row],[AdjPriorYear 
Expenditures]]/Table1[[#This Row],[Total Students]]</f>
        <v>2529.9933031922183</v>
      </c>
      <c r="K245" s="127">
        <f>Table1[[#This Row],[Allocation]]/Table1[[#This Row],[Total Riders (AM/PM counts)]]</f>
        <v>1265.4848499794496</v>
      </c>
      <c r="L245" s="127">
        <f>Table1[[#This Row],[Allocation]]/Table1[[#This Row],[Total Students]]</f>
        <v>2530.9696999588991</v>
      </c>
      <c r="M245" s="130">
        <f>IF(Table1[[#This Row],[Allocation]]&gt;Table1[[#This Row],[AdjPriorYear 
Expenditures]],100%, Table1[[#This Row],[Allocation]]/Table1[[#This Row],[AdjPriorYear 
Expenditures]])</f>
        <v>1</v>
      </c>
      <c r="N245" s="127">
        <f>IF(Table1[[#This Row],[Percent Funded of Adjusted PYE]]=1,0,Table1[[#This Row],[AdjPriorYear 
Expenditures]]-Table1[[#This Row],[Allocation]])</f>
        <v>0</v>
      </c>
    </row>
    <row r="246" spans="1:14" x14ac:dyDescent="0.35">
      <c r="A246">
        <v>39202</v>
      </c>
      <c r="B246" t="s">
        <v>993</v>
      </c>
      <c r="C246" s="127">
        <v>1886678.7999999998</v>
      </c>
      <c r="D246" s="127">
        <v>2050754.74</v>
      </c>
      <c r="E246" s="128">
        <v>1881.875</v>
      </c>
      <c r="F246" s="128">
        <v>225.5</v>
      </c>
      <c r="G246" s="129">
        <v>2138.5</v>
      </c>
      <c r="H246" s="128">
        <v>1069.25</v>
      </c>
      <c r="I246" s="127">
        <f>Table1[[#This Row],[AdjPriorYear 
Expenditures]]/Table1[[#This Row],[Total Riders (AM/PM counts)]]</f>
        <v>882.24400280570489</v>
      </c>
      <c r="J246" s="165">
        <f>Table1[[#This Row],[AdjPriorYear 
Expenditures]]/Table1[[#This Row],[Total Students]]</f>
        <v>1764.4880056114098</v>
      </c>
      <c r="K246" s="127">
        <f>Table1[[#This Row],[Allocation]]/Table1[[#This Row],[Total Riders (AM/PM counts)]]</f>
        <v>958.96878185644141</v>
      </c>
      <c r="L246" s="127">
        <f>Table1[[#This Row],[Allocation]]/Table1[[#This Row],[Total Students]]</f>
        <v>1917.9375637128828</v>
      </c>
      <c r="M246" s="130">
        <f>IF(Table1[[#This Row],[Allocation]]&gt;Table1[[#This Row],[AdjPriorYear 
Expenditures]],100%, Table1[[#This Row],[Allocation]]/Table1[[#This Row],[AdjPriorYear 
Expenditures]])</f>
        <v>1</v>
      </c>
      <c r="N246" s="127">
        <f>IF(Table1[[#This Row],[Percent Funded of Adjusted PYE]]=1,0,Table1[[#This Row],[AdjPriorYear 
Expenditures]]-Table1[[#This Row],[Allocation]])</f>
        <v>0</v>
      </c>
    </row>
    <row r="247" spans="1:14" x14ac:dyDescent="0.35">
      <c r="A247">
        <v>36300</v>
      </c>
      <c r="B247" t="s">
        <v>994</v>
      </c>
      <c r="C247" s="127">
        <v>214323.45999999996</v>
      </c>
      <c r="D247" s="127">
        <v>192262.36</v>
      </c>
      <c r="E247" s="128">
        <v>145.75</v>
      </c>
      <c r="F247" s="128">
        <v>0</v>
      </c>
      <c r="G247" s="129">
        <v>145.75</v>
      </c>
      <c r="H247" s="128">
        <v>72.875</v>
      </c>
      <c r="I247" s="127">
        <f>Table1[[#This Row],[AdjPriorYear 
Expenditures]]/Table1[[#This Row],[Total Riders (AM/PM counts)]]</f>
        <v>1470.4868610634646</v>
      </c>
      <c r="J247" s="165">
        <f>Table1[[#This Row],[AdjPriorYear 
Expenditures]]/Table1[[#This Row],[Total Students]]</f>
        <v>2940.9737221269293</v>
      </c>
      <c r="K247" s="127">
        <f>Table1[[#This Row],[Allocation]]/Table1[[#This Row],[Total Riders (AM/PM counts)]]</f>
        <v>1319.1242538593481</v>
      </c>
      <c r="L247" s="127">
        <f>Table1[[#This Row],[Allocation]]/Table1[[#This Row],[Total Students]]</f>
        <v>2638.2485077186961</v>
      </c>
      <c r="M247" s="130">
        <f>IF(Table1[[#This Row],[Allocation]]&gt;Table1[[#This Row],[AdjPriorYear 
Expenditures]],100%, Table1[[#This Row],[Allocation]]/Table1[[#This Row],[AdjPriorYear 
Expenditures]])</f>
        <v>0.89706633142260772</v>
      </c>
      <c r="N247" s="127">
        <f>IF(Table1[[#This Row],[Percent Funded of Adjusted PYE]]=1,0,Table1[[#This Row],[AdjPriorYear 
Expenditures]]-Table1[[#This Row],[Allocation]])</f>
        <v>22061.099999999977</v>
      </c>
    </row>
    <row r="248" spans="1:14" x14ac:dyDescent="0.35">
      <c r="A248">
        <v>8130</v>
      </c>
      <c r="B248" t="s">
        <v>995</v>
      </c>
      <c r="C248" s="127">
        <v>594526.71999999997</v>
      </c>
      <c r="D248" s="127">
        <v>601491.22</v>
      </c>
      <c r="E248" s="128">
        <v>677.5</v>
      </c>
      <c r="F248" s="128">
        <v>11.625</v>
      </c>
      <c r="G248" s="129">
        <v>685</v>
      </c>
      <c r="H248" s="128">
        <v>342.5</v>
      </c>
      <c r="I248" s="127">
        <f>Table1[[#This Row],[AdjPriorYear 
Expenditures]]/Table1[[#This Row],[Total Riders (AM/PM counts)]]</f>
        <v>867.92221897810214</v>
      </c>
      <c r="J248" s="165">
        <f>Table1[[#This Row],[AdjPriorYear 
Expenditures]]/Table1[[#This Row],[Total Students]]</f>
        <v>1735.8444379562043</v>
      </c>
      <c r="K248" s="127">
        <f>Table1[[#This Row],[Allocation]]/Table1[[#This Row],[Total Riders (AM/PM counts)]]</f>
        <v>878.08937226277374</v>
      </c>
      <c r="L248" s="127">
        <f>Table1[[#This Row],[Allocation]]/Table1[[#This Row],[Total Students]]</f>
        <v>1756.1787445255475</v>
      </c>
      <c r="M248" s="130">
        <f>IF(Table1[[#This Row],[Allocation]]&gt;Table1[[#This Row],[AdjPriorYear 
Expenditures]],100%, Table1[[#This Row],[Allocation]]/Table1[[#This Row],[AdjPriorYear 
Expenditures]])</f>
        <v>1</v>
      </c>
      <c r="N248" s="127">
        <f>IF(Table1[[#This Row],[Percent Funded of Adjusted PYE]]=1,0,Table1[[#This Row],[AdjPriorYear 
Expenditures]]-Table1[[#This Row],[Allocation]])</f>
        <v>0</v>
      </c>
    </row>
    <row r="249" spans="1:14" x14ac:dyDescent="0.35">
      <c r="A249">
        <v>20400</v>
      </c>
      <c r="B249" t="s">
        <v>996</v>
      </c>
      <c r="C249" s="127">
        <v>153189.63</v>
      </c>
      <c r="D249" s="127">
        <v>140501.58000000002</v>
      </c>
      <c r="E249" s="128">
        <v>145.625</v>
      </c>
      <c r="F249" s="128">
        <v>0</v>
      </c>
      <c r="G249" s="129">
        <v>145.625</v>
      </c>
      <c r="H249" s="128">
        <v>72.8125</v>
      </c>
      <c r="I249" s="127">
        <f>Table1[[#This Row],[AdjPriorYear 
Expenditures]]/Table1[[#This Row],[Total Riders (AM/PM counts)]]</f>
        <v>1051.9459570815452</v>
      </c>
      <c r="J249" s="165">
        <f>Table1[[#This Row],[AdjPriorYear 
Expenditures]]/Table1[[#This Row],[Total Students]]</f>
        <v>2103.8919141630904</v>
      </c>
      <c r="K249" s="127">
        <f>Table1[[#This Row],[Allocation]]/Table1[[#This Row],[Total Riders (AM/PM counts)]]</f>
        <v>964.81771673819753</v>
      </c>
      <c r="L249" s="127">
        <f>Table1[[#This Row],[Allocation]]/Table1[[#This Row],[Total Students]]</f>
        <v>1929.6354334763951</v>
      </c>
      <c r="M249" s="130">
        <f>IF(Table1[[#This Row],[Allocation]]&gt;Table1[[#This Row],[AdjPriorYear 
Expenditures]],100%, Table1[[#This Row],[Allocation]]/Table1[[#This Row],[AdjPriorYear 
Expenditures]])</f>
        <v>0.91717422386880898</v>
      </c>
      <c r="N249" s="127">
        <f>IF(Table1[[#This Row],[Percent Funded of Adjusted PYE]]=1,0,Table1[[#This Row],[AdjPriorYear 
Expenditures]]-Table1[[#This Row],[Allocation]])</f>
        <v>12688.049999999988</v>
      </c>
    </row>
    <row r="250" spans="1:14" x14ac:dyDescent="0.35">
      <c r="A250">
        <v>17406</v>
      </c>
      <c r="B250" t="s">
        <v>997</v>
      </c>
      <c r="C250" s="127">
        <v>1465482.42</v>
      </c>
      <c r="D250" s="127">
        <v>1167953.3399999999</v>
      </c>
      <c r="E250" s="128">
        <v>1075.125</v>
      </c>
      <c r="F250" s="128">
        <v>53.625</v>
      </c>
      <c r="G250" s="129">
        <v>1136</v>
      </c>
      <c r="H250" s="128">
        <v>568</v>
      </c>
      <c r="I250" s="127">
        <f>Table1[[#This Row],[AdjPriorYear 
Expenditures]]/Table1[[#This Row],[Total Riders (AM/PM counts)]]</f>
        <v>1290.0373415492957</v>
      </c>
      <c r="J250" s="165">
        <f>Table1[[#This Row],[AdjPriorYear 
Expenditures]]/Table1[[#This Row],[Total Students]]</f>
        <v>2580.0746830985913</v>
      </c>
      <c r="K250" s="127">
        <f>Table1[[#This Row],[Allocation]]/Table1[[#This Row],[Total Riders (AM/PM counts)]]</f>
        <v>1028.1279401408449</v>
      </c>
      <c r="L250" s="127">
        <f>Table1[[#This Row],[Allocation]]/Table1[[#This Row],[Total Students]]</f>
        <v>2056.2558802816898</v>
      </c>
      <c r="M250" s="130">
        <f>IF(Table1[[#This Row],[Allocation]]&gt;Table1[[#This Row],[AdjPriorYear 
Expenditures]],100%, Table1[[#This Row],[Allocation]]/Table1[[#This Row],[AdjPriorYear 
Expenditures]])</f>
        <v>0.7969753332148467</v>
      </c>
      <c r="N250" s="127">
        <f>IF(Table1[[#This Row],[Percent Funded of Adjusted PYE]]=1,0,Table1[[#This Row],[AdjPriorYear 
Expenditures]]-Table1[[#This Row],[Allocation]])</f>
        <v>297529.08000000007</v>
      </c>
    </row>
    <row r="251" spans="1:14" x14ac:dyDescent="0.35">
      <c r="A251">
        <v>34033</v>
      </c>
      <c r="B251" t="s">
        <v>998</v>
      </c>
      <c r="C251" s="127">
        <v>5436668.1200000001</v>
      </c>
      <c r="D251" s="127">
        <v>4099114.17</v>
      </c>
      <c r="E251" s="128">
        <v>4305.625</v>
      </c>
      <c r="F251" s="128">
        <v>185.875</v>
      </c>
      <c r="G251" s="129">
        <v>4535.625</v>
      </c>
      <c r="H251" s="128">
        <v>2267.8125</v>
      </c>
      <c r="I251" s="127">
        <f>Table1[[#This Row],[AdjPriorYear 
Expenditures]]/Table1[[#This Row],[Total Riders (AM/PM counts)]]</f>
        <v>1198.6590866749345</v>
      </c>
      <c r="J251" s="165">
        <f>Table1[[#This Row],[AdjPriorYear 
Expenditures]]/Table1[[#This Row],[Total Students]]</f>
        <v>2397.3181733498691</v>
      </c>
      <c r="K251" s="127">
        <f>Table1[[#This Row],[Allocation]]/Table1[[#This Row],[Total Riders (AM/PM counts)]]</f>
        <v>903.75949731293917</v>
      </c>
      <c r="L251" s="127">
        <f>Table1[[#This Row],[Allocation]]/Table1[[#This Row],[Total Students]]</f>
        <v>1807.5189946258783</v>
      </c>
      <c r="M251" s="130">
        <f>IF(Table1[[#This Row],[Allocation]]&gt;Table1[[#This Row],[AdjPriorYear 
Expenditures]],100%, Table1[[#This Row],[Allocation]]/Table1[[#This Row],[AdjPriorYear 
Expenditures]])</f>
        <v>0.7539754275087146</v>
      </c>
      <c r="N251" s="127">
        <f>IF(Table1[[#This Row],[Percent Funded of Adjusted PYE]]=1,0,Table1[[#This Row],[AdjPriorYear 
Expenditures]]-Table1[[#This Row],[Allocation]])</f>
        <v>1337553.9500000002</v>
      </c>
    </row>
    <row r="252" spans="1:14" x14ac:dyDescent="0.35">
      <c r="A252">
        <v>39002</v>
      </c>
      <c r="B252" t="s">
        <v>999</v>
      </c>
      <c r="C252" s="127">
        <v>151382.81000000003</v>
      </c>
      <c r="D252" s="127">
        <v>143687.97</v>
      </c>
      <c r="E252" s="128">
        <v>286.5</v>
      </c>
      <c r="F252" s="128">
        <v>7.75</v>
      </c>
      <c r="G252" s="129">
        <v>293.875</v>
      </c>
      <c r="H252" s="128">
        <v>146.9375</v>
      </c>
      <c r="I252" s="127">
        <f>Table1[[#This Row],[AdjPriorYear 
Expenditures]]/Table1[[#This Row],[Total Riders (AM/PM counts)]]</f>
        <v>515.12653339004692</v>
      </c>
      <c r="J252" s="165">
        <f>Table1[[#This Row],[AdjPriorYear 
Expenditures]]/Table1[[#This Row],[Total Students]]</f>
        <v>1030.2530667800938</v>
      </c>
      <c r="K252" s="127">
        <f>Table1[[#This Row],[Allocation]]/Table1[[#This Row],[Total Riders (AM/PM counts)]]</f>
        <v>488.94247554232243</v>
      </c>
      <c r="L252" s="127">
        <f>Table1[[#This Row],[Allocation]]/Table1[[#This Row],[Total Students]]</f>
        <v>977.88495108464485</v>
      </c>
      <c r="M252" s="130">
        <f>IF(Table1[[#This Row],[Allocation]]&gt;Table1[[#This Row],[AdjPriorYear 
Expenditures]],100%, Table1[[#This Row],[Allocation]]/Table1[[#This Row],[AdjPriorYear 
Expenditures]])</f>
        <v>0.94916965803448872</v>
      </c>
      <c r="N252" s="127">
        <f>IF(Table1[[#This Row],[Percent Funded of Adjusted PYE]]=1,0,Table1[[#This Row],[AdjPriorYear 
Expenditures]]-Table1[[#This Row],[Allocation]])</f>
        <v>7694.8400000000256</v>
      </c>
    </row>
    <row r="253" spans="1:14" x14ac:dyDescent="0.35">
      <c r="A253">
        <v>27083</v>
      </c>
      <c r="B253" t="s">
        <v>1000</v>
      </c>
      <c r="C253" s="127">
        <v>3040401.55</v>
      </c>
      <c r="D253" s="127">
        <v>2800811.1300000004</v>
      </c>
      <c r="E253" s="128">
        <v>3341</v>
      </c>
      <c r="F253" s="128">
        <v>446.125</v>
      </c>
      <c r="G253" s="129">
        <v>3578.25</v>
      </c>
      <c r="H253" s="128">
        <v>1789.125</v>
      </c>
      <c r="I253" s="127">
        <f>Table1[[#This Row],[AdjPriorYear 
Expenditures]]/Table1[[#This Row],[Total Riders (AM/PM counts)]]</f>
        <v>849.68952700342345</v>
      </c>
      <c r="J253" s="165">
        <f>Table1[[#This Row],[AdjPriorYear 
Expenditures]]/Table1[[#This Row],[Total Students]]</f>
        <v>1699.3790540068469</v>
      </c>
      <c r="K253" s="127">
        <f>Table1[[#This Row],[Allocation]]/Table1[[#This Row],[Total Riders (AM/PM counts)]]</f>
        <v>782.73209809264313</v>
      </c>
      <c r="L253" s="127">
        <f>Table1[[#This Row],[Allocation]]/Table1[[#This Row],[Total Students]]</f>
        <v>1565.4641961852863</v>
      </c>
      <c r="M253" s="130">
        <f>IF(Table1[[#This Row],[Allocation]]&gt;Table1[[#This Row],[AdjPriorYear 
Expenditures]],100%, Table1[[#This Row],[Allocation]]/Table1[[#This Row],[AdjPriorYear 
Expenditures]])</f>
        <v>0.92119777073525055</v>
      </c>
      <c r="N253" s="127">
        <f>IF(Table1[[#This Row],[Percent Funded of Adjusted PYE]]=1,0,Table1[[#This Row],[AdjPriorYear 
Expenditures]]-Table1[[#This Row],[Allocation]])</f>
        <v>239590.41999999946</v>
      </c>
    </row>
    <row r="254" spans="1:14" x14ac:dyDescent="0.35">
      <c r="A254">
        <v>33070</v>
      </c>
      <c r="B254" t="s">
        <v>1001</v>
      </c>
      <c r="C254" s="127">
        <v>1294512.8900000001</v>
      </c>
      <c r="D254" s="127">
        <v>1490250.7</v>
      </c>
      <c r="E254" s="128">
        <v>676.875</v>
      </c>
      <c r="F254" s="128">
        <v>7.5</v>
      </c>
      <c r="G254" s="129">
        <v>676.875</v>
      </c>
      <c r="H254" s="128">
        <v>338.4375</v>
      </c>
      <c r="I254" s="127">
        <f>Table1[[#This Row],[AdjPriorYear 
Expenditures]]/Table1[[#This Row],[Total Riders (AM/PM counts)]]</f>
        <v>1912.4844173591875</v>
      </c>
      <c r="J254" s="165">
        <f>Table1[[#This Row],[AdjPriorYear 
Expenditures]]/Table1[[#This Row],[Total Students]]</f>
        <v>3824.9688347183751</v>
      </c>
      <c r="K254" s="127">
        <f>Table1[[#This Row],[Allocation]]/Table1[[#This Row],[Total Riders (AM/PM counts)]]</f>
        <v>2201.663084025854</v>
      </c>
      <c r="L254" s="127">
        <f>Table1[[#This Row],[Allocation]]/Table1[[#This Row],[Total Students]]</f>
        <v>4403.326168051708</v>
      </c>
      <c r="M254" s="130">
        <f>IF(Table1[[#This Row],[Allocation]]&gt;Table1[[#This Row],[AdjPriorYear 
Expenditures]],100%, Table1[[#This Row],[Allocation]]/Table1[[#This Row],[AdjPriorYear 
Expenditures]])</f>
        <v>1</v>
      </c>
      <c r="N254" s="127">
        <f>IF(Table1[[#This Row],[Percent Funded of Adjusted PYE]]=1,0,Table1[[#This Row],[AdjPriorYear 
Expenditures]]-Table1[[#This Row],[Allocation]])</f>
        <v>0</v>
      </c>
    </row>
    <row r="255" spans="1:14" x14ac:dyDescent="0.35">
      <c r="A255">
        <v>6037</v>
      </c>
      <c r="B255" t="s">
        <v>1002</v>
      </c>
      <c r="C255" s="127">
        <v>14485405.499999998</v>
      </c>
      <c r="D255" s="127">
        <v>12987645.91</v>
      </c>
      <c r="E255" s="128">
        <v>12140.375</v>
      </c>
      <c r="F255" s="128">
        <v>1335.25</v>
      </c>
      <c r="G255" s="129">
        <v>13483.875</v>
      </c>
      <c r="H255" s="128">
        <v>6741.9375</v>
      </c>
      <c r="I255" s="127">
        <f>Table1[[#This Row],[AdjPriorYear 
Expenditures]]/Table1[[#This Row],[Total Riders (AM/PM counts)]]</f>
        <v>1074.2761631949272</v>
      </c>
      <c r="J255" s="165">
        <f>Table1[[#This Row],[AdjPriorYear 
Expenditures]]/Table1[[#This Row],[Total Students]]</f>
        <v>2148.5523263898544</v>
      </c>
      <c r="K255" s="127">
        <f>Table1[[#This Row],[Allocation]]/Table1[[#This Row],[Total Riders (AM/PM counts)]]</f>
        <v>963.19833208183854</v>
      </c>
      <c r="L255" s="127">
        <f>Table1[[#This Row],[Allocation]]/Table1[[#This Row],[Total Students]]</f>
        <v>1926.3966641636771</v>
      </c>
      <c r="M255" s="130">
        <f>IF(Table1[[#This Row],[Allocation]]&gt;Table1[[#This Row],[AdjPriorYear 
Expenditures]],100%, Table1[[#This Row],[Allocation]]/Table1[[#This Row],[AdjPriorYear 
Expenditures]])</f>
        <v>0.89660216346722232</v>
      </c>
      <c r="N255" s="127">
        <f>IF(Table1[[#This Row],[Percent Funded of Adjusted PYE]]=1,0,Table1[[#This Row],[AdjPriorYear 
Expenditures]]-Table1[[#This Row],[Allocation]])</f>
        <v>1497759.589999998</v>
      </c>
    </row>
    <row r="256" spans="1:14" x14ac:dyDescent="0.35">
      <c r="A256">
        <v>17402</v>
      </c>
      <c r="B256" t="s">
        <v>1003</v>
      </c>
      <c r="C256" s="127">
        <v>1312517.98</v>
      </c>
      <c r="D256" s="127">
        <v>1218939.5900000001</v>
      </c>
      <c r="E256" s="128">
        <v>1182.25</v>
      </c>
      <c r="F256" s="128">
        <v>39.375</v>
      </c>
      <c r="G256" s="129">
        <v>1217.75</v>
      </c>
      <c r="H256" s="128">
        <v>608.875</v>
      </c>
      <c r="I256" s="127">
        <f>Table1[[#This Row],[AdjPriorYear 
Expenditures]]/Table1[[#This Row],[Total Riders (AM/PM counts)]]</f>
        <v>1077.8221966741942</v>
      </c>
      <c r="J256" s="165">
        <f>Table1[[#This Row],[AdjPriorYear 
Expenditures]]/Table1[[#This Row],[Total Students]]</f>
        <v>2155.6443933483883</v>
      </c>
      <c r="K256" s="127">
        <f>Table1[[#This Row],[Allocation]]/Table1[[#This Row],[Total Riders (AM/PM counts)]]</f>
        <v>1000.9768753849313</v>
      </c>
      <c r="L256" s="127">
        <f>Table1[[#This Row],[Allocation]]/Table1[[#This Row],[Total Students]]</f>
        <v>2001.9537507698626</v>
      </c>
      <c r="M256" s="130">
        <f>IF(Table1[[#This Row],[Allocation]]&gt;Table1[[#This Row],[AdjPriorYear 
Expenditures]],100%, Table1[[#This Row],[Allocation]]/Table1[[#This Row],[AdjPriorYear 
Expenditures]])</f>
        <v>0.92870315574648366</v>
      </c>
      <c r="N256" s="127">
        <f>IF(Table1[[#This Row],[Percent Funded of Adjusted PYE]]=1,0,Table1[[#This Row],[AdjPriorYear 
Expenditures]]-Table1[[#This Row],[Allocation]])</f>
        <v>93578.389999999898</v>
      </c>
    </row>
    <row r="257" spans="1:14" x14ac:dyDescent="0.35">
      <c r="A257">
        <v>35200</v>
      </c>
      <c r="B257" t="s">
        <v>1004</v>
      </c>
      <c r="C257" s="127">
        <v>359099.64</v>
      </c>
      <c r="D257" s="127">
        <v>404676.26</v>
      </c>
      <c r="E257" s="128">
        <v>336.375</v>
      </c>
      <c r="F257" s="128">
        <v>0</v>
      </c>
      <c r="G257" s="129">
        <v>336.375</v>
      </c>
      <c r="H257" s="128">
        <v>168.1875</v>
      </c>
      <c r="I257" s="127">
        <f>Table1[[#This Row],[AdjPriorYear 
Expenditures]]/Table1[[#This Row],[Total Riders (AM/PM counts)]]</f>
        <v>1067.55745819398</v>
      </c>
      <c r="J257" s="165">
        <f>Table1[[#This Row],[AdjPriorYear 
Expenditures]]/Table1[[#This Row],[Total Students]]</f>
        <v>2135.11491638796</v>
      </c>
      <c r="K257" s="127">
        <f>Table1[[#This Row],[Allocation]]/Table1[[#This Row],[Total Riders (AM/PM counts)]]</f>
        <v>1203.0509401709403</v>
      </c>
      <c r="L257" s="127">
        <f>Table1[[#This Row],[Allocation]]/Table1[[#This Row],[Total Students]]</f>
        <v>2406.1018803418806</v>
      </c>
      <c r="M257" s="130">
        <f>IF(Table1[[#This Row],[Allocation]]&gt;Table1[[#This Row],[AdjPriorYear 
Expenditures]],100%, Table1[[#This Row],[Allocation]]/Table1[[#This Row],[AdjPriorYear 
Expenditures]])</f>
        <v>1</v>
      </c>
      <c r="N257" s="127">
        <f>IF(Table1[[#This Row],[Percent Funded of Adjusted PYE]]=1,0,Table1[[#This Row],[AdjPriorYear 
Expenditures]]-Table1[[#This Row],[Allocation]])</f>
        <v>0</v>
      </c>
    </row>
    <row r="258" spans="1:14" x14ac:dyDescent="0.35">
      <c r="A258">
        <v>13073</v>
      </c>
      <c r="B258" t="s">
        <v>1005</v>
      </c>
      <c r="C258" s="127">
        <v>1253226.24</v>
      </c>
      <c r="D258" s="127">
        <v>1370229.07</v>
      </c>
      <c r="E258" s="128">
        <v>1554.125</v>
      </c>
      <c r="F258" s="128">
        <v>54.375</v>
      </c>
      <c r="G258" s="129">
        <v>1612.25</v>
      </c>
      <c r="H258" s="128">
        <v>806.125</v>
      </c>
      <c r="I258" s="127">
        <f>Table1[[#This Row],[AdjPriorYear 
Expenditures]]/Table1[[#This Row],[Total Riders (AM/PM counts)]]</f>
        <v>777.31508140797018</v>
      </c>
      <c r="J258" s="165">
        <f>Table1[[#This Row],[AdjPriorYear 
Expenditures]]/Table1[[#This Row],[Total Students]]</f>
        <v>1554.6301628159404</v>
      </c>
      <c r="K258" s="127">
        <f>Table1[[#This Row],[Allocation]]/Table1[[#This Row],[Total Riders (AM/PM counts)]]</f>
        <v>849.88622732206545</v>
      </c>
      <c r="L258" s="127">
        <f>Table1[[#This Row],[Allocation]]/Table1[[#This Row],[Total Students]]</f>
        <v>1699.7724546441309</v>
      </c>
      <c r="M258" s="130">
        <f>IF(Table1[[#This Row],[Allocation]]&gt;Table1[[#This Row],[AdjPriorYear 
Expenditures]],100%, Table1[[#This Row],[Allocation]]/Table1[[#This Row],[AdjPriorYear 
Expenditures]])</f>
        <v>1</v>
      </c>
      <c r="N258" s="127">
        <f>IF(Table1[[#This Row],[Percent Funded of Adjusted PYE]]=1,0,Table1[[#This Row],[AdjPriorYear 
Expenditures]]-Table1[[#This Row],[Allocation]])</f>
        <v>0</v>
      </c>
    </row>
    <row r="259" spans="1:14" x14ac:dyDescent="0.35">
      <c r="A259">
        <v>36401</v>
      </c>
      <c r="B259" t="s">
        <v>1006</v>
      </c>
      <c r="C259" s="127">
        <v>126735.15999999999</v>
      </c>
      <c r="D259" s="127">
        <v>130186.1</v>
      </c>
      <c r="E259" s="128">
        <v>56.25</v>
      </c>
      <c r="F259" s="128">
        <v>14.875</v>
      </c>
      <c r="G259" s="129">
        <v>71.75</v>
      </c>
      <c r="H259" s="128">
        <v>35.875</v>
      </c>
      <c r="I259" s="127">
        <f>Table1[[#This Row],[AdjPriorYear 
Expenditures]]/Table1[[#This Row],[Total Riders (AM/PM counts)]]</f>
        <v>1766.3436933797907</v>
      </c>
      <c r="J259" s="165">
        <f>Table1[[#This Row],[AdjPriorYear 
Expenditures]]/Table1[[#This Row],[Total Students]]</f>
        <v>3532.6873867595814</v>
      </c>
      <c r="K259" s="127">
        <f>Table1[[#This Row],[Allocation]]/Table1[[#This Row],[Total Riders (AM/PM counts)]]</f>
        <v>1814.4404181184671</v>
      </c>
      <c r="L259" s="127">
        <f>Table1[[#This Row],[Allocation]]/Table1[[#This Row],[Total Students]]</f>
        <v>3628.8808362369341</v>
      </c>
      <c r="M259" s="130">
        <f>IF(Table1[[#This Row],[Allocation]]&gt;Table1[[#This Row],[AdjPriorYear 
Expenditures]],100%, Table1[[#This Row],[Allocation]]/Table1[[#This Row],[AdjPriorYear 
Expenditures]])</f>
        <v>1</v>
      </c>
      <c r="N259" s="127">
        <f>IF(Table1[[#This Row],[Percent Funded of Adjusted PYE]]=1,0,Table1[[#This Row],[AdjPriorYear 
Expenditures]]-Table1[[#This Row],[Allocation]])</f>
        <v>0</v>
      </c>
    </row>
    <row r="260" spans="1:14" x14ac:dyDescent="0.35">
      <c r="A260">
        <v>36140</v>
      </c>
      <c r="B260" t="s">
        <v>1007</v>
      </c>
      <c r="C260" s="127">
        <v>2470734.08</v>
      </c>
      <c r="D260" s="127">
        <v>2093932.81</v>
      </c>
      <c r="E260" s="128">
        <v>1440</v>
      </c>
      <c r="F260" s="128">
        <v>547.375</v>
      </c>
      <c r="G260" s="129">
        <v>2103.5</v>
      </c>
      <c r="H260" s="128">
        <v>1051.75</v>
      </c>
      <c r="I260" s="127">
        <f>Table1[[#This Row],[AdjPriorYear 
Expenditures]]/Table1[[#This Row],[Total Riders (AM/PM counts)]]</f>
        <v>1174.582400760637</v>
      </c>
      <c r="J260" s="165">
        <f>Table1[[#This Row],[AdjPriorYear 
Expenditures]]/Table1[[#This Row],[Total Students]]</f>
        <v>2349.1648015212741</v>
      </c>
      <c r="K260" s="127">
        <f>Table1[[#This Row],[Allocation]]/Table1[[#This Row],[Total Riders (AM/PM counts)]]</f>
        <v>995.45177561207515</v>
      </c>
      <c r="L260" s="127">
        <f>Table1[[#This Row],[Allocation]]/Table1[[#This Row],[Total Students]]</f>
        <v>1990.9035512241503</v>
      </c>
      <c r="M260" s="130">
        <f>IF(Table1[[#This Row],[Allocation]]&gt;Table1[[#This Row],[AdjPriorYear 
Expenditures]],100%, Table1[[#This Row],[Allocation]]/Table1[[#This Row],[AdjPriorYear 
Expenditures]])</f>
        <v>0.84749420301840006</v>
      </c>
      <c r="N260" s="127">
        <f>IF(Table1[[#This Row],[Percent Funded of Adjusted PYE]]=1,0,Table1[[#This Row],[AdjPriorYear 
Expenditures]]-Table1[[#This Row],[Allocation]])</f>
        <v>376801.27</v>
      </c>
    </row>
    <row r="261" spans="1:14" x14ac:dyDescent="0.35">
      <c r="A261">
        <v>39207</v>
      </c>
      <c r="B261" t="s">
        <v>1008</v>
      </c>
      <c r="C261" s="127">
        <v>1751979.4500000002</v>
      </c>
      <c r="D261" s="127">
        <v>1727049.85</v>
      </c>
      <c r="E261" s="128">
        <v>2048.875</v>
      </c>
      <c r="F261" s="128">
        <v>91.875</v>
      </c>
      <c r="G261" s="129">
        <v>2161.25</v>
      </c>
      <c r="H261" s="128">
        <v>1080.625</v>
      </c>
      <c r="I261" s="127">
        <f>Table1[[#This Row],[AdjPriorYear 
Expenditures]]/Table1[[#This Row],[Total Riders (AM/PM counts)]]</f>
        <v>810.63248120300761</v>
      </c>
      <c r="J261" s="165">
        <f>Table1[[#This Row],[AdjPriorYear 
Expenditures]]/Table1[[#This Row],[Total Students]]</f>
        <v>1621.2649624060152</v>
      </c>
      <c r="K261" s="127">
        <f>Table1[[#This Row],[Allocation]]/Table1[[#This Row],[Total Riders (AM/PM counts)]]</f>
        <v>799.09767495662231</v>
      </c>
      <c r="L261" s="127">
        <f>Table1[[#This Row],[Allocation]]/Table1[[#This Row],[Total Students]]</f>
        <v>1598.1953499132446</v>
      </c>
      <c r="M261" s="130">
        <f>IF(Table1[[#This Row],[Allocation]]&gt;Table1[[#This Row],[AdjPriorYear 
Expenditures]],100%, Table1[[#This Row],[Allocation]]/Table1[[#This Row],[AdjPriorYear 
Expenditures]])</f>
        <v>0.98577060935275229</v>
      </c>
      <c r="N261" s="127">
        <f>IF(Table1[[#This Row],[Percent Funded of Adjusted PYE]]=1,0,Table1[[#This Row],[AdjPriorYear 
Expenditures]]-Table1[[#This Row],[Allocation]])</f>
        <v>24929.600000000093</v>
      </c>
    </row>
    <row r="262" spans="1:14" x14ac:dyDescent="0.35">
      <c r="A262">
        <v>13146</v>
      </c>
      <c r="B262" t="s">
        <v>1009</v>
      </c>
      <c r="C262" s="127">
        <v>515755.91</v>
      </c>
      <c r="D262" s="127">
        <v>414787.25</v>
      </c>
      <c r="E262" s="128">
        <v>253.25</v>
      </c>
      <c r="F262" s="128">
        <v>36.5</v>
      </c>
      <c r="G262" s="129">
        <v>293.75</v>
      </c>
      <c r="H262" s="128">
        <v>146.875</v>
      </c>
      <c r="I262" s="127">
        <f>Table1[[#This Row],[AdjPriorYear 
Expenditures]]/Table1[[#This Row],[Total Riders (AM/PM counts)]]</f>
        <v>1755.7647999999999</v>
      </c>
      <c r="J262" s="165">
        <f>Table1[[#This Row],[AdjPriorYear 
Expenditures]]/Table1[[#This Row],[Total Students]]</f>
        <v>3511.5295999999998</v>
      </c>
      <c r="K262" s="127">
        <f>Table1[[#This Row],[Allocation]]/Table1[[#This Row],[Total Riders (AM/PM counts)]]</f>
        <v>1412.0417021276596</v>
      </c>
      <c r="L262" s="127">
        <f>Table1[[#This Row],[Allocation]]/Table1[[#This Row],[Total Students]]</f>
        <v>2824.0834042553192</v>
      </c>
      <c r="M262" s="130">
        <f>IF(Table1[[#This Row],[Allocation]]&gt;Table1[[#This Row],[AdjPriorYear 
Expenditures]],100%, Table1[[#This Row],[Allocation]]/Table1[[#This Row],[AdjPriorYear 
Expenditures]])</f>
        <v>0.80423169557087582</v>
      </c>
      <c r="N262" s="127">
        <f>IF(Table1[[#This Row],[Percent Funded of Adjusted PYE]]=1,0,Table1[[#This Row],[AdjPriorYear 
Expenditures]]-Table1[[#This Row],[Allocation]])</f>
        <v>100968.65999999997</v>
      </c>
    </row>
    <row r="263" spans="1:14" x14ac:dyDescent="0.35">
      <c r="A263">
        <v>6112</v>
      </c>
      <c r="B263" t="s">
        <v>1010</v>
      </c>
      <c r="C263" s="127">
        <v>2467556.29</v>
      </c>
      <c r="D263" s="127">
        <v>2481935.2799999998</v>
      </c>
      <c r="E263" s="128">
        <v>2331.75</v>
      </c>
      <c r="F263" s="128">
        <v>133.25</v>
      </c>
      <c r="G263" s="129">
        <v>2437</v>
      </c>
      <c r="H263" s="128">
        <v>1218.5</v>
      </c>
      <c r="I263" s="127">
        <f>Table1[[#This Row],[AdjPriorYear 
Expenditures]]/Table1[[#This Row],[Total Riders (AM/PM counts)]]</f>
        <v>1012.5384858432499</v>
      </c>
      <c r="J263" s="165">
        <f>Table1[[#This Row],[AdjPriorYear 
Expenditures]]/Table1[[#This Row],[Total Students]]</f>
        <v>2025.0769716864997</v>
      </c>
      <c r="K263" s="127">
        <f>Table1[[#This Row],[Allocation]]/Table1[[#This Row],[Total Riders (AM/PM counts)]]</f>
        <v>1018.4387689782519</v>
      </c>
      <c r="L263" s="127">
        <f>Table1[[#This Row],[Allocation]]/Table1[[#This Row],[Total Students]]</f>
        <v>2036.8775379565038</v>
      </c>
      <c r="M263" s="130">
        <f>IF(Table1[[#This Row],[Allocation]]&gt;Table1[[#This Row],[AdjPriorYear 
Expenditures]],100%, Table1[[#This Row],[Allocation]]/Table1[[#This Row],[AdjPriorYear 
Expenditures]])</f>
        <v>1</v>
      </c>
      <c r="N263" s="127">
        <f>IF(Table1[[#This Row],[Percent Funded of Adjusted PYE]]=1,0,Table1[[#This Row],[AdjPriorYear 
Expenditures]]-Table1[[#This Row],[Allocation]])</f>
        <v>0</v>
      </c>
    </row>
    <row r="264" spans="1:14" x14ac:dyDescent="0.35">
      <c r="A264">
        <v>1109</v>
      </c>
      <c r="B264" t="s">
        <v>1011</v>
      </c>
      <c r="C264" s="127">
        <v>149311.24</v>
      </c>
      <c r="D264" s="127">
        <v>152010.79</v>
      </c>
      <c r="E264" s="128">
        <v>57.125</v>
      </c>
      <c r="F264" s="128">
        <v>0</v>
      </c>
      <c r="G264" s="129">
        <v>58.875</v>
      </c>
      <c r="H264" s="128">
        <v>29.4375</v>
      </c>
      <c r="I264" s="127">
        <f>Table1[[#This Row],[AdjPriorYear 
Expenditures]]/Table1[[#This Row],[Total Riders (AM/PM counts)]]</f>
        <v>2536.0720169851379</v>
      </c>
      <c r="J264" s="165">
        <f>Table1[[#This Row],[AdjPriorYear 
Expenditures]]/Table1[[#This Row],[Total Students]]</f>
        <v>5072.1440339702758</v>
      </c>
      <c r="K264" s="127">
        <f>Table1[[#This Row],[Allocation]]/Table1[[#This Row],[Total Riders (AM/PM counts)]]</f>
        <v>2581.9242462845014</v>
      </c>
      <c r="L264" s="127">
        <f>Table1[[#This Row],[Allocation]]/Table1[[#This Row],[Total Students]]</f>
        <v>5163.8484925690027</v>
      </c>
      <c r="M264" s="130">
        <f>IF(Table1[[#This Row],[Allocation]]&gt;Table1[[#This Row],[AdjPriorYear 
Expenditures]],100%, Table1[[#This Row],[Allocation]]/Table1[[#This Row],[AdjPriorYear 
Expenditures]])</f>
        <v>1</v>
      </c>
      <c r="N264" s="127">
        <f>IF(Table1[[#This Row],[Percent Funded of Adjusted PYE]]=1,0,Table1[[#This Row],[AdjPriorYear 
Expenditures]]-Table1[[#This Row],[Allocation]])</f>
        <v>0</v>
      </c>
    </row>
    <row r="265" spans="1:14" x14ac:dyDescent="0.35">
      <c r="A265">
        <v>9209</v>
      </c>
      <c r="B265" t="s">
        <v>1012</v>
      </c>
      <c r="C265" s="127">
        <v>315789.93</v>
      </c>
      <c r="D265" s="127">
        <v>279141.02999999997</v>
      </c>
      <c r="E265" s="128">
        <v>103.875</v>
      </c>
      <c r="F265" s="128">
        <v>0</v>
      </c>
      <c r="G265" s="129">
        <v>103.875</v>
      </c>
      <c r="H265" s="128">
        <v>51.9375</v>
      </c>
      <c r="I265" s="127">
        <f>Table1[[#This Row],[AdjPriorYear 
Expenditures]]/Table1[[#This Row],[Total Riders (AM/PM counts)]]</f>
        <v>3040.0955956678699</v>
      </c>
      <c r="J265" s="165">
        <f>Table1[[#This Row],[AdjPriorYear 
Expenditures]]/Table1[[#This Row],[Total Students]]</f>
        <v>6080.1911913357399</v>
      </c>
      <c r="K265" s="127">
        <f>Table1[[#This Row],[Allocation]]/Table1[[#This Row],[Total Riders (AM/PM counts)]]</f>
        <v>2687.278267148014</v>
      </c>
      <c r="L265" s="127">
        <f>Table1[[#This Row],[Allocation]]/Table1[[#This Row],[Total Students]]</f>
        <v>5374.5565342960281</v>
      </c>
      <c r="M265" s="130">
        <f>IF(Table1[[#This Row],[Allocation]]&gt;Table1[[#This Row],[AdjPriorYear 
Expenditures]],100%, Table1[[#This Row],[Allocation]]/Table1[[#This Row],[AdjPriorYear 
Expenditures]])</f>
        <v>0.88394531769901585</v>
      </c>
      <c r="N265" s="127">
        <f>IF(Table1[[#This Row],[Percent Funded of Adjusted PYE]]=1,0,Table1[[#This Row],[AdjPriorYear 
Expenditures]]-Table1[[#This Row],[Allocation]])</f>
        <v>36648.900000000023</v>
      </c>
    </row>
    <row r="266" spans="1:14" x14ac:dyDescent="0.35">
      <c r="A266">
        <v>33049</v>
      </c>
      <c r="B266" t="s">
        <v>1013</v>
      </c>
      <c r="C266" s="127">
        <v>422636.12</v>
      </c>
      <c r="D266" s="127">
        <v>381992.43999999994</v>
      </c>
      <c r="E266" s="128">
        <v>319.5</v>
      </c>
      <c r="F266" s="128">
        <v>0</v>
      </c>
      <c r="G266" s="129">
        <v>319.5</v>
      </c>
      <c r="H266" s="128">
        <v>159.75</v>
      </c>
      <c r="I266" s="127">
        <f>Table1[[#This Row],[AdjPriorYear 
Expenditures]]/Table1[[#This Row],[Total Riders (AM/PM counts)]]</f>
        <v>1322.8047574334898</v>
      </c>
      <c r="J266" s="165">
        <f>Table1[[#This Row],[AdjPriorYear 
Expenditures]]/Table1[[#This Row],[Total Students]]</f>
        <v>2645.6095148669797</v>
      </c>
      <c r="K266" s="127">
        <f>Table1[[#This Row],[Allocation]]/Table1[[#This Row],[Total Riders (AM/PM counts)]]</f>
        <v>1195.594491392801</v>
      </c>
      <c r="L266" s="127">
        <f>Table1[[#This Row],[Allocation]]/Table1[[#This Row],[Total Students]]</f>
        <v>2391.1889827856021</v>
      </c>
      <c r="M266" s="130">
        <f>IF(Table1[[#This Row],[Allocation]]&gt;Table1[[#This Row],[AdjPriorYear 
Expenditures]],100%, Table1[[#This Row],[Allocation]]/Table1[[#This Row],[AdjPriorYear 
Expenditures]])</f>
        <v>0.90383292369805013</v>
      </c>
      <c r="N266" s="127">
        <f>IF(Table1[[#This Row],[Percent Funded of Adjusted PYE]]=1,0,Table1[[#This Row],[AdjPriorYear 
Expenditures]]-Table1[[#This Row],[Allocation]])</f>
        <v>40643.680000000051</v>
      </c>
    </row>
    <row r="267" spans="1:14" x14ac:dyDescent="0.35">
      <c r="A267">
        <v>4246</v>
      </c>
      <c r="B267" t="s">
        <v>1014</v>
      </c>
      <c r="C267" s="127">
        <v>2862828.68</v>
      </c>
      <c r="D267" s="127">
        <v>2545198.6900000004</v>
      </c>
      <c r="E267" s="128">
        <v>1871.25</v>
      </c>
      <c r="F267" s="128">
        <v>268</v>
      </c>
      <c r="G267" s="129">
        <v>2209.25</v>
      </c>
      <c r="H267" s="128">
        <v>1104.625</v>
      </c>
      <c r="I267" s="127">
        <f>Table1[[#This Row],[AdjPriorYear 
Expenditures]]/Table1[[#This Row],[Total Riders (AM/PM counts)]]</f>
        <v>1295.8373565689715</v>
      </c>
      <c r="J267" s="165">
        <f>Table1[[#This Row],[AdjPriorYear 
Expenditures]]/Table1[[#This Row],[Total Students]]</f>
        <v>2591.6747131379429</v>
      </c>
      <c r="K267" s="127">
        <f>Table1[[#This Row],[Allocation]]/Table1[[#This Row],[Total Riders (AM/PM counts)]]</f>
        <v>1152.0645875297048</v>
      </c>
      <c r="L267" s="127">
        <f>Table1[[#This Row],[Allocation]]/Table1[[#This Row],[Total Students]]</f>
        <v>2304.1291750594096</v>
      </c>
      <c r="M267" s="130">
        <f>IF(Table1[[#This Row],[Allocation]]&gt;Table1[[#This Row],[AdjPriorYear 
Expenditures]],100%, Table1[[#This Row],[Allocation]]/Table1[[#This Row],[AdjPriorYear 
Expenditures]])</f>
        <v>0.88905029762381738</v>
      </c>
      <c r="N267" s="127">
        <f>IF(Table1[[#This Row],[Percent Funded of Adjusted PYE]]=1,0,Table1[[#This Row],[AdjPriorYear 
Expenditures]]-Table1[[#This Row],[Allocation]])</f>
        <v>317629.98999999976</v>
      </c>
    </row>
    <row r="268" spans="1:14" x14ac:dyDescent="0.35">
      <c r="A268">
        <v>32363</v>
      </c>
      <c r="B268" t="s">
        <v>1015</v>
      </c>
      <c r="C268" s="127">
        <v>2092810.38</v>
      </c>
      <c r="D268" s="127">
        <v>2032493.8900000001</v>
      </c>
      <c r="E268" s="128">
        <v>2182.25</v>
      </c>
      <c r="F268" s="128">
        <v>148</v>
      </c>
      <c r="G268" s="129">
        <v>2335.75</v>
      </c>
      <c r="H268" s="128">
        <v>1167.875</v>
      </c>
      <c r="I268" s="127">
        <f>Table1[[#This Row],[AdjPriorYear 
Expenditures]]/Table1[[#This Row],[Total Riders (AM/PM counts)]]</f>
        <v>895.99074387241785</v>
      </c>
      <c r="J268" s="165">
        <f>Table1[[#This Row],[AdjPriorYear 
Expenditures]]/Table1[[#This Row],[Total Students]]</f>
        <v>1791.9814877448357</v>
      </c>
      <c r="K268" s="127">
        <f>Table1[[#This Row],[Allocation]]/Table1[[#This Row],[Total Riders (AM/PM counts)]]</f>
        <v>870.16756502194164</v>
      </c>
      <c r="L268" s="127">
        <f>Table1[[#This Row],[Allocation]]/Table1[[#This Row],[Total Students]]</f>
        <v>1740.3351300438833</v>
      </c>
      <c r="M268" s="130">
        <f>IF(Table1[[#This Row],[Allocation]]&gt;Table1[[#This Row],[AdjPriorYear 
Expenditures]],100%, Table1[[#This Row],[Allocation]]/Table1[[#This Row],[AdjPriorYear 
Expenditures]])</f>
        <v>0.97117919015673093</v>
      </c>
      <c r="N268" s="127">
        <f>IF(Table1[[#This Row],[Percent Funded of Adjusted PYE]]=1,0,Table1[[#This Row],[AdjPriorYear 
Expenditures]]-Table1[[#This Row],[Allocation]])</f>
        <v>60316.489999999758</v>
      </c>
    </row>
    <row r="269" spans="1:14" x14ac:dyDescent="0.35">
      <c r="A269">
        <v>39208</v>
      </c>
      <c r="B269" t="s">
        <v>1016</v>
      </c>
      <c r="C269" s="127">
        <v>2928298.8700000006</v>
      </c>
      <c r="D269" s="127">
        <v>2968143.79</v>
      </c>
      <c r="E269" s="128">
        <v>3320</v>
      </c>
      <c r="F269" s="128">
        <v>178.75</v>
      </c>
      <c r="G269" s="129">
        <v>3492.5</v>
      </c>
      <c r="H269" s="128">
        <v>1746.25</v>
      </c>
      <c r="I269" s="127">
        <f>Table1[[#This Row],[AdjPriorYear 
Expenditures]]/Table1[[#This Row],[Total Riders (AM/PM counts)]]</f>
        <v>838.45350608446688</v>
      </c>
      <c r="J269" s="165">
        <f>Table1[[#This Row],[AdjPriorYear 
Expenditures]]/Table1[[#This Row],[Total Students]]</f>
        <v>1676.9070121689338</v>
      </c>
      <c r="K269" s="127">
        <f>Table1[[#This Row],[Allocation]]/Table1[[#This Row],[Total Riders (AM/PM counts)]]</f>
        <v>849.86221617752324</v>
      </c>
      <c r="L269" s="127">
        <f>Table1[[#This Row],[Allocation]]/Table1[[#This Row],[Total Students]]</f>
        <v>1699.7244323550465</v>
      </c>
      <c r="M269" s="130">
        <f>IF(Table1[[#This Row],[Allocation]]&gt;Table1[[#This Row],[AdjPriorYear 
Expenditures]],100%, Table1[[#This Row],[Allocation]]/Table1[[#This Row],[AdjPriorYear 
Expenditures]])</f>
        <v>1</v>
      </c>
      <c r="N269" s="127">
        <f>IF(Table1[[#This Row],[Percent Funded of Adjusted PYE]]=1,0,Table1[[#This Row],[AdjPriorYear 
Expenditures]]-Table1[[#This Row],[Allocation]])</f>
        <v>0</v>
      </c>
    </row>
    <row r="270" spans="1:14" x14ac:dyDescent="0.35">
      <c r="A270">
        <v>21303</v>
      </c>
      <c r="B270" t="s">
        <v>1017</v>
      </c>
      <c r="C270" s="127">
        <v>489498.96</v>
      </c>
      <c r="D270" s="127">
        <v>523187.18000000005</v>
      </c>
      <c r="E270" s="128">
        <v>425.625</v>
      </c>
      <c r="F270" s="128">
        <v>1.75</v>
      </c>
      <c r="G270" s="129">
        <v>428.125</v>
      </c>
      <c r="H270" s="128">
        <v>214.0625</v>
      </c>
      <c r="I270" s="127">
        <f>Table1[[#This Row],[AdjPriorYear 
Expenditures]]/Table1[[#This Row],[Total Riders (AM/PM counts)]]</f>
        <v>1143.3552350364964</v>
      </c>
      <c r="J270" s="165">
        <f>Table1[[#This Row],[AdjPriorYear 
Expenditures]]/Table1[[#This Row],[Total Students]]</f>
        <v>2286.7104700729928</v>
      </c>
      <c r="K270" s="127">
        <f>Table1[[#This Row],[Allocation]]/Table1[[#This Row],[Total Riders (AM/PM counts)]]</f>
        <v>1222.0430481751825</v>
      </c>
      <c r="L270" s="127">
        <f>Table1[[#This Row],[Allocation]]/Table1[[#This Row],[Total Students]]</f>
        <v>2444.0860963503651</v>
      </c>
      <c r="M270" s="130">
        <f>IF(Table1[[#This Row],[Allocation]]&gt;Table1[[#This Row],[AdjPriorYear 
Expenditures]],100%, Table1[[#This Row],[Allocation]]/Table1[[#This Row],[AdjPriorYear 
Expenditures]])</f>
        <v>1</v>
      </c>
      <c r="N270" s="127">
        <f>IF(Table1[[#This Row],[Percent Funded of Adjusted PYE]]=1,0,Table1[[#This Row],[AdjPriorYear 
Expenditures]]-Table1[[#This Row],[Allocation]])</f>
        <v>0</v>
      </c>
    </row>
    <row r="271" spans="1:14" x14ac:dyDescent="0.35">
      <c r="A271">
        <v>27416</v>
      </c>
      <c r="B271" t="s">
        <v>1018</v>
      </c>
      <c r="C271" s="127">
        <v>3577650.3200000003</v>
      </c>
      <c r="D271" s="127">
        <v>3445649</v>
      </c>
      <c r="E271" s="128">
        <v>3813.75</v>
      </c>
      <c r="F271" s="128">
        <v>144.75</v>
      </c>
      <c r="G271" s="129">
        <v>3987.75</v>
      </c>
      <c r="H271" s="128">
        <v>1993.875</v>
      </c>
      <c r="I271" s="127">
        <f>Table1[[#This Row],[AdjPriorYear 
Expenditures]]/Table1[[#This Row],[Total Riders (AM/PM counts)]]</f>
        <v>897.1601329070279</v>
      </c>
      <c r="J271" s="165">
        <f>Table1[[#This Row],[AdjPriorYear 
Expenditures]]/Table1[[#This Row],[Total Students]]</f>
        <v>1794.3202658140558</v>
      </c>
      <c r="K271" s="127">
        <f>Table1[[#This Row],[Allocation]]/Table1[[#This Row],[Total Riders (AM/PM counts)]]</f>
        <v>864.0584289386245</v>
      </c>
      <c r="L271" s="127">
        <f>Table1[[#This Row],[Allocation]]/Table1[[#This Row],[Total Students]]</f>
        <v>1728.116857877249</v>
      </c>
      <c r="M271" s="130">
        <f>IF(Table1[[#This Row],[Allocation]]&gt;Table1[[#This Row],[AdjPriorYear 
Expenditures]],100%, Table1[[#This Row],[Allocation]]/Table1[[#This Row],[AdjPriorYear 
Expenditures]])</f>
        <v>0.96310390670041779</v>
      </c>
      <c r="N271" s="127">
        <f>IF(Table1[[#This Row],[Percent Funded of Adjusted PYE]]=1,0,Table1[[#This Row],[AdjPriorYear 
Expenditures]]-Table1[[#This Row],[Allocation]])</f>
        <v>132001.3200000003</v>
      </c>
    </row>
    <row r="272" spans="1:14" x14ac:dyDescent="0.35">
      <c r="A272">
        <v>20405</v>
      </c>
      <c r="B272" t="s">
        <v>1019</v>
      </c>
      <c r="C272" s="127">
        <v>1408563.91</v>
      </c>
      <c r="D272" s="127">
        <v>1408563.91</v>
      </c>
      <c r="E272" s="128">
        <v>897.5</v>
      </c>
      <c r="F272" s="128">
        <v>8.75</v>
      </c>
      <c r="G272" s="129">
        <v>906.625</v>
      </c>
      <c r="H272" s="128">
        <v>453.3125</v>
      </c>
      <c r="I272" s="127">
        <f>Table1[[#This Row],[AdjPriorYear 
Expenditures]]/Table1[[#This Row],[Total Riders (AM/PM counts)]]</f>
        <v>1553.6345346753067</v>
      </c>
      <c r="J272" s="165">
        <f>Table1[[#This Row],[AdjPriorYear 
Expenditures]]/Table1[[#This Row],[Total Students]]</f>
        <v>3107.2690693506133</v>
      </c>
      <c r="K272" s="127">
        <f>Table1[[#This Row],[Allocation]]/Table1[[#This Row],[Total Riders (AM/PM counts)]]</f>
        <v>1553.6345346753067</v>
      </c>
      <c r="L272" s="127">
        <f>Table1[[#This Row],[Allocation]]/Table1[[#This Row],[Total Students]]</f>
        <v>3107.2690693506133</v>
      </c>
      <c r="M272" s="130">
        <f>IF(Table1[[#This Row],[Allocation]]&gt;Table1[[#This Row],[AdjPriorYear 
Expenditures]],100%, Table1[[#This Row],[Allocation]]/Table1[[#This Row],[AdjPriorYear 
Expenditures]])</f>
        <v>1</v>
      </c>
      <c r="N272" s="127">
        <f>IF(Table1[[#This Row],[Percent Funded of Adjusted PYE]]=1,0,Table1[[#This Row],[AdjPriorYear 
Expenditures]]-Table1[[#This Row],[Allocation]])</f>
        <v>0</v>
      </c>
    </row>
    <row r="273" spans="1:14" x14ac:dyDescent="0.35">
      <c r="A273">
        <v>25160</v>
      </c>
      <c r="B273" t="s">
        <v>1020</v>
      </c>
      <c r="C273" s="127">
        <v>511889.20999999996</v>
      </c>
      <c r="D273" s="127">
        <v>511640.24</v>
      </c>
      <c r="E273" s="128">
        <v>403.125</v>
      </c>
      <c r="F273" s="128">
        <v>20.875</v>
      </c>
      <c r="G273" s="129">
        <v>425.625</v>
      </c>
      <c r="H273" s="128">
        <v>212.8125</v>
      </c>
      <c r="I273" s="127">
        <f>Table1[[#This Row],[AdjPriorYear 
Expenditures]]/Table1[[#This Row],[Total Riders (AM/PM counts)]]</f>
        <v>1202.6765580029369</v>
      </c>
      <c r="J273" s="165">
        <f>Table1[[#This Row],[AdjPriorYear 
Expenditures]]/Table1[[#This Row],[Total Students]]</f>
        <v>2405.3531160058737</v>
      </c>
      <c r="K273" s="127">
        <f>Table1[[#This Row],[Allocation]]/Table1[[#This Row],[Total Riders (AM/PM counts)]]</f>
        <v>1202.0916064610867</v>
      </c>
      <c r="L273" s="127">
        <f>Table1[[#This Row],[Allocation]]/Table1[[#This Row],[Total Students]]</f>
        <v>2404.1832129221734</v>
      </c>
      <c r="M273" s="130">
        <f>IF(Table1[[#This Row],[Allocation]]&gt;Table1[[#This Row],[AdjPriorYear 
Expenditures]],100%, Table1[[#This Row],[Allocation]]/Table1[[#This Row],[AdjPriorYear 
Expenditures]])</f>
        <v>0.99951362522370812</v>
      </c>
      <c r="N273" s="127">
        <f>IF(Table1[[#This Row],[Percent Funded of Adjusted PYE]]=1,0,Table1[[#This Row],[AdjPriorYear 
Expenditures]]-Table1[[#This Row],[Allocation]])</f>
        <v>248.96999999997206</v>
      </c>
    </row>
    <row r="274" spans="1:14" x14ac:dyDescent="0.35">
      <c r="A274">
        <v>13167</v>
      </c>
      <c r="B274" t="s">
        <v>1021</v>
      </c>
      <c r="C274" s="127">
        <v>221845.38</v>
      </c>
      <c r="D274" s="127">
        <v>272619.53000000003</v>
      </c>
      <c r="E274" s="128">
        <v>128.125</v>
      </c>
      <c r="F274" s="128">
        <v>0</v>
      </c>
      <c r="G274" s="129">
        <v>128.125</v>
      </c>
      <c r="H274" s="128">
        <v>64.0625</v>
      </c>
      <c r="I274" s="127">
        <f>Table1[[#This Row],[AdjPriorYear 
Expenditures]]/Table1[[#This Row],[Total Riders (AM/PM counts)]]</f>
        <v>1731.4761365853658</v>
      </c>
      <c r="J274" s="165">
        <f>Table1[[#This Row],[AdjPriorYear 
Expenditures]]/Table1[[#This Row],[Total Students]]</f>
        <v>3462.9522731707316</v>
      </c>
      <c r="K274" s="127">
        <f>Table1[[#This Row],[Allocation]]/Table1[[#This Row],[Total Riders (AM/PM counts)]]</f>
        <v>2127.7621853658538</v>
      </c>
      <c r="L274" s="127">
        <f>Table1[[#This Row],[Allocation]]/Table1[[#This Row],[Total Students]]</f>
        <v>4255.5243707317077</v>
      </c>
      <c r="M274" s="130">
        <f>IF(Table1[[#This Row],[Allocation]]&gt;Table1[[#This Row],[AdjPriorYear 
Expenditures]],100%, Table1[[#This Row],[Allocation]]/Table1[[#This Row],[AdjPriorYear 
Expenditures]])</f>
        <v>1</v>
      </c>
      <c r="N274" s="127">
        <f>IF(Table1[[#This Row],[Percent Funded of Adjusted PYE]]=1,0,Table1[[#This Row],[AdjPriorYear 
Expenditures]]-Table1[[#This Row],[Allocation]])</f>
        <v>0</v>
      </c>
    </row>
    <row r="275" spans="1:14" x14ac:dyDescent="0.35">
      <c r="A275">
        <v>21232</v>
      </c>
      <c r="B275" t="s">
        <v>1022</v>
      </c>
      <c r="C275" s="127">
        <v>694796.43</v>
      </c>
      <c r="D275" s="127">
        <v>733157.68</v>
      </c>
      <c r="E275" s="128">
        <v>744.625</v>
      </c>
      <c r="F275" s="128">
        <v>19.5</v>
      </c>
      <c r="G275" s="129">
        <v>768.375</v>
      </c>
      <c r="H275" s="128">
        <v>384.1875</v>
      </c>
      <c r="I275" s="127">
        <f>Table1[[#This Row],[AdjPriorYear 
Expenditures]]/Table1[[#This Row],[Total Riders (AM/PM counts)]]</f>
        <v>904.24132747681801</v>
      </c>
      <c r="J275" s="165">
        <f>Table1[[#This Row],[AdjPriorYear 
Expenditures]]/Table1[[#This Row],[Total Students]]</f>
        <v>1808.482654953636</v>
      </c>
      <c r="K275" s="127">
        <f>Table1[[#This Row],[Allocation]]/Table1[[#This Row],[Total Riders (AM/PM counts)]]</f>
        <v>954.16649422482521</v>
      </c>
      <c r="L275" s="127">
        <f>Table1[[#This Row],[Allocation]]/Table1[[#This Row],[Total Students]]</f>
        <v>1908.3329884496504</v>
      </c>
      <c r="M275" s="130">
        <f>IF(Table1[[#This Row],[Allocation]]&gt;Table1[[#This Row],[AdjPriorYear 
Expenditures]],100%, Table1[[#This Row],[Allocation]]/Table1[[#This Row],[AdjPriorYear 
Expenditures]])</f>
        <v>1</v>
      </c>
      <c r="N275" s="127">
        <f>IF(Table1[[#This Row],[Percent Funded of Adjusted PYE]]=1,0,Table1[[#This Row],[AdjPriorYear 
Expenditures]]-Table1[[#This Row],[Allocation]])</f>
        <v>0</v>
      </c>
    </row>
    <row r="276" spans="1:14" x14ac:dyDescent="0.35">
      <c r="A276">
        <v>14117</v>
      </c>
      <c r="B276" t="s">
        <v>1023</v>
      </c>
      <c r="C276" s="127">
        <v>120310.43</v>
      </c>
      <c r="D276" s="127">
        <v>112134.14</v>
      </c>
      <c r="E276" s="128">
        <v>175.5</v>
      </c>
      <c r="F276" s="128">
        <v>0</v>
      </c>
      <c r="G276" s="129">
        <v>175.875</v>
      </c>
      <c r="H276" s="128">
        <v>87.9375</v>
      </c>
      <c r="I276" s="127">
        <f>Table1[[#This Row],[AdjPriorYear 
Expenditures]]/Table1[[#This Row],[Total Riders (AM/PM counts)]]</f>
        <v>684.06783226723519</v>
      </c>
      <c r="J276" s="165">
        <f>Table1[[#This Row],[AdjPriorYear 
Expenditures]]/Table1[[#This Row],[Total Students]]</f>
        <v>1368.1356645344704</v>
      </c>
      <c r="K276" s="127">
        <f>Table1[[#This Row],[Allocation]]/Table1[[#This Row],[Total Riders (AM/PM counts)]]</f>
        <v>637.57862117981517</v>
      </c>
      <c r="L276" s="127">
        <f>Table1[[#This Row],[Allocation]]/Table1[[#This Row],[Total Students]]</f>
        <v>1275.1572423596303</v>
      </c>
      <c r="M276" s="130">
        <f>IF(Table1[[#This Row],[Allocation]]&gt;Table1[[#This Row],[AdjPriorYear 
Expenditures]],100%, Table1[[#This Row],[Allocation]]/Table1[[#This Row],[AdjPriorYear 
Expenditures]])</f>
        <v>0.93204005670996282</v>
      </c>
      <c r="N276" s="127">
        <f>IF(Table1[[#This Row],[Percent Funded of Adjusted PYE]]=1,0,Table1[[#This Row],[AdjPriorYear 
Expenditures]]-Table1[[#This Row],[Allocation]])</f>
        <v>8176.2899999999936</v>
      </c>
    </row>
    <row r="277" spans="1:14" x14ac:dyDescent="0.35">
      <c r="A277">
        <v>20094</v>
      </c>
      <c r="B277" t="s">
        <v>1024</v>
      </c>
      <c r="C277" s="127">
        <v>135555.06000000003</v>
      </c>
      <c r="D277" s="127">
        <v>123240.81</v>
      </c>
      <c r="E277" s="128">
        <v>71</v>
      </c>
      <c r="F277" s="128">
        <v>0</v>
      </c>
      <c r="G277" s="129">
        <v>71</v>
      </c>
      <c r="H277" s="128">
        <v>35.5</v>
      </c>
      <c r="I277" s="127">
        <f>Table1[[#This Row],[AdjPriorYear 
Expenditures]]/Table1[[#This Row],[Total Riders (AM/PM counts)]]</f>
        <v>1909.226197183099</v>
      </c>
      <c r="J277" s="165">
        <f>Table1[[#This Row],[AdjPriorYear 
Expenditures]]/Table1[[#This Row],[Total Students]]</f>
        <v>3818.452394366198</v>
      </c>
      <c r="K277" s="127">
        <f>Table1[[#This Row],[Allocation]]/Table1[[#This Row],[Total Riders (AM/PM counts)]]</f>
        <v>1735.7860563380282</v>
      </c>
      <c r="L277" s="127">
        <f>Table1[[#This Row],[Allocation]]/Table1[[#This Row],[Total Students]]</f>
        <v>3471.5721126760563</v>
      </c>
      <c r="M277" s="130">
        <f>IF(Table1[[#This Row],[Allocation]]&gt;Table1[[#This Row],[AdjPriorYear 
Expenditures]],100%, Table1[[#This Row],[Allocation]]/Table1[[#This Row],[AdjPriorYear 
Expenditures]])</f>
        <v>0.90915684003238217</v>
      </c>
      <c r="N277" s="127">
        <f>IF(Table1[[#This Row],[Percent Funded of Adjusted PYE]]=1,0,Table1[[#This Row],[AdjPriorYear 
Expenditures]]-Table1[[#This Row],[Allocation]])</f>
        <v>12314.250000000029</v>
      </c>
    </row>
    <row r="278" spans="1:14" x14ac:dyDescent="0.35">
      <c r="A278">
        <v>8404</v>
      </c>
      <c r="B278" t="s">
        <v>1025</v>
      </c>
      <c r="C278" s="127">
        <v>8061677.2899999991</v>
      </c>
      <c r="D278" s="127">
        <v>7553903.1000000006</v>
      </c>
      <c r="E278" s="128">
        <v>8158.125</v>
      </c>
      <c r="F278" s="128">
        <v>439.75</v>
      </c>
      <c r="G278" s="129">
        <v>8656.125</v>
      </c>
      <c r="H278" s="128">
        <v>4328.0625</v>
      </c>
      <c r="I278" s="127">
        <f>Table1[[#This Row],[AdjPriorYear 
Expenditures]]/Table1[[#This Row],[Total Riders (AM/PM counts)]]</f>
        <v>931.32634868373543</v>
      </c>
      <c r="J278" s="165">
        <f>Table1[[#This Row],[AdjPriorYear 
Expenditures]]/Table1[[#This Row],[Total Students]]</f>
        <v>1862.6526973674709</v>
      </c>
      <c r="K278" s="127">
        <f>Table1[[#This Row],[Allocation]]/Table1[[#This Row],[Total Riders (AM/PM counts)]]</f>
        <v>872.66566737425819</v>
      </c>
      <c r="L278" s="127">
        <f>Table1[[#This Row],[Allocation]]/Table1[[#This Row],[Total Students]]</f>
        <v>1745.3313347485164</v>
      </c>
      <c r="M278" s="130">
        <f>IF(Table1[[#This Row],[Allocation]]&gt;Table1[[#This Row],[AdjPriorYear 
Expenditures]],100%, Table1[[#This Row],[Allocation]]/Table1[[#This Row],[AdjPriorYear 
Expenditures]])</f>
        <v>0.93701382829726265</v>
      </c>
      <c r="N278" s="127">
        <f>IF(Table1[[#This Row],[Percent Funded of Adjusted PYE]]=1,0,Table1[[#This Row],[AdjPriorYear 
Expenditures]]-Table1[[#This Row],[Allocation]])</f>
        <v>507774.18999999855</v>
      </c>
    </row>
    <row r="279" spans="1:14" x14ac:dyDescent="0.35">
      <c r="A279">
        <v>39007</v>
      </c>
      <c r="B279" t="s">
        <v>1026</v>
      </c>
      <c r="C279" s="127">
        <v>5688590.1600000001</v>
      </c>
      <c r="D279" s="127">
        <v>4340730.41</v>
      </c>
      <c r="E279" s="128">
        <v>4010.25</v>
      </c>
      <c r="F279" s="128">
        <v>646.375</v>
      </c>
      <c r="G279" s="129">
        <v>4725.75</v>
      </c>
      <c r="H279" s="128">
        <v>2362.875</v>
      </c>
      <c r="I279" s="127">
        <f>Table1[[#This Row],[AdjPriorYear 
Expenditures]]/Table1[[#This Row],[Total Riders (AM/PM counts)]]</f>
        <v>1203.7433550230123</v>
      </c>
      <c r="J279" s="165">
        <f>Table1[[#This Row],[AdjPriorYear 
Expenditures]]/Table1[[#This Row],[Total Students]]</f>
        <v>2407.4867100460247</v>
      </c>
      <c r="K279" s="127">
        <f>Table1[[#This Row],[Allocation]]/Table1[[#This Row],[Total Riders (AM/PM counts)]]</f>
        <v>918.52730466063588</v>
      </c>
      <c r="L279" s="127">
        <f>Table1[[#This Row],[Allocation]]/Table1[[#This Row],[Total Students]]</f>
        <v>1837.0546093212718</v>
      </c>
      <c r="M279" s="130">
        <f>IF(Table1[[#This Row],[Allocation]]&gt;Table1[[#This Row],[AdjPriorYear 
Expenditures]],100%, Table1[[#This Row],[Allocation]]/Table1[[#This Row],[AdjPriorYear 
Expenditures]])</f>
        <v>0.76305908633080366</v>
      </c>
      <c r="N279" s="127">
        <f>IF(Table1[[#This Row],[Percent Funded of Adjusted PYE]]=1,0,Table1[[#This Row],[AdjPriorYear 
Expenditures]]-Table1[[#This Row],[Allocation]])</f>
        <v>1347859.75</v>
      </c>
    </row>
    <row r="280" spans="1:14" x14ac:dyDescent="0.35">
      <c r="A280">
        <v>34002</v>
      </c>
      <c r="B280" t="s">
        <v>1027</v>
      </c>
      <c r="C280" s="127">
        <v>4888907.5599999996</v>
      </c>
      <c r="D280" s="127">
        <v>4855792.08</v>
      </c>
      <c r="E280" s="128">
        <v>5271.25</v>
      </c>
      <c r="F280" s="128">
        <v>280.375</v>
      </c>
      <c r="G280" s="129">
        <v>5617.5</v>
      </c>
      <c r="H280" s="128">
        <v>2808.75</v>
      </c>
      <c r="I280" s="127">
        <f>Table1[[#This Row],[AdjPriorYear 
Expenditures]]/Table1[[#This Row],[Total Riders (AM/PM counts)]]</f>
        <v>870.29952113929676</v>
      </c>
      <c r="J280" s="165">
        <f>Table1[[#This Row],[AdjPriorYear 
Expenditures]]/Table1[[#This Row],[Total Students]]</f>
        <v>1740.5990422785935</v>
      </c>
      <c r="K280" s="127">
        <f>Table1[[#This Row],[Allocation]]/Table1[[#This Row],[Total Riders (AM/PM counts)]]</f>
        <v>864.40446461949261</v>
      </c>
      <c r="L280" s="127">
        <f>Table1[[#This Row],[Allocation]]/Table1[[#This Row],[Total Students]]</f>
        <v>1728.8089292389852</v>
      </c>
      <c r="M280" s="130">
        <f>IF(Table1[[#This Row],[Allocation]]&gt;Table1[[#This Row],[AdjPriorYear 
Expenditures]],100%, Table1[[#This Row],[Allocation]]/Table1[[#This Row],[AdjPriorYear 
Expenditures]])</f>
        <v>0.99322640495988446</v>
      </c>
      <c r="N280" s="127">
        <f>IF(Table1[[#This Row],[Percent Funded of Adjusted PYE]]=1,0,Table1[[#This Row],[AdjPriorYear 
Expenditures]]-Table1[[#This Row],[Allocation]])</f>
        <v>33115.479999999516</v>
      </c>
    </row>
    <row r="281" spans="1:14" x14ac:dyDescent="0.35">
      <c r="A281">
        <v>39205</v>
      </c>
      <c r="B281" t="s">
        <v>1028</v>
      </c>
      <c r="C281" s="127">
        <v>620811.51000000013</v>
      </c>
      <c r="D281" s="127">
        <v>590659.44999999995</v>
      </c>
      <c r="E281" s="128">
        <v>669</v>
      </c>
      <c r="F281" s="128">
        <v>22.125</v>
      </c>
      <c r="G281" s="129">
        <v>688.375</v>
      </c>
      <c r="H281" s="128">
        <v>344.1875</v>
      </c>
      <c r="I281" s="127">
        <f>Table1[[#This Row],[AdjPriorYear 
Expenditures]]/Table1[[#This Row],[Total Riders (AM/PM counts)]]</f>
        <v>901.85074995460343</v>
      </c>
      <c r="J281" s="165">
        <f>Table1[[#This Row],[AdjPriorYear 
Expenditures]]/Table1[[#This Row],[Total Students]]</f>
        <v>1803.7014999092069</v>
      </c>
      <c r="K281" s="127">
        <f>Table1[[#This Row],[Allocation]]/Table1[[#This Row],[Total Riders (AM/PM counts)]]</f>
        <v>858.04895587434169</v>
      </c>
      <c r="L281" s="127">
        <f>Table1[[#This Row],[Allocation]]/Table1[[#This Row],[Total Students]]</f>
        <v>1716.0979117486834</v>
      </c>
      <c r="M281" s="130">
        <f>IF(Table1[[#This Row],[Allocation]]&gt;Table1[[#This Row],[AdjPriorYear 
Expenditures]],100%, Table1[[#This Row],[Allocation]]/Table1[[#This Row],[AdjPriorYear 
Expenditures]])</f>
        <v>0.95143121621569138</v>
      </c>
      <c r="N281" s="127">
        <f>IF(Table1[[#This Row],[Percent Funded of Adjusted PYE]]=1,0,Table1[[#This Row],[AdjPriorYear 
Expenditures]]-Table1[[#This Row],[Allocation]])</f>
        <v>30152.060000000172</v>
      </c>
    </row>
    <row r="282" spans="1:14" x14ac:dyDescent="0.35">
      <c r="C282" s="127"/>
      <c r="D282" s="127"/>
      <c r="E282" s="128"/>
      <c r="F282" s="128"/>
      <c r="G282" s="129"/>
      <c r="I282" s="127"/>
      <c r="J282" s="88"/>
      <c r="K282" s="127"/>
      <c r="L282" s="127"/>
      <c r="M282" s="167"/>
      <c r="N282" s="127"/>
    </row>
  </sheetData>
  <phoneticPr fontId="14"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E682C-BBFF-48F2-A23E-E9D239A42564}">
  <dimension ref="A1:A319"/>
  <sheetViews>
    <sheetView workbookViewId="0">
      <selection activeCell="A6" sqref="A6"/>
    </sheetView>
  </sheetViews>
  <sheetFormatPr defaultRowHeight="14.5" x14ac:dyDescent="0.35"/>
  <sheetData>
    <row r="1" spans="1:1" x14ac:dyDescent="0.35">
      <c r="A1" t="s">
        <v>379</v>
      </c>
    </row>
    <row r="2" spans="1:1" x14ac:dyDescent="0.35">
      <c r="A2" t="s">
        <v>380</v>
      </c>
    </row>
    <row r="3" spans="1:1" x14ac:dyDescent="0.35">
      <c r="A3" t="s">
        <v>381</v>
      </c>
    </row>
    <row r="4" spans="1:1" x14ac:dyDescent="0.35">
      <c r="A4" t="s">
        <v>382</v>
      </c>
    </row>
    <row r="5" spans="1:1" x14ac:dyDescent="0.35">
      <c r="A5" t="s">
        <v>383</v>
      </c>
    </row>
    <row r="6" spans="1:1" x14ac:dyDescent="0.35">
      <c r="A6" t="s">
        <v>384</v>
      </c>
    </row>
    <row r="7" spans="1:1" x14ac:dyDescent="0.35">
      <c r="A7" t="s">
        <v>385</v>
      </c>
    </row>
    <row r="8" spans="1:1" x14ac:dyDescent="0.35">
      <c r="A8" t="s">
        <v>386</v>
      </c>
    </row>
    <row r="9" spans="1:1" x14ac:dyDescent="0.35">
      <c r="A9" t="s">
        <v>387</v>
      </c>
    </row>
    <row r="10" spans="1:1" x14ac:dyDescent="0.35">
      <c r="A10" t="s">
        <v>388</v>
      </c>
    </row>
    <row r="11" spans="1:1" x14ac:dyDescent="0.35">
      <c r="A11" t="s">
        <v>389</v>
      </c>
    </row>
    <row r="12" spans="1:1" x14ac:dyDescent="0.35">
      <c r="A12" t="s">
        <v>390</v>
      </c>
    </row>
    <row r="13" spans="1:1" x14ac:dyDescent="0.35">
      <c r="A13" t="s">
        <v>391</v>
      </c>
    </row>
    <row r="14" spans="1:1" x14ac:dyDescent="0.35">
      <c r="A14" t="s">
        <v>392</v>
      </c>
    </row>
    <row r="15" spans="1:1" x14ac:dyDescent="0.35">
      <c r="A15" t="s">
        <v>393</v>
      </c>
    </row>
    <row r="16" spans="1:1" x14ac:dyDescent="0.35">
      <c r="A16" t="s">
        <v>394</v>
      </c>
    </row>
    <row r="17" spans="1:1" x14ac:dyDescent="0.35">
      <c r="A17" t="s">
        <v>395</v>
      </c>
    </row>
    <row r="18" spans="1:1" x14ac:dyDescent="0.35">
      <c r="A18" t="s">
        <v>396</v>
      </c>
    </row>
    <row r="19" spans="1:1" x14ac:dyDescent="0.35">
      <c r="A19" t="s">
        <v>397</v>
      </c>
    </row>
    <row r="20" spans="1:1" x14ac:dyDescent="0.35">
      <c r="A20" t="s">
        <v>398</v>
      </c>
    </row>
    <row r="21" spans="1:1" x14ac:dyDescent="0.35">
      <c r="A21" t="s">
        <v>399</v>
      </c>
    </row>
    <row r="22" spans="1:1" x14ac:dyDescent="0.35">
      <c r="A22" t="s">
        <v>400</v>
      </c>
    </row>
    <row r="23" spans="1:1" x14ac:dyDescent="0.35">
      <c r="A23" t="s">
        <v>401</v>
      </c>
    </row>
    <row r="24" spans="1:1" x14ac:dyDescent="0.35">
      <c r="A24" t="s">
        <v>402</v>
      </c>
    </row>
    <row r="25" spans="1:1" x14ac:dyDescent="0.35">
      <c r="A25" t="s">
        <v>403</v>
      </c>
    </row>
    <row r="26" spans="1:1" x14ac:dyDescent="0.35">
      <c r="A26" t="s">
        <v>404</v>
      </c>
    </row>
    <row r="27" spans="1:1" x14ac:dyDescent="0.35">
      <c r="A27" t="s">
        <v>405</v>
      </c>
    </row>
    <row r="28" spans="1:1" x14ac:dyDescent="0.35">
      <c r="A28" t="s">
        <v>406</v>
      </c>
    </row>
    <row r="29" spans="1:1" x14ac:dyDescent="0.35">
      <c r="A29" t="s">
        <v>407</v>
      </c>
    </row>
    <row r="30" spans="1:1" x14ac:dyDescent="0.35">
      <c r="A30" t="s">
        <v>408</v>
      </c>
    </row>
    <row r="31" spans="1:1" x14ac:dyDescent="0.35">
      <c r="A31" t="s">
        <v>409</v>
      </c>
    </row>
    <row r="32" spans="1:1" x14ac:dyDescent="0.35">
      <c r="A32" t="s">
        <v>410</v>
      </c>
    </row>
    <row r="33" spans="1:1" x14ac:dyDescent="0.35">
      <c r="A33" t="s">
        <v>411</v>
      </c>
    </row>
    <row r="34" spans="1:1" x14ac:dyDescent="0.35">
      <c r="A34" t="s">
        <v>412</v>
      </c>
    </row>
    <row r="35" spans="1:1" x14ac:dyDescent="0.35">
      <c r="A35" t="s">
        <v>413</v>
      </c>
    </row>
    <row r="36" spans="1:1" x14ac:dyDescent="0.35">
      <c r="A36" t="s">
        <v>414</v>
      </c>
    </row>
    <row r="37" spans="1:1" x14ac:dyDescent="0.35">
      <c r="A37" t="s">
        <v>415</v>
      </c>
    </row>
    <row r="38" spans="1:1" x14ac:dyDescent="0.35">
      <c r="A38" t="s">
        <v>416</v>
      </c>
    </row>
    <row r="39" spans="1:1" x14ac:dyDescent="0.35">
      <c r="A39" t="s">
        <v>417</v>
      </c>
    </row>
    <row r="40" spans="1:1" x14ac:dyDescent="0.35">
      <c r="A40" t="s">
        <v>418</v>
      </c>
    </row>
    <row r="41" spans="1:1" x14ac:dyDescent="0.35">
      <c r="A41" t="s">
        <v>419</v>
      </c>
    </row>
    <row r="42" spans="1:1" x14ac:dyDescent="0.35">
      <c r="A42" t="s">
        <v>420</v>
      </c>
    </row>
    <row r="43" spans="1:1" x14ac:dyDescent="0.35">
      <c r="A43" t="s">
        <v>421</v>
      </c>
    </row>
    <row r="44" spans="1:1" x14ac:dyDescent="0.35">
      <c r="A44" t="s">
        <v>422</v>
      </c>
    </row>
    <row r="45" spans="1:1" x14ac:dyDescent="0.35">
      <c r="A45" t="s">
        <v>423</v>
      </c>
    </row>
    <row r="46" spans="1:1" x14ac:dyDescent="0.35">
      <c r="A46" t="s">
        <v>424</v>
      </c>
    </row>
    <row r="47" spans="1:1" x14ac:dyDescent="0.35">
      <c r="A47" t="s">
        <v>425</v>
      </c>
    </row>
    <row r="48" spans="1:1" x14ac:dyDescent="0.35">
      <c r="A48" t="s">
        <v>426</v>
      </c>
    </row>
    <row r="49" spans="1:1" x14ac:dyDescent="0.35">
      <c r="A49" t="s">
        <v>427</v>
      </c>
    </row>
    <row r="50" spans="1:1" x14ac:dyDescent="0.35">
      <c r="A50" t="s">
        <v>428</v>
      </c>
    </row>
    <row r="51" spans="1:1" x14ac:dyDescent="0.35">
      <c r="A51" t="s">
        <v>429</v>
      </c>
    </row>
    <row r="52" spans="1:1" x14ac:dyDescent="0.35">
      <c r="A52" t="s">
        <v>430</v>
      </c>
    </row>
    <row r="53" spans="1:1" x14ac:dyDescent="0.35">
      <c r="A53" t="s">
        <v>431</v>
      </c>
    </row>
    <row r="54" spans="1:1" x14ac:dyDescent="0.35">
      <c r="A54" t="s">
        <v>432</v>
      </c>
    </row>
    <row r="55" spans="1:1" x14ac:dyDescent="0.35">
      <c r="A55" t="s">
        <v>433</v>
      </c>
    </row>
    <row r="56" spans="1:1" x14ac:dyDescent="0.35">
      <c r="A56" t="s">
        <v>434</v>
      </c>
    </row>
    <row r="57" spans="1:1" x14ac:dyDescent="0.35">
      <c r="A57" t="s">
        <v>435</v>
      </c>
    </row>
    <row r="58" spans="1:1" x14ac:dyDescent="0.35">
      <c r="A58" t="s">
        <v>436</v>
      </c>
    </row>
    <row r="59" spans="1:1" x14ac:dyDescent="0.35">
      <c r="A59" t="s">
        <v>437</v>
      </c>
    </row>
    <row r="60" spans="1:1" x14ac:dyDescent="0.35">
      <c r="A60" t="s">
        <v>438</v>
      </c>
    </row>
    <row r="61" spans="1:1" x14ac:dyDescent="0.35">
      <c r="A61" t="s">
        <v>439</v>
      </c>
    </row>
    <row r="62" spans="1:1" x14ac:dyDescent="0.35">
      <c r="A62" t="s">
        <v>440</v>
      </c>
    </row>
    <row r="63" spans="1:1" x14ac:dyDescent="0.35">
      <c r="A63" t="s">
        <v>441</v>
      </c>
    </row>
    <row r="64" spans="1:1" x14ac:dyDescent="0.35">
      <c r="A64" t="s">
        <v>442</v>
      </c>
    </row>
    <row r="65" spans="1:1" x14ac:dyDescent="0.35">
      <c r="A65" t="s">
        <v>443</v>
      </c>
    </row>
    <row r="66" spans="1:1" x14ac:dyDescent="0.35">
      <c r="A66" t="s">
        <v>444</v>
      </c>
    </row>
    <row r="67" spans="1:1" x14ac:dyDescent="0.35">
      <c r="A67" t="s">
        <v>445</v>
      </c>
    </row>
    <row r="68" spans="1:1" x14ac:dyDescent="0.35">
      <c r="A68" t="s">
        <v>446</v>
      </c>
    </row>
    <row r="69" spans="1:1" x14ac:dyDescent="0.35">
      <c r="A69" t="s">
        <v>447</v>
      </c>
    </row>
    <row r="70" spans="1:1" x14ac:dyDescent="0.35">
      <c r="A70" t="s">
        <v>448</v>
      </c>
    </row>
    <row r="71" spans="1:1" x14ac:dyDescent="0.35">
      <c r="A71" t="s">
        <v>449</v>
      </c>
    </row>
    <row r="72" spans="1:1" x14ac:dyDescent="0.35">
      <c r="A72" t="s">
        <v>450</v>
      </c>
    </row>
    <row r="73" spans="1:1" x14ac:dyDescent="0.35">
      <c r="A73" t="s">
        <v>451</v>
      </c>
    </row>
    <row r="74" spans="1:1" x14ac:dyDescent="0.35">
      <c r="A74" t="s">
        <v>452</v>
      </c>
    </row>
    <row r="75" spans="1:1" x14ac:dyDescent="0.35">
      <c r="A75" t="s">
        <v>453</v>
      </c>
    </row>
    <row r="76" spans="1:1" x14ac:dyDescent="0.35">
      <c r="A76" t="s">
        <v>454</v>
      </c>
    </row>
    <row r="77" spans="1:1" x14ac:dyDescent="0.35">
      <c r="A77" t="s">
        <v>455</v>
      </c>
    </row>
    <row r="78" spans="1:1" x14ac:dyDescent="0.35">
      <c r="A78" t="s">
        <v>456</v>
      </c>
    </row>
    <row r="79" spans="1:1" x14ac:dyDescent="0.35">
      <c r="A79" t="s">
        <v>457</v>
      </c>
    </row>
    <row r="80" spans="1:1" x14ac:dyDescent="0.35">
      <c r="A80" t="s">
        <v>458</v>
      </c>
    </row>
    <row r="81" spans="1:1" x14ac:dyDescent="0.35">
      <c r="A81" t="s">
        <v>459</v>
      </c>
    </row>
    <row r="82" spans="1:1" x14ac:dyDescent="0.35">
      <c r="A82" t="s">
        <v>460</v>
      </c>
    </row>
    <row r="83" spans="1:1" x14ac:dyDescent="0.35">
      <c r="A83" t="s">
        <v>461</v>
      </c>
    </row>
    <row r="84" spans="1:1" x14ac:dyDescent="0.35">
      <c r="A84" t="s">
        <v>462</v>
      </c>
    </row>
    <row r="85" spans="1:1" x14ac:dyDescent="0.35">
      <c r="A85" t="s">
        <v>463</v>
      </c>
    </row>
    <row r="86" spans="1:1" x14ac:dyDescent="0.35">
      <c r="A86" t="s">
        <v>464</v>
      </c>
    </row>
    <row r="87" spans="1:1" x14ac:dyDescent="0.35">
      <c r="A87" t="s">
        <v>465</v>
      </c>
    </row>
    <row r="88" spans="1:1" x14ac:dyDescent="0.35">
      <c r="A88" t="s">
        <v>466</v>
      </c>
    </row>
    <row r="89" spans="1:1" x14ac:dyDescent="0.35">
      <c r="A89" t="s">
        <v>467</v>
      </c>
    </row>
    <row r="90" spans="1:1" x14ac:dyDescent="0.35">
      <c r="A90" t="s">
        <v>468</v>
      </c>
    </row>
    <row r="91" spans="1:1" x14ac:dyDescent="0.35">
      <c r="A91" t="s">
        <v>469</v>
      </c>
    </row>
    <row r="92" spans="1:1" x14ac:dyDescent="0.35">
      <c r="A92" t="s">
        <v>470</v>
      </c>
    </row>
    <row r="93" spans="1:1" x14ac:dyDescent="0.35">
      <c r="A93" t="s">
        <v>471</v>
      </c>
    </row>
    <row r="94" spans="1:1" x14ac:dyDescent="0.35">
      <c r="A94" t="s">
        <v>472</v>
      </c>
    </row>
    <row r="95" spans="1:1" x14ac:dyDescent="0.35">
      <c r="A95" t="s">
        <v>473</v>
      </c>
    </row>
    <row r="96" spans="1:1" x14ac:dyDescent="0.35">
      <c r="A96" t="s">
        <v>474</v>
      </c>
    </row>
    <row r="97" spans="1:1" x14ac:dyDescent="0.35">
      <c r="A97" t="s">
        <v>475</v>
      </c>
    </row>
    <row r="98" spans="1:1" x14ac:dyDescent="0.35">
      <c r="A98" t="s">
        <v>476</v>
      </c>
    </row>
    <row r="99" spans="1:1" x14ac:dyDescent="0.35">
      <c r="A99" t="s">
        <v>477</v>
      </c>
    </row>
    <row r="100" spans="1:1" x14ac:dyDescent="0.35">
      <c r="A100" t="s">
        <v>478</v>
      </c>
    </row>
    <row r="101" spans="1:1" x14ac:dyDescent="0.35">
      <c r="A101" t="s">
        <v>479</v>
      </c>
    </row>
    <row r="102" spans="1:1" x14ac:dyDescent="0.35">
      <c r="A102" t="s">
        <v>480</v>
      </c>
    </row>
    <row r="103" spans="1:1" x14ac:dyDescent="0.35">
      <c r="A103" t="s">
        <v>481</v>
      </c>
    </row>
    <row r="104" spans="1:1" x14ac:dyDescent="0.35">
      <c r="A104" t="s">
        <v>482</v>
      </c>
    </row>
    <row r="105" spans="1:1" x14ac:dyDescent="0.35">
      <c r="A105" t="s">
        <v>483</v>
      </c>
    </row>
    <row r="106" spans="1:1" x14ac:dyDescent="0.35">
      <c r="A106" t="s">
        <v>484</v>
      </c>
    </row>
    <row r="107" spans="1:1" x14ac:dyDescent="0.35">
      <c r="A107" t="s">
        <v>485</v>
      </c>
    </row>
    <row r="108" spans="1:1" x14ac:dyDescent="0.35">
      <c r="A108" t="s">
        <v>486</v>
      </c>
    </row>
    <row r="109" spans="1:1" x14ac:dyDescent="0.35">
      <c r="A109" t="s">
        <v>487</v>
      </c>
    </row>
    <row r="110" spans="1:1" x14ac:dyDescent="0.35">
      <c r="A110" t="s">
        <v>488</v>
      </c>
    </row>
    <row r="111" spans="1:1" x14ac:dyDescent="0.35">
      <c r="A111" t="s">
        <v>489</v>
      </c>
    </row>
    <row r="112" spans="1:1" x14ac:dyDescent="0.35">
      <c r="A112" t="s">
        <v>490</v>
      </c>
    </row>
    <row r="113" spans="1:1" x14ac:dyDescent="0.35">
      <c r="A113" t="s">
        <v>491</v>
      </c>
    </row>
    <row r="114" spans="1:1" x14ac:dyDescent="0.35">
      <c r="A114" t="s">
        <v>492</v>
      </c>
    </row>
    <row r="115" spans="1:1" x14ac:dyDescent="0.35">
      <c r="A115" t="s">
        <v>493</v>
      </c>
    </row>
    <row r="116" spans="1:1" x14ac:dyDescent="0.35">
      <c r="A116" t="s">
        <v>494</v>
      </c>
    </row>
    <row r="117" spans="1:1" x14ac:dyDescent="0.35">
      <c r="A117" t="s">
        <v>495</v>
      </c>
    </row>
    <row r="118" spans="1:1" x14ac:dyDescent="0.35">
      <c r="A118" t="s">
        <v>496</v>
      </c>
    </row>
    <row r="119" spans="1:1" x14ac:dyDescent="0.35">
      <c r="A119" t="s">
        <v>497</v>
      </c>
    </row>
    <row r="120" spans="1:1" x14ac:dyDescent="0.35">
      <c r="A120" t="s">
        <v>498</v>
      </c>
    </row>
    <row r="121" spans="1:1" x14ac:dyDescent="0.35">
      <c r="A121" t="s">
        <v>499</v>
      </c>
    </row>
    <row r="122" spans="1:1" x14ac:dyDescent="0.35">
      <c r="A122" t="s">
        <v>500</v>
      </c>
    </row>
    <row r="123" spans="1:1" x14ac:dyDescent="0.35">
      <c r="A123" t="s">
        <v>501</v>
      </c>
    </row>
    <row r="124" spans="1:1" x14ac:dyDescent="0.35">
      <c r="A124" t="s">
        <v>502</v>
      </c>
    </row>
    <row r="125" spans="1:1" x14ac:dyDescent="0.35">
      <c r="A125" t="s">
        <v>503</v>
      </c>
    </row>
    <row r="126" spans="1:1" x14ac:dyDescent="0.35">
      <c r="A126" t="s">
        <v>504</v>
      </c>
    </row>
    <row r="127" spans="1:1" x14ac:dyDescent="0.35">
      <c r="A127" t="s">
        <v>505</v>
      </c>
    </row>
    <row r="128" spans="1:1" x14ac:dyDescent="0.35">
      <c r="A128" t="s">
        <v>506</v>
      </c>
    </row>
    <row r="129" spans="1:1" x14ac:dyDescent="0.35">
      <c r="A129" t="s">
        <v>507</v>
      </c>
    </row>
    <row r="130" spans="1:1" x14ac:dyDescent="0.35">
      <c r="A130" t="s">
        <v>508</v>
      </c>
    </row>
    <row r="131" spans="1:1" x14ac:dyDescent="0.35">
      <c r="A131" t="s">
        <v>509</v>
      </c>
    </row>
    <row r="132" spans="1:1" x14ac:dyDescent="0.35">
      <c r="A132" t="s">
        <v>510</v>
      </c>
    </row>
    <row r="133" spans="1:1" x14ac:dyDescent="0.35">
      <c r="A133" t="s">
        <v>511</v>
      </c>
    </row>
    <row r="134" spans="1:1" x14ac:dyDescent="0.35">
      <c r="A134" t="s">
        <v>512</v>
      </c>
    </row>
    <row r="135" spans="1:1" x14ac:dyDescent="0.35">
      <c r="A135" t="s">
        <v>513</v>
      </c>
    </row>
    <row r="136" spans="1:1" x14ac:dyDescent="0.35">
      <c r="A136" t="s">
        <v>514</v>
      </c>
    </row>
    <row r="137" spans="1:1" x14ac:dyDescent="0.35">
      <c r="A137" t="s">
        <v>515</v>
      </c>
    </row>
    <row r="138" spans="1:1" x14ac:dyDescent="0.35">
      <c r="A138" t="s">
        <v>516</v>
      </c>
    </row>
    <row r="139" spans="1:1" x14ac:dyDescent="0.35">
      <c r="A139" t="s">
        <v>517</v>
      </c>
    </row>
    <row r="140" spans="1:1" x14ac:dyDescent="0.35">
      <c r="A140" t="s">
        <v>518</v>
      </c>
    </row>
    <row r="141" spans="1:1" x14ac:dyDescent="0.35">
      <c r="A141" t="s">
        <v>519</v>
      </c>
    </row>
    <row r="142" spans="1:1" x14ac:dyDescent="0.35">
      <c r="A142" t="s">
        <v>520</v>
      </c>
    </row>
    <row r="143" spans="1:1" x14ac:dyDescent="0.35">
      <c r="A143" t="s">
        <v>521</v>
      </c>
    </row>
    <row r="144" spans="1:1" x14ac:dyDescent="0.35">
      <c r="A144" t="s">
        <v>522</v>
      </c>
    </row>
    <row r="145" spans="1:1" x14ac:dyDescent="0.35">
      <c r="A145" t="s">
        <v>523</v>
      </c>
    </row>
    <row r="146" spans="1:1" x14ac:dyDescent="0.35">
      <c r="A146" t="s">
        <v>524</v>
      </c>
    </row>
    <row r="147" spans="1:1" x14ac:dyDescent="0.35">
      <c r="A147" t="s">
        <v>525</v>
      </c>
    </row>
    <row r="148" spans="1:1" x14ac:dyDescent="0.35">
      <c r="A148" t="s">
        <v>526</v>
      </c>
    </row>
    <row r="149" spans="1:1" x14ac:dyDescent="0.35">
      <c r="A149" t="s">
        <v>527</v>
      </c>
    </row>
    <row r="150" spans="1:1" x14ac:dyDescent="0.35">
      <c r="A150" t="s">
        <v>528</v>
      </c>
    </row>
    <row r="151" spans="1:1" x14ac:dyDescent="0.35">
      <c r="A151" t="s">
        <v>529</v>
      </c>
    </row>
    <row r="152" spans="1:1" x14ac:dyDescent="0.35">
      <c r="A152" t="s">
        <v>530</v>
      </c>
    </row>
    <row r="153" spans="1:1" x14ac:dyDescent="0.35">
      <c r="A153" t="s">
        <v>531</v>
      </c>
    </row>
    <row r="154" spans="1:1" x14ac:dyDescent="0.35">
      <c r="A154" t="s">
        <v>532</v>
      </c>
    </row>
    <row r="155" spans="1:1" x14ac:dyDescent="0.35">
      <c r="A155" t="s">
        <v>533</v>
      </c>
    </row>
    <row r="156" spans="1:1" x14ac:dyDescent="0.35">
      <c r="A156" t="s">
        <v>534</v>
      </c>
    </row>
    <row r="157" spans="1:1" x14ac:dyDescent="0.35">
      <c r="A157" t="s">
        <v>535</v>
      </c>
    </row>
    <row r="158" spans="1:1" x14ac:dyDescent="0.35">
      <c r="A158" t="s">
        <v>536</v>
      </c>
    </row>
    <row r="159" spans="1:1" x14ac:dyDescent="0.35">
      <c r="A159" t="s">
        <v>537</v>
      </c>
    </row>
    <row r="160" spans="1:1" x14ac:dyDescent="0.35">
      <c r="A160" t="s">
        <v>538</v>
      </c>
    </row>
    <row r="161" spans="1:1" x14ac:dyDescent="0.35">
      <c r="A161" t="s">
        <v>539</v>
      </c>
    </row>
    <row r="162" spans="1:1" x14ac:dyDescent="0.35">
      <c r="A162" t="s">
        <v>540</v>
      </c>
    </row>
    <row r="163" spans="1:1" x14ac:dyDescent="0.35">
      <c r="A163" t="s">
        <v>541</v>
      </c>
    </row>
    <row r="164" spans="1:1" x14ac:dyDescent="0.35">
      <c r="A164" t="s">
        <v>542</v>
      </c>
    </row>
    <row r="165" spans="1:1" x14ac:dyDescent="0.35">
      <c r="A165" t="s">
        <v>543</v>
      </c>
    </row>
    <row r="166" spans="1:1" x14ac:dyDescent="0.35">
      <c r="A166" t="s">
        <v>544</v>
      </c>
    </row>
    <row r="167" spans="1:1" x14ac:dyDescent="0.35">
      <c r="A167" t="s">
        <v>545</v>
      </c>
    </row>
    <row r="168" spans="1:1" x14ac:dyDescent="0.35">
      <c r="A168" t="s">
        <v>546</v>
      </c>
    </row>
    <row r="169" spans="1:1" x14ac:dyDescent="0.35">
      <c r="A169" t="s">
        <v>547</v>
      </c>
    </row>
    <row r="170" spans="1:1" x14ac:dyDescent="0.35">
      <c r="A170" t="s">
        <v>548</v>
      </c>
    </row>
    <row r="171" spans="1:1" x14ac:dyDescent="0.35">
      <c r="A171" t="s">
        <v>549</v>
      </c>
    </row>
    <row r="172" spans="1:1" x14ac:dyDescent="0.35">
      <c r="A172" t="s">
        <v>550</v>
      </c>
    </row>
    <row r="173" spans="1:1" x14ac:dyDescent="0.35">
      <c r="A173" t="s">
        <v>551</v>
      </c>
    </row>
    <row r="174" spans="1:1" x14ac:dyDescent="0.35">
      <c r="A174" t="s">
        <v>552</v>
      </c>
    </row>
    <row r="175" spans="1:1" x14ac:dyDescent="0.35">
      <c r="A175" t="s">
        <v>553</v>
      </c>
    </row>
    <row r="176" spans="1:1" x14ac:dyDescent="0.35">
      <c r="A176" t="s">
        <v>554</v>
      </c>
    </row>
    <row r="177" spans="1:1" x14ac:dyDescent="0.35">
      <c r="A177" t="s">
        <v>555</v>
      </c>
    </row>
    <row r="178" spans="1:1" x14ac:dyDescent="0.35">
      <c r="A178" t="s">
        <v>556</v>
      </c>
    </row>
    <row r="179" spans="1:1" x14ac:dyDescent="0.35">
      <c r="A179" t="s">
        <v>557</v>
      </c>
    </row>
    <row r="180" spans="1:1" x14ac:dyDescent="0.35">
      <c r="A180" t="s">
        <v>558</v>
      </c>
    </row>
    <row r="181" spans="1:1" x14ac:dyDescent="0.35">
      <c r="A181" t="s">
        <v>559</v>
      </c>
    </row>
    <row r="182" spans="1:1" x14ac:dyDescent="0.35">
      <c r="A182" t="s">
        <v>560</v>
      </c>
    </row>
    <row r="183" spans="1:1" x14ac:dyDescent="0.35">
      <c r="A183" t="s">
        <v>561</v>
      </c>
    </row>
    <row r="184" spans="1:1" x14ac:dyDescent="0.35">
      <c r="A184" t="s">
        <v>562</v>
      </c>
    </row>
    <row r="185" spans="1:1" x14ac:dyDescent="0.35">
      <c r="A185" t="s">
        <v>563</v>
      </c>
    </row>
    <row r="186" spans="1:1" x14ac:dyDescent="0.35">
      <c r="A186" t="s">
        <v>564</v>
      </c>
    </row>
    <row r="187" spans="1:1" x14ac:dyDescent="0.35">
      <c r="A187" t="s">
        <v>565</v>
      </c>
    </row>
    <row r="188" spans="1:1" x14ac:dyDescent="0.35">
      <c r="A188" t="s">
        <v>566</v>
      </c>
    </row>
    <row r="189" spans="1:1" x14ac:dyDescent="0.35">
      <c r="A189" t="s">
        <v>567</v>
      </c>
    </row>
    <row r="190" spans="1:1" x14ac:dyDescent="0.35">
      <c r="A190" t="s">
        <v>568</v>
      </c>
    </row>
    <row r="191" spans="1:1" x14ac:dyDescent="0.35">
      <c r="A191" t="s">
        <v>569</v>
      </c>
    </row>
    <row r="192" spans="1:1" x14ac:dyDescent="0.35">
      <c r="A192" t="s">
        <v>570</v>
      </c>
    </row>
    <row r="193" spans="1:1" x14ac:dyDescent="0.35">
      <c r="A193" t="s">
        <v>571</v>
      </c>
    </row>
    <row r="194" spans="1:1" x14ac:dyDescent="0.35">
      <c r="A194" t="s">
        <v>572</v>
      </c>
    </row>
    <row r="195" spans="1:1" x14ac:dyDescent="0.35">
      <c r="A195" t="s">
        <v>573</v>
      </c>
    </row>
    <row r="196" spans="1:1" x14ac:dyDescent="0.35">
      <c r="A196" t="s">
        <v>574</v>
      </c>
    </row>
    <row r="197" spans="1:1" x14ac:dyDescent="0.35">
      <c r="A197" t="s">
        <v>575</v>
      </c>
    </row>
    <row r="198" spans="1:1" x14ac:dyDescent="0.35">
      <c r="A198" t="s">
        <v>576</v>
      </c>
    </row>
    <row r="199" spans="1:1" x14ac:dyDescent="0.35">
      <c r="A199" t="s">
        <v>577</v>
      </c>
    </row>
    <row r="200" spans="1:1" x14ac:dyDescent="0.35">
      <c r="A200" t="s">
        <v>578</v>
      </c>
    </row>
    <row r="201" spans="1:1" x14ac:dyDescent="0.35">
      <c r="A201" t="s">
        <v>579</v>
      </c>
    </row>
    <row r="202" spans="1:1" x14ac:dyDescent="0.35">
      <c r="A202" t="s">
        <v>580</v>
      </c>
    </row>
    <row r="203" spans="1:1" x14ac:dyDescent="0.35">
      <c r="A203" t="s">
        <v>581</v>
      </c>
    </row>
    <row r="204" spans="1:1" x14ac:dyDescent="0.35">
      <c r="A204" t="s">
        <v>582</v>
      </c>
    </row>
    <row r="205" spans="1:1" x14ac:dyDescent="0.35">
      <c r="A205" t="s">
        <v>583</v>
      </c>
    </row>
    <row r="206" spans="1:1" x14ac:dyDescent="0.35">
      <c r="A206" t="s">
        <v>584</v>
      </c>
    </row>
    <row r="207" spans="1:1" x14ac:dyDescent="0.35">
      <c r="A207" t="s">
        <v>585</v>
      </c>
    </row>
    <row r="208" spans="1:1" x14ac:dyDescent="0.35">
      <c r="A208" t="s">
        <v>586</v>
      </c>
    </row>
    <row r="209" spans="1:1" x14ac:dyDescent="0.35">
      <c r="A209" t="s">
        <v>587</v>
      </c>
    </row>
    <row r="210" spans="1:1" x14ac:dyDescent="0.35">
      <c r="A210" t="s">
        <v>588</v>
      </c>
    </row>
    <row r="211" spans="1:1" x14ac:dyDescent="0.35">
      <c r="A211" t="s">
        <v>589</v>
      </c>
    </row>
    <row r="212" spans="1:1" x14ac:dyDescent="0.35">
      <c r="A212" t="s">
        <v>590</v>
      </c>
    </row>
    <row r="213" spans="1:1" x14ac:dyDescent="0.35">
      <c r="A213" t="s">
        <v>591</v>
      </c>
    </row>
    <row r="214" spans="1:1" x14ac:dyDescent="0.35">
      <c r="A214" t="s">
        <v>592</v>
      </c>
    </row>
    <row r="215" spans="1:1" x14ac:dyDescent="0.35">
      <c r="A215" t="s">
        <v>593</v>
      </c>
    </row>
    <row r="216" spans="1:1" x14ac:dyDescent="0.35">
      <c r="A216" t="s">
        <v>594</v>
      </c>
    </row>
    <row r="217" spans="1:1" x14ac:dyDescent="0.35">
      <c r="A217" t="s">
        <v>595</v>
      </c>
    </row>
    <row r="218" spans="1:1" x14ac:dyDescent="0.35">
      <c r="A218" t="s">
        <v>596</v>
      </c>
    </row>
    <row r="219" spans="1:1" x14ac:dyDescent="0.35">
      <c r="A219" t="s">
        <v>597</v>
      </c>
    </row>
    <row r="220" spans="1:1" x14ac:dyDescent="0.35">
      <c r="A220" t="s">
        <v>598</v>
      </c>
    </row>
    <row r="221" spans="1:1" x14ac:dyDescent="0.35">
      <c r="A221" t="s">
        <v>599</v>
      </c>
    </row>
    <row r="222" spans="1:1" x14ac:dyDescent="0.35">
      <c r="A222" t="s">
        <v>600</v>
      </c>
    </row>
    <row r="223" spans="1:1" x14ac:dyDescent="0.35">
      <c r="A223" t="s">
        <v>601</v>
      </c>
    </row>
    <row r="224" spans="1:1" x14ac:dyDescent="0.35">
      <c r="A224" t="s">
        <v>602</v>
      </c>
    </row>
    <row r="225" spans="1:1" x14ac:dyDescent="0.35">
      <c r="A225" t="s">
        <v>603</v>
      </c>
    </row>
    <row r="226" spans="1:1" x14ac:dyDescent="0.35">
      <c r="A226" t="s">
        <v>604</v>
      </c>
    </row>
    <row r="227" spans="1:1" x14ac:dyDescent="0.35">
      <c r="A227" t="s">
        <v>605</v>
      </c>
    </row>
    <row r="228" spans="1:1" x14ac:dyDescent="0.35">
      <c r="A228" t="s">
        <v>606</v>
      </c>
    </row>
    <row r="229" spans="1:1" x14ac:dyDescent="0.35">
      <c r="A229" t="s">
        <v>607</v>
      </c>
    </row>
    <row r="230" spans="1:1" x14ac:dyDescent="0.35">
      <c r="A230" t="s">
        <v>608</v>
      </c>
    </row>
    <row r="231" spans="1:1" x14ac:dyDescent="0.35">
      <c r="A231" t="s">
        <v>609</v>
      </c>
    </row>
    <row r="232" spans="1:1" x14ac:dyDescent="0.35">
      <c r="A232" t="s">
        <v>610</v>
      </c>
    </row>
    <row r="233" spans="1:1" x14ac:dyDescent="0.35">
      <c r="A233" t="s">
        <v>611</v>
      </c>
    </row>
    <row r="234" spans="1:1" x14ac:dyDescent="0.35">
      <c r="A234" t="s">
        <v>612</v>
      </c>
    </row>
    <row r="235" spans="1:1" x14ac:dyDescent="0.35">
      <c r="A235" t="s">
        <v>613</v>
      </c>
    </row>
    <row r="236" spans="1:1" x14ac:dyDescent="0.35">
      <c r="A236" t="s">
        <v>614</v>
      </c>
    </row>
    <row r="237" spans="1:1" x14ac:dyDescent="0.35">
      <c r="A237" t="s">
        <v>615</v>
      </c>
    </row>
    <row r="238" spans="1:1" x14ac:dyDescent="0.35">
      <c r="A238" t="s">
        <v>616</v>
      </c>
    </row>
    <row r="239" spans="1:1" x14ac:dyDescent="0.35">
      <c r="A239" t="s">
        <v>617</v>
      </c>
    </row>
    <row r="240" spans="1:1" x14ac:dyDescent="0.35">
      <c r="A240" t="s">
        <v>618</v>
      </c>
    </row>
    <row r="241" spans="1:1" x14ac:dyDescent="0.35">
      <c r="A241" t="s">
        <v>619</v>
      </c>
    </row>
    <row r="242" spans="1:1" x14ac:dyDescent="0.35">
      <c r="A242" t="s">
        <v>620</v>
      </c>
    </row>
    <row r="243" spans="1:1" x14ac:dyDescent="0.35">
      <c r="A243" t="s">
        <v>621</v>
      </c>
    </row>
    <row r="244" spans="1:1" x14ac:dyDescent="0.35">
      <c r="A244" t="s">
        <v>622</v>
      </c>
    </row>
    <row r="245" spans="1:1" x14ac:dyDescent="0.35">
      <c r="A245" t="s">
        <v>623</v>
      </c>
    </row>
    <row r="246" spans="1:1" x14ac:dyDescent="0.35">
      <c r="A246" t="s">
        <v>624</v>
      </c>
    </row>
    <row r="247" spans="1:1" x14ac:dyDescent="0.35">
      <c r="A247" t="s">
        <v>625</v>
      </c>
    </row>
    <row r="248" spans="1:1" x14ac:dyDescent="0.35">
      <c r="A248" t="s">
        <v>626</v>
      </c>
    </row>
    <row r="249" spans="1:1" x14ac:dyDescent="0.35">
      <c r="A249" t="s">
        <v>627</v>
      </c>
    </row>
    <row r="250" spans="1:1" x14ac:dyDescent="0.35">
      <c r="A250" t="s">
        <v>628</v>
      </c>
    </row>
    <row r="251" spans="1:1" x14ac:dyDescent="0.35">
      <c r="A251" t="s">
        <v>629</v>
      </c>
    </row>
    <row r="252" spans="1:1" x14ac:dyDescent="0.35">
      <c r="A252" t="s">
        <v>630</v>
      </c>
    </row>
    <row r="253" spans="1:1" x14ac:dyDescent="0.35">
      <c r="A253" t="s">
        <v>631</v>
      </c>
    </row>
    <row r="254" spans="1:1" x14ac:dyDescent="0.35">
      <c r="A254" t="s">
        <v>632</v>
      </c>
    </row>
    <row r="255" spans="1:1" x14ac:dyDescent="0.35">
      <c r="A255" t="s">
        <v>633</v>
      </c>
    </row>
    <row r="256" spans="1:1" x14ac:dyDescent="0.35">
      <c r="A256" t="s">
        <v>634</v>
      </c>
    </row>
    <row r="257" spans="1:1" x14ac:dyDescent="0.35">
      <c r="A257" t="s">
        <v>635</v>
      </c>
    </row>
    <row r="258" spans="1:1" x14ac:dyDescent="0.35">
      <c r="A258" t="s">
        <v>636</v>
      </c>
    </row>
    <row r="259" spans="1:1" x14ac:dyDescent="0.35">
      <c r="A259" t="s">
        <v>637</v>
      </c>
    </row>
    <row r="260" spans="1:1" x14ac:dyDescent="0.35">
      <c r="A260" t="s">
        <v>638</v>
      </c>
    </row>
    <row r="261" spans="1:1" x14ac:dyDescent="0.35">
      <c r="A261" t="s">
        <v>639</v>
      </c>
    </row>
    <row r="262" spans="1:1" x14ac:dyDescent="0.35">
      <c r="A262" t="s">
        <v>640</v>
      </c>
    </row>
    <row r="263" spans="1:1" x14ac:dyDescent="0.35">
      <c r="A263" t="s">
        <v>641</v>
      </c>
    </row>
    <row r="264" spans="1:1" x14ac:dyDescent="0.35">
      <c r="A264" t="s">
        <v>642</v>
      </c>
    </row>
    <row r="265" spans="1:1" x14ac:dyDescent="0.35">
      <c r="A265" t="s">
        <v>643</v>
      </c>
    </row>
    <row r="266" spans="1:1" x14ac:dyDescent="0.35">
      <c r="A266" t="s">
        <v>644</v>
      </c>
    </row>
    <row r="267" spans="1:1" x14ac:dyDescent="0.35">
      <c r="A267" t="s">
        <v>645</v>
      </c>
    </row>
    <row r="268" spans="1:1" x14ac:dyDescent="0.35">
      <c r="A268" t="s">
        <v>646</v>
      </c>
    </row>
    <row r="269" spans="1:1" x14ac:dyDescent="0.35">
      <c r="A269" t="s">
        <v>647</v>
      </c>
    </row>
    <row r="270" spans="1:1" x14ac:dyDescent="0.35">
      <c r="A270" t="s">
        <v>648</v>
      </c>
    </row>
    <row r="271" spans="1:1" x14ac:dyDescent="0.35">
      <c r="A271" t="s">
        <v>649</v>
      </c>
    </row>
    <row r="272" spans="1:1" x14ac:dyDescent="0.35">
      <c r="A272" t="s">
        <v>650</v>
      </c>
    </row>
    <row r="273" spans="1:1" x14ac:dyDescent="0.35">
      <c r="A273" t="s">
        <v>651</v>
      </c>
    </row>
    <row r="274" spans="1:1" x14ac:dyDescent="0.35">
      <c r="A274" t="s">
        <v>652</v>
      </c>
    </row>
    <row r="275" spans="1:1" x14ac:dyDescent="0.35">
      <c r="A275" t="s">
        <v>653</v>
      </c>
    </row>
    <row r="276" spans="1:1" x14ac:dyDescent="0.35">
      <c r="A276" t="s">
        <v>654</v>
      </c>
    </row>
    <row r="277" spans="1:1" x14ac:dyDescent="0.35">
      <c r="A277" t="s">
        <v>655</v>
      </c>
    </row>
    <row r="278" spans="1:1" x14ac:dyDescent="0.35">
      <c r="A278" t="s">
        <v>656</v>
      </c>
    </row>
    <row r="279" spans="1:1" x14ac:dyDescent="0.35">
      <c r="A279" t="s">
        <v>657</v>
      </c>
    </row>
    <row r="280" spans="1:1" x14ac:dyDescent="0.35">
      <c r="A280" t="s">
        <v>658</v>
      </c>
    </row>
    <row r="281" spans="1:1" x14ac:dyDescent="0.35">
      <c r="A281" t="s">
        <v>659</v>
      </c>
    </row>
    <row r="282" spans="1:1" x14ac:dyDescent="0.35">
      <c r="A282" t="s">
        <v>660</v>
      </c>
    </row>
    <row r="283" spans="1:1" x14ac:dyDescent="0.35">
      <c r="A283" t="s">
        <v>661</v>
      </c>
    </row>
    <row r="284" spans="1:1" x14ac:dyDescent="0.35">
      <c r="A284" t="s">
        <v>662</v>
      </c>
    </row>
    <row r="285" spans="1:1" x14ac:dyDescent="0.35">
      <c r="A285" t="s">
        <v>663</v>
      </c>
    </row>
    <row r="286" spans="1:1" x14ac:dyDescent="0.35">
      <c r="A286" t="s">
        <v>664</v>
      </c>
    </row>
    <row r="287" spans="1:1" x14ac:dyDescent="0.35">
      <c r="A287" t="s">
        <v>665</v>
      </c>
    </row>
    <row r="288" spans="1:1" x14ac:dyDescent="0.35">
      <c r="A288" t="s">
        <v>666</v>
      </c>
    </row>
    <row r="289" spans="1:1" x14ac:dyDescent="0.35">
      <c r="A289" t="s">
        <v>667</v>
      </c>
    </row>
    <row r="290" spans="1:1" x14ac:dyDescent="0.35">
      <c r="A290" t="s">
        <v>668</v>
      </c>
    </row>
    <row r="291" spans="1:1" x14ac:dyDescent="0.35">
      <c r="A291" t="s">
        <v>669</v>
      </c>
    </row>
    <row r="292" spans="1:1" x14ac:dyDescent="0.35">
      <c r="A292" t="s">
        <v>670</v>
      </c>
    </row>
    <row r="293" spans="1:1" x14ac:dyDescent="0.35">
      <c r="A293" t="s">
        <v>671</v>
      </c>
    </row>
    <row r="294" spans="1:1" x14ac:dyDescent="0.35">
      <c r="A294" t="s">
        <v>672</v>
      </c>
    </row>
    <row r="295" spans="1:1" x14ac:dyDescent="0.35">
      <c r="A295" t="s">
        <v>673</v>
      </c>
    </row>
    <row r="296" spans="1:1" x14ac:dyDescent="0.35">
      <c r="A296" t="s">
        <v>674</v>
      </c>
    </row>
    <row r="297" spans="1:1" x14ac:dyDescent="0.35">
      <c r="A297" t="s">
        <v>675</v>
      </c>
    </row>
    <row r="298" spans="1:1" x14ac:dyDescent="0.35">
      <c r="A298" t="s">
        <v>676</v>
      </c>
    </row>
    <row r="299" spans="1:1" x14ac:dyDescent="0.35">
      <c r="A299" t="s">
        <v>677</v>
      </c>
    </row>
    <row r="300" spans="1:1" x14ac:dyDescent="0.35">
      <c r="A300" t="s">
        <v>678</v>
      </c>
    </row>
    <row r="301" spans="1:1" x14ac:dyDescent="0.35">
      <c r="A301" t="s">
        <v>679</v>
      </c>
    </row>
    <row r="302" spans="1:1" x14ac:dyDescent="0.35">
      <c r="A302" t="s">
        <v>680</v>
      </c>
    </row>
    <row r="303" spans="1:1" x14ac:dyDescent="0.35">
      <c r="A303" t="s">
        <v>681</v>
      </c>
    </row>
    <row r="304" spans="1:1" x14ac:dyDescent="0.35">
      <c r="A304" t="s">
        <v>682</v>
      </c>
    </row>
    <row r="305" spans="1:1" x14ac:dyDescent="0.35">
      <c r="A305" t="s">
        <v>683</v>
      </c>
    </row>
    <row r="306" spans="1:1" x14ac:dyDescent="0.35">
      <c r="A306" t="s">
        <v>684</v>
      </c>
    </row>
    <row r="307" spans="1:1" x14ac:dyDescent="0.35">
      <c r="A307" t="s">
        <v>685</v>
      </c>
    </row>
    <row r="308" spans="1:1" x14ac:dyDescent="0.35">
      <c r="A308" t="s">
        <v>686</v>
      </c>
    </row>
    <row r="309" spans="1:1" x14ac:dyDescent="0.35">
      <c r="A309" t="s">
        <v>687</v>
      </c>
    </row>
    <row r="310" spans="1:1" x14ac:dyDescent="0.35">
      <c r="A310" t="s">
        <v>688</v>
      </c>
    </row>
    <row r="311" spans="1:1" x14ac:dyDescent="0.35">
      <c r="A311" t="s">
        <v>689</v>
      </c>
    </row>
    <row r="312" spans="1:1" x14ac:dyDescent="0.35">
      <c r="A312" t="s">
        <v>690</v>
      </c>
    </row>
    <row r="313" spans="1:1" x14ac:dyDescent="0.35">
      <c r="A313" t="s">
        <v>691</v>
      </c>
    </row>
    <row r="314" spans="1:1" x14ac:dyDescent="0.35">
      <c r="A314" t="s">
        <v>692</v>
      </c>
    </row>
    <row r="315" spans="1:1" x14ac:dyDescent="0.35">
      <c r="A315" t="s">
        <v>693</v>
      </c>
    </row>
    <row r="316" spans="1:1" x14ac:dyDescent="0.35">
      <c r="A316" t="s">
        <v>694</v>
      </c>
    </row>
    <row r="317" spans="1:1" x14ac:dyDescent="0.35">
      <c r="A317" t="s">
        <v>695</v>
      </c>
    </row>
    <row r="318" spans="1:1" x14ac:dyDescent="0.35">
      <c r="A318" t="s">
        <v>696</v>
      </c>
    </row>
    <row r="319" spans="1:1" x14ac:dyDescent="0.35">
      <c r="A319" t="s">
        <v>697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DEB0E-836E-4A75-8962-773C36F7F51C}">
  <dimension ref="D1:L69"/>
  <sheetViews>
    <sheetView topLeftCell="A31" workbookViewId="0">
      <selection activeCell="K33" sqref="K33"/>
    </sheetView>
  </sheetViews>
  <sheetFormatPr defaultRowHeight="14.5" x14ac:dyDescent="0.35"/>
  <cols>
    <col min="1" max="1" width="3.453125" customWidth="1"/>
    <col min="2" max="2" width="11.7265625" bestFit="1" customWidth="1"/>
    <col min="3" max="3" width="7.453125" customWidth="1"/>
    <col min="4" max="4" width="11.1796875" bestFit="1" customWidth="1"/>
    <col min="5" max="6" width="3" bestFit="1" customWidth="1"/>
    <col min="7" max="7" width="3.453125" bestFit="1" customWidth="1"/>
    <col min="8" max="8" width="5.453125" bestFit="1" customWidth="1"/>
    <col min="9" max="9" width="28" bestFit="1" customWidth="1"/>
    <col min="10" max="10" width="18.1796875" bestFit="1" customWidth="1"/>
    <col min="11" max="11" width="85.81640625" bestFit="1" customWidth="1"/>
    <col min="12" max="12" width="11.1796875" bestFit="1" customWidth="1"/>
  </cols>
  <sheetData>
    <row r="1" spans="4:12" x14ac:dyDescent="0.35">
      <c r="K1" s="23"/>
    </row>
    <row r="2" spans="4:12" x14ac:dyDescent="0.35">
      <c r="D2" s="2" t="s">
        <v>19</v>
      </c>
      <c r="E2" s="3">
        <v>99</v>
      </c>
      <c r="F2" s="4">
        <v>25</v>
      </c>
      <c r="G2" s="5">
        <v>3</v>
      </c>
      <c r="H2" s="5">
        <v>110</v>
      </c>
      <c r="I2" s="7" t="s">
        <v>5</v>
      </c>
      <c r="J2" s="7" t="s">
        <v>289</v>
      </c>
      <c r="K2" s="7" t="s">
        <v>293</v>
      </c>
      <c r="L2" s="2" t="s">
        <v>19</v>
      </c>
    </row>
    <row r="3" spans="4:12" x14ac:dyDescent="0.35">
      <c r="D3" s="2" t="s">
        <v>21</v>
      </c>
      <c r="E3" s="3">
        <v>99</v>
      </c>
      <c r="F3" s="4">
        <v>25</v>
      </c>
      <c r="G3" s="5">
        <v>3</v>
      </c>
      <c r="H3" s="5">
        <v>120</v>
      </c>
      <c r="I3" s="7" t="s">
        <v>5</v>
      </c>
      <c r="J3" s="7" t="s">
        <v>289</v>
      </c>
      <c r="K3" s="7" t="s">
        <v>294</v>
      </c>
      <c r="L3" s="2" t="s">
        <v>21</v>
      </c>
    </row>
    <row r="4" spans="4:12" x14ac:dyDescent="0.35">
      <c r="D4" s="2" t="s">
        <v>22</v>
      </c>
      <c r="E4" s="3">
        <v>99</v>
      </c>
      <c r="F4" s="4">
        <v>25</v>
      </c>
      <c r="G4" s="5">
        <v>3</v>
      </c>
      <c r="H4" s="5">
        <v>130</v>
      </c>
      <c r="I4" s="7" t="s">
        <v>5</v>
      </c>
      <c r="J4" s="7" t="s">
        <v>289</v>
      </c>
      <c r="K4" s="7" t="s">
        <v>295</v>
      </c>
      <c r="L4" s="2" t="s">
        <v>22</v>
      </c>
    </row>
    <row r="5" spans="4:12" x14ac:dyDescent="0.35">
      <c r="D5" s="2" t="s">
        <v>1066</v>
      </c>
      <c r="E5" s="3">
        <v>99</v>
      </c>
      <c r="F5" s="4">
        <v>25</v>
      </c>
      <c r="G5" s="5">
        <v>4</v>
      </c>
      <c r="H5" s="5">
        <v>200</v>
      </c>
      <c r="I5" s="7" t="s">
        <v>5</v>
      </c>
      <c r="J5" s="7" t="s">
        <v>29</v>
      </c>
      <c r="K5" s="7" t="s">
        <v>1053</v>
      </c>
      <c r="L5" s="2" t="s">
        <v>1066</v>
      </c>
    </row>
    <row r="6" spans="4:12" x14ac:dyDescent="0.35">
      <c r="D6" s="2" t="s">
        <v>66</v>
      </c>
      <c r="E6" s="3">
        <v>99</v>
      </c>
      <c r="F6" s="4">
        <v>25</v>
      </c>
      <c r="G6" s="5">
        <v>5</v>
      </c>
      <c r="H6" s="5">
        <v>610</v>
      </c>
      <c r="I6" s="7" t="s">
        <v>5</v>
      </c>
      <c r="J6" s="7" t="s">
        <v>290</v>
      </c>
      <c r="K6" s="7" t="s">
        <v>68</v>
      </c>
      <c r="L6" s="2" t="s">
        <v>66</v>
      </c>
    </row>
    <row r="7" spans="4:12" x14ac:dyDescent="0.35">
      <c r="D7" s="2" t="s">
        <v>71</v>
      </c>
      <c r="E7" s="3">
        <v>99</v>
      </c>
      <c r="F7" s="4">
        <v>25</v>
      </c>
      <c r="G7" s="5">
        <v>5</v>
      </c>
      <c r="H7" s="5">
        <v>640</v>
      </c>
      <c r="I7" s="7" t="s">
        <v>5</v>
      </c>
      <c r="J7" s="7" t="s">
        <v>291</v>
      </c>
      <c r="K7" s="7" t="s">
        <v>296</v>
      </c>
      <c r="L7" s="2" t="s">
        <v>71</v>
      </c>
    </row>
    <row r="8" spans="4:12" x14ac:dyDescent="0.35">
      <c r="D8" s="2" t="s">
        <v>73</v>
      </c>
      <c r="E8" s="3">
        <v>99</v>
      </c>
      <c r="F8" s="4">
        <v>25</v>
      </c>
      <c r="G8" s="5">
        <v>5</v>
      </c>
      <c r="H8" s="5">
        <v>650</v>
      </c>
      <c r="I8" s="7" t="s">
        <v>5</v>
      </c>
      <c r="J8" s="7" t="s">
        <v>292</v>
      </c>
      <c r="K8" s="7" t="s">
        <v>74</v>
      </c>
      <c r="L8" s="2" t="s">
        <v>73</v>
      </c>
    </row>
    <row r="9" spans="4:12" x14ac:dyDescent="0.35">
      <c r="D9" s="2" t="s">
        <v>83</v>
      </c>
      <c r="E9" s="3">
        <v>99</v>
      </c>
      <c r="F9" s="4">
        <v>25</v>
      </c>
      <c r="G9" s="5">
        <v>7</v>
      </c>
      <c r="H9" s="5">
        <v>322</v>
      </c>
      <c r="I9" s="7" t="s">
        <v>5</v>
      </c>
      <c r="J9" s="7" t="s">
        <v>77</v>
      </c>
      <c r="K9" s="7" t="s">
        <v>313</v>
      </c>
      <c r="L9" s="2" t="s">
        <v>83</v>
      </c>
    </row>
    <row r="10" spans="4:12" x14ac:dyDescent="0.35">
      <c r="D10" s="2" t="s">
        <v>85</v>
      </c>
      <c r="E10" s="3">
        <v>99</v>
      </c>
      <c r="F10" s="4">
        <v>25</v>
      </c>
      <c r="G10" s="5">
        <v>7</v>
      </c>
      <c r="H10" s="5">
        <v>330</v>
      </c>
      <c r="I10" s="7" t="s">
        <v>5</v>
      </c>
      <c r="J10" s="7" t="s">
        <v>77</v>
      </c>
      <c r="K10" s="7" t="s">
        <v>303</v>
      </c>
      <c r="L10" s="2" t="s">
        <v>85</v>
      </c>
    </row>
    <row r="11" spans="4:12" x14ac:dyDescent="0.35">
      <c r="D11" s="2" t="s">
        <v>87</v>
      </c>
      <c r="E11" s="3">
        <v>99</v>
      </c>
      <c r="F11" s="4">
        <v>25</v>
      </c>
      <c r="G11" s="5">
        <v>7</v>
      </c>
      <c r="H11" s="5">
        <v>340</v>
      </c>
      <c r="I11" s="7" t="s">
        <v>5</v>
      </c>
      <c r="J11" s="7" t="s">
        <v>77</v>
      </c>
      <c r="K11" s="7" t="s">
        <v>304</v>
      </c>
      <c r="L11" s="2" t="s">
        <v>87</v>
      </c>
    </row>
    <row r="12" spans="4:12" x14ac:dyDescent="0.35">
      <c r="D12" s="2" t="s">
        <v>89</v>
      </c>
      <c r="E12" s="3">
        <v>99</v>
      </c>
      <c r="F12" s="4">
        <v>25</v>
      </c>
      <c r="G12" s="5">
        <v>7</v>
      </c>
      <c r="H12" s="5">
        <v>350</v>
      </c>
      <c r="I12" s="7" t="s">
        <v>5</v>
      </c>
      <c r="J12" s="7" t="s">
        <v>77</v>
      </c>
      <c r="K12" s="7" t="s">
        <v>305</v>
      </c>
      <c r="L12" s="2" t="s">
        <v>89</v>
      </c>
    </row>
    <row r="13" spans="4:12" x14ac:dyDescent="0.35">
      <c r="D13" s="2" t="s">
        <v>91</v>
      </c>
      <c r="E13" s="3">
        <v>99</v>
      </c>
      <c r="F13" s="4">
        <v>25</v>
      </c>
      <c r="G13" s="5">
        <v>7</v>
      </c>
      <c r="H13" s="5">
        <v>352</v>
      </c>
      <c r="I13" s="7" t="s">
        <v>5</v>
      </c>
      <c r="J13" s="7" t="s">
        <v>77</v>
      </c>
      <c r="K13" s="7" t="s">
        <v>306</v>
      </c>
      <c r="L13" s="2" t="s">
        <v>91</v>
      </c>
    </row>
    <row r="14" spans="4:12" x14ac:dyDescent="0.35">
      <c r="D14" s="2" t="s">
        <v>95</v>
      </c>
      <c r="E14" s="3">
        <v>99</v>
      </c>
      <c r="F14" s="4">
        <v>25</v>
      </c>
      <c r="G14" s="5">
        <v>7</v>
      </c>
      <c r="H14" s="5">
        <v>431</v>
      </c>
      <c r="I14" s="7" t="s">
        <v>5</v>
      </c>
      <c r="J14" s="7" t="s">
        <v>77</v>
      </c>
      <c r="K14" s="7" t="s">
        <v>314</v>
      </c>
      <c r="L14" s="2" t="s">
        <v>95</v>
      </c>
    </row>
    <row r="15" spans="4:12" x14ac:dyDescent="0.35">
      <c r="D15" s="2" t="s">
        <v>97</v>
      </c>
      <c r="E15" s="3">
        <v>99</v>
      </c>
      <c r="F15" s="4">
        <v>25</v>
      </c>
      <c r="G15" s="5">
        <v>7</v>
      </c>
      <c r="H15" s="5">
        <v>432</v>
      </c>
      <c r="I15" s="7" t="s">
        <v>5</v>
      </c>
      <c r="J15" s="7" t="s">
        <v>77</v>
      </c>
      <c r="K15" s="7" t="s">
        <v>309</v>
      </c>
      <c r="L15" s="2" t="s">
        <v>97</v>
      </c>
    </row>
    <row r="16" spans="4:12" x14ac:dyDescent="0.35">
      <c r="D16" s="2" t="s">
        <v>99</v>
      </c>
      <c r="E16" s="3">
        <v>99</v>
      </c>
      <c r="F16" s="4">
        <v>25</v>
      </c>
      <c r="G16" s="5">
        <v>7</v>
      </c>
      <c r="H16" s="5">
        <v>442</v>
      </c>
      <c r="I16" s="7" t="s">
        <v>5</v>
      </c>
      <c r="J16" s="7" t="s">
        <v>77</v>
      </c>
      <c r="K16" s="7" t="s">
        <v>315</v>
      </c>
      <c r="L16" s="2" t="s">
        <v>99</v>
      </c>
    </row>
    <row r="17" spans="4:12" x14ac:dyDescent="0.35">
      <c r="D17" s="2" t="s">
        <v>120</v>
      </c>
      <c r="E17" s="3">
        <v>99</v>
      </c>
      <c r="F17" s="4">
        <v>25</v>
      </c>
      <c r="G17" s="5">
        <v>9</v>
      </c>
      <c r="H17" s="5">
        <v>739</v>
      </c>
      <c r="I17" s="7" t="s">
        <v>5</v>
      </c>
      <c r="J17" s="7" t="s">
        <v>117</v>
      </c>
      <c r="K17" s="7" t="s">
        <v>121</v>
      </c>
      <c r="L17" s="2" t="s">
        <v>120</v>
      </c>
    </row>
    <row r="18" spans="4:12" x14ac:dyDescent="0.35">
      <c r="D18" s="2" t="s">
        <v>127</v>
      </c>
      <c r="E18" s="3">
        <v>99</v>
      </c>
      <c r="F18" s="4">
        <v>25</v>
      </c>
      <c r="G18" s="11" t="s">
        <v>128</v>
      </c>
      <c r="H18" s="11" t="s">
        <v>129</v>
      </c>
      <c r="I18" s="7" t="s">
        <v>5</v>
      </c>
      <c r="J18" s="7" t="s">
        <v>130</v>
      </c>
      <c r="K18" s="7" t="s">
        <v>130</v>
      </c>
      <c r="L18" s="2" t="s">
        <v>127</v>
      </c>
    </row>
    <row r="19" spans="4:12" x14ac:dyDescent="0.35">
      <c r="D19" s="2" t="s">
        <v>158</v>
      </c>
      <c r="E19" s="3">
        <v>99</v>
      </c>
      <c r="F19" s="4">
        <v>52</v>
      </c>
      <c r="G19" s="5">
        <v>3</v>
      </c>
      <c r="H19" s="5">
        <v>110</v>
      </c>
      <c r="I19" s="7" t="s">
        <v>159</v>
      </c>
      <c r="J19" s="7" t="s">
        <v>289</v>
      </c>
      <c r="K19" s="7" t="s">
        <v>293</v>
      </c>
      <c r="L19" s="2" t="s">
        <v>158</v>
      </c>
    </row>
    <row r="20" spans="4:12" x14ac:dyDescent="0.35">
      <c r="D20" s="2" t="s">
        <v>160</v>
      </c>
      <c r="E20" s="3">
        <v>99</v>
      </c>
      <c r="F20" s="4">
        <v>52</v>
      </c>
      <c r="G20" s="5">
        <v>3</v>
      </c>
      <c r="H20" s="5">
        <v>120</v>
      </c>
      <c r="I20" s="7" t="s">
        <v>159</v>
      </c>
      <c r="J20" s="7" t="s">
        <v>289</v>
      </c>
      <c r="K20" s="7" t="s">
        <v>294</v>
      </c>
      <c r="L20" s="2" t="s">
        <v>160</v>
      </c>
    </row>
    <row r="21" spans="4:12" x14ac:dyDescent="0.35">
      <c r="D21" s="2" t="s">
        <v>161</v>
      </c>
      <c r="E21" s="3">
        <v>99</v>
      </c>
      <c r="F21" s="4">
        <v>52</v>
      </c>
      <c r="G21" s="5">
        <v>3</v>
      </c>
      <c r="H21" s="5">
        <v>130</v>
      </c>
      <c r="I21" s="7" t="s">
        <v>159</v>
      </c>
      <c r="J21" s="7" t="s">
        <v>289</v>
      </c>
      <c r="K21" s="7" t="s">
        <v>295</v>
      </c>
      <c r="L21" s="2" t="s">
        <v>161</v>
      </c>
    </row>
    <row r="22" spans="4:12" x14ac:dyDescent="0.35">
      <c r="D22" s="2" t="s">
        <v>1065</v>
      </c>
      <c r="E22" s="3">
        <v>99</v>
      </c>
      <c r="F22" s="4">
        <v>52</v>
      </c>
      <c r="G22" s="5">
        <v>4</v>
      </c>
      <c r="H22" s="5">
        <v>200</v>
      </c>
      <c r="I22" s="7" t="s">
        <v>159</v>
      </c>
      <c r="J22" s="7" t="s">
        <v>29</v>
      </c>
      <c r="K22" s="7" t="s">
        <v>1053</v>
      </c>
      <c r="L22" s="2" t="s">
        <v>1065</v>
      </c>
    </row>
    <row r="23" spans="4:12" x14ac:dyDescent="0.35">
      <c r="D23" s="2" t="s">
        <v>174</v>
      </c>
      <c r="E23" s="3">
        <v>99</v>
      </c>
      <c r="F23" s="4">
        <v>52</v>
      </c>
      <c r="G23" s="5">
        <v>5</v>
      </c>
      <c r="H23" s="5">
        <v>610</v>
      </c>
      <c r="I23" s="7" t="s">
        <v>159</v>
      </c>
      <c r="J23" s="7" t="s">
        <v>67</v>
      </c>
      <c r="K23" s="7" t="s">
        <v>68</v>
      </c>
      <c r="L23" s="2" t="s">
        <v>174</v>
      </c>
    </row>
    <row r="24" spans="4:12" x14ac:dyDescent="0.35">
      <c r="D24" s="2" t="s">
        <v>175</v>
      </c>
      <c r="E24" s="3">
        <v>99</v>
      </c>
      <c r="F24" s="4">
        <v>52</v>
      </c>
      <c r="G24" s="5">
        <v>5</v>
      </c>
      <c r="H24" s="5">
        <v>626</v>
      </c>
      <c r="I24" s="7" t="s">
        <v>159</v>
      </c>
      <c r="J24" s="7" t="s">
        <v>67</v>
      </c>
      <c r="K24" s="7" t="s">
        <v>297</v>
      </c>
      <c r="L24" s="2" t="s">
        <v>175</v>
      </c>
    </row>
    <row r="25" spans="4:12" x14ac:dyDescent="0.35">
      <c r="D25" s="2" t="s">
        <v>176</v>
      </c>
      <c r="E25" s="3">
        <v>99</v>
      </c>
      <c r="F25" s="4">
        <v>52</v>
      </c>
      <c r="G25" s="5">
        <v>5</v>
      </c>
      <c r="H25" s="5">
        <v>640</v>
      </c>
      <c r="I25" s="7" t="s">
        <v>159</v>
      </c>
      <c r="J25" s="7" t="s">
        <v>67</v>
      </c>
      <c r="K25" s="7" t="s">
        <v>296</v>
      </c>
      <c r="L25" s="2" t="s">
        <v>176</v>
      </c>
    </row>
    <row r="26" spans="4:12" x14ac:dyDescent="0.35">
      <c r="D26" s="2" t="s">
        <v>177</v>
      </c>
      <c r="E26" s="3">
        <v>99</v>
      </c>
      <c r="F26" s="4">
        <v>52</v>
      </c>
      <c r="G26" s="5">
        <v>5</v>
      </c>
      <c r="H26" s="5">
        <v>650</v>
      </c>
      <c r="I26" s="7" t="s">
        <v>159</v>
      </c>
      <c r="J26" s="7" t="s">
        <v>67</v>
      </c>
      <c r="K26" s="7" t="s">
        <v>74</v>
      </c>
      <c r="L26" s="2" t="s">
        <v>177</v>
      </c>
    </row>
    <row r="27" spans="4:12" x14ac:dyDescent="0.35">
      <c r="D27" s="2" t="s">
        <v>179</v>
      </c>
      <c r="E27" s="3">
        <v>99</v>
      </c>
      <c r="F27" s="4">
        <v>52</v>
      </c>
      <c r="G27" s="5">
        <v>7</v>
      </c>
      <c r="H27" s="5">
        <v>330</v>
      </c>
      <c r="I27" s="7" t="s">
        <v>159</v>
      </c>
      <c r="J27" s="7" t="s">
        <v>77</v>
      </c>
      <c r="K27" s="7" t="s">
        <v>303</v>
      </c>
      <c r="L27" s="2" t="s">
        <v>179</v>
      </c>
    </row>
    <row r="28" spans="4:12" x14ac:dyDescent="0.35">
      <c r="D28" s="2" t="s">
        <v>180</v>
      </c>
      <c r="E28" s="3">
        <v>99</v>
      </c>
      <c r="F28" s="4">
        <v>52</v>
      </c>
      <c r="G28" s="5">
        <v>7</v>
      </c>
      <c r="H28" s="5">
        <v>340</v>
      </c>
      <c r="I28" s="7" t="s">
        <v>159</v>
      </c>
      <c r="J28" s="7" t="s">
        <v>77</v>
      </c>
      <c r="K28" s="7" t="s">
        <v>304</v>
      </c>
      <c r="L28" s="2" t="s">
        <v>180</v>
      </c>
    </row>
    <row r="29" spans="4:12" x14ac:dyDescent="0.35">
      <c r="D29" s="2" t="s">
        <v>181</v>
      </c>
      <c r="E29" s="3">
        <v>99</v>
      </c>
      <c r="F29" s="4">
        <v>52</v>
      </c>
      <c r="G29" s="5">
        <v>7</v>
      </c>
      <c r="H29" s="5">
        <v>350</v>
      </c>
      <c r="I29" s="7" t="s">
        <v>159</v>
      </c>
      <c r="J29" s="7" t="s">
        <v>77</v>
      </c>
      <c r="K29" s="7" t="s">
        <v>305</v>
      </c>
      <c r="L29" s="2" t="s">
        <v>181</v>
      </c>
    </row>
    <row r="30" spans="4:12" x14ac:dyDescent="0.35">
      <c r="D30" s="2" t="s">
        <v>182</v>
      </c>
      <c r="E30" s="3">
        <v>99</v>
      </c>
      <c r="F30" s="4">
        <v>52</v>
      </c>
      <c r="G30" s="5">
        <v>7</v>
      </c>
      <c r="H30" s="5">
        <v>352</v>
      </c>
      <c r="I30" s="7" t="s">
        <v>159</v>
      </c>
      <c r="J30" s="7" t="s">
        <v>77</v>
      </c>
      <c r="K30" s="7" t="s">
        <v>306</v>
      </c>
      <c r="L30" s="2" t="s">
        <v>182</v>
      </c>
    </row>
    <row r="31" spans="4:12" x14ac:dyDescent="0.35">
      <c r="D31" s="2" t="s">
        <v>183</v>
      </c>
      <c r="E31" s="3">
        <v>99</v>
      </c>
      <c r="F31" s="5">
        <v>52</v>
      </c>
      <c r="G31" s="5">
        <v>7</v>
      </c>
      <c r="H31" s="5">
        <v>420</v>
      </c>
      <c r="I31" s="8" t="s">
        <v>159</v>
      </c>
      <c r="J31" s="7" t="s">
        <v>77</v>
      </c>
      <c r="K31" s="7" t="s">
        <v>316</v>
      </c>
      <c r="L31" s="2" t="s">
        <v>183</v>
      </c>
    </row>
    <row r="32" spans="4:12" x14ac:dyDescent="0.35">
      <c r="D32" s="2" t="s">
        <v>184</v>
      </c>
      <c r="E32" s="3">
        <v>99</v>
      </c>
      <c r="F32" s="4">
        <v>52</v>
      </c>
      <c r="G32" s="5">
        <v>7</v>
      </c>
      <c r="H32" s="5">
        <v>431</v>
      </c>
      <c r="I32" s="7" t="s">
        <v>159</v>
      </c>
      <c r="J32" s="7" t="s">
        <v>77</v>
      </c>
      <c r="K32" s="7" t="s">
        <v>314</v>
      </c>
      <c r="L32" s="2" t="s">
        <v>184</v>
      </c>
    </row>
    <row r="33" spans="4:12" x14ac:dyDescent="0.35">
      <c r="D33" s="2" t="s">
        <v>185</v>
      </c>
      <c r="E33" s="3">
        <v>99</v>
      </c>
      <c r="F33" s="4">
        <v>52</v>
      </c>
      <c r="G33" s="5">
        <v>7</v>
      </c>
      <c r="H33" s="5">
        <v>432</v>
      </c>
      <c r="I33" s="7" t="s">
        <v>159</v>
      </c>
      <c r="J33" s="7" t="s">
        <v>77</v>
      </c>
      <c r="K33" s="7" t="s">
        <v>317</v>
      </c>
      <c r="L33" s="2" t="s">
        <v>185</v>
      </c>
    </row>
    <row r="34" spans="4:12" x14ac:dyDescent="0.35">
      <c r="D34" s="2" t="s">
        <v>186</v>
      </c>
      <c r="E34" s="3">
        <v>99</v>
      </c>
      <c r="F34" s="4">
        <v>52</v>
      </c>
      <c r="G34" s="5">
        <v>7</v>
      </c>
      <c r="H34" s="5">
        <v>442</v>
      </c>
      <c r="I34" s="7" t="s">
        <v>159</v>
      </c>
      <c r="J34" s="7" t="s">
        <v>77</v>
      </c>
      <c r="K34" s="7" t="s">
        <v>315</v>
      </c>
      <c r="L34" s="2" t="s">
        <v>186</v>
      </c>
    </row>
    <row r="35" spans="4:12" x14ac:dyDescent="0.35">
      <c r="D35" s="2" t="s">
        <v>189</v>
      </c>
      <c r="E35" s="3">
        <v>99</v>
      </c>
      <c r="F35" s="4">
        <v>52</v>
      </c>
      <c r="G35" s="5">
        <v>7</v>
      </c>
      <c r="H35" s="5">
        <v>511</v>
      </c>
      <c r="I35" s="7" t="s">
        <v>159</v>
      </c>
      <c r="J35" s="7" t="s">
        <v>77</v>
      </c>
      <c r="K35" s="7" t="s">
        <v>318</v>
      </c>
      <c r="L35" s="2" t="s">
        <v>189</v>
      </c>
    </row>
    <row r="36" spans="4:12" x14ac:dyDescent="0.35">
      <c r="D36" s="2" t="s">
        <v>190</v>
      </c>
      <c r="E36" s="3">
        <v>99</v>
      </c>
      <c r="F36" s="4">
        <v>52</v>
      </c>
      <c r="G36" s="5">
        <v>7</v>
      </c>
      <c r="H36" s="5">
        <v>512</v>
      </c>
      <c r="I36" s="7" t="s">
        <v>159</v>
      </c>
      <c r="J36" s="7" t="s">
        <v>77</v>
      </c>
      <c r="K36" s="7" t="s">
        <v>319</v>
      </c>
      <c r="L36" s="2" t="s">
        <v>190</v>
      </c>
    </row>
    <row r="37" spans="4:12" x14ac:dyDescent="0.35">
      <c r="D37" s="2" t="s">
        <v>191</v>
      </c>
      <c r="E37" s="3">
        <v>99</v>
      </c>
      <c r="F37" s="4">
        <v>52</v>
      </c>
      <c r="G37" s="5">
        <v>7</v>
      </c>
      <c r="H37" s="5">
        <v>519</v>
      </c>
      <c r="I37" s="7" t="s">
        <v>159</v>
      </c>
      <c r="J37" s="7" t="s">
        <v>77</v>
      </c>
      <c r="K37" s="7" t="s">
        <v>320</v>
      </c>
      <c r="L37" s="2" t="s">
        <v>191</v>
      </c>
    </row>
    <row r="38" spans="4:12" x14ac:dyDescent="0.35">
      <c r="D38" s="2" t="s">
        <v>194</v>
      </c>
      <c r="E38" s="3">
        <v>99</v>
      </c>
      <c r="F38" s="4">
        <v>52</v>
      </c>
      <c r="G38" s="5">
        <v>7</v>
      </c>
      <c r="H38" s="5">
        <v>591</v>
      </c>
      <c r="I38" s="7" t="s">
        <v>159</v>
      </c>
      <c r="J38" s="7" t="s">
        <v>77</v>
      </c>
      <c r="K38" s="7" t="s">
        <v>321</v>
      </c>
      <c r="L38" s="2" t="s">
        <v>194</v>
      </c>
    </row>
    <row r="39" spans="4:12" x14ac:dyDescent="0.35">
      <c r="D39" s="2" t="s">
        <v>196</v>
      </c>
      <c r="E39" s="3">
        <v>99</v>
      </c>
      <c r="F39" s="4">
        <v>52</v>
      </c>
      <c r="G39" s="5">
        <v>7</v>
      </c>
      <c r="H39" s="5">
        <v>592</v>
      </c>
      <c r="I39" s="7" t="s">
        <v>159</v>
      </c>
      <c r="J39" s="7" t="s">
        <v>77</v>
      </c>
      <c r="K39" s="7" t="s">
        <v>322</v>
      </c>
      <c r="L39" s="2" t="s">
        <v>196</v>
      </c>
    </row>
    <row r="40" spans="4:12" x14ac:dyDescent="0.35">
      <c r="D40" s="2" t="s">
        <v>198</v>
      </c>
      <c r="E40" s="3">
        <v>99</v>
      </c>
      <c r="F40" s="4">
        <v>52</v>
      </c>
      <c r="G40" s="5">
        <v>7</v>
      </c>
      <c r="H40" s="5">
        <v>623</v>
      </c>
      <c r="I40" s="7" t="s">
        <v>159</v>
      </c>
      <c r="J40" s="7" t="s">
        <v>77</v>
      </c>
      <c r="K40" s="7" t="s">
        <v>323</v>
      </c>
      <c r="L40" s="2" t="s">
        <v>198</v>
      </c>
    </row>
    <row r="41" spans="4:12" x14ac:dyDescent="0.35">
      <c r="D41" s="2" t="s">
        <v>202</v>
      </c>
      <c r="E41" s="3">
        <v>99</v>
      </c>
      <c r="F41" s="4">
        <v>52</v>
      </c>
      <c r="G41" s="5">
        <v>9</v>
      </c>
      <c r="H41" s="5">
        <v>732</v>
      </c>
      <c r="I41" s="7" t="s">
        <v>159</v>
      </c>
      <c r="J41" s="7" t="s">
        <v>117</v>
      </c>
      <c r="K41" s="7" t="s">
        <v>203</v>
      </c>
      <c r="L41" s="2" t="s">
        <v>202</v>
      </c>
    </row>
    <row r="42" spans="4:12" x14ac:dyDescent="0.35">
      <c r="D42" s="2" t="s">
        <v>205</v>
      </c>
      <c r="E42" s="3">
        <v>99</v>
      </c>
      <c r="F42" s="4">
        <v>52</v>
      </c>
      <c r="G42" s="5">
        <v>9</v>
      </c>
      <c r="H42" s="5">
        <v>739</v>
      </c>
      <c r="I42" s="7" t="s">
        <v>159</v>
      </c>
      <c r="J42" s="7" t="s">
        <v>117</v>
      </c>
      <c r="K42" s="7" t="s">
        <v>121</v>
      </c>
      <c r="L42" s="2" t="s">
        <v>205</v>
      </c>
    </row>
    <row r="43" spans="4:12" x14ac:dyDescent="0.35">
      <c r="D43" s="2" t="s">
        <v>206</v>
      </c>
      <c r="E43" s="3">
        <v>99</v>
      </c>
      <c r="F43" s="4">
        <v>52</v>
      </c>
      <c r="G43" s="11" t="s">
        <v>128</v>
      </c>
      <c r="H43" s="11" t="s">
        <v>129</v>
      </c>
      <c r="I43" s="7" t="s">
        <v>159</v>
      </c>
      <c r="J43" s="7" t="s">
        <v>130</v>
      </c>
      <c r="K43" s="7" t="s">
        <v>130</v>
      </c>
      <c r="L43" s="2" t="s">
        <v>206</v>
      </c>
    </row>
    <row r="44" spans="4:12" x14ac:dyDescent="0.35">
      <c r="D44" s="2" t="s">
        <v>210</v>
      </c>
      <c r="E44" s="3">
        <v>99</v>
      </c>
      <c r="F44" s="4">
        <v>53</v>
      </c>
      <c r="G44" s="5">
        <v>3</v>
      </c>
      <c r="H44" s="5">
        <v>110</v>
      </c>
      <c r="I44" s="7" t="s">
        <v>211</v>
      </c>
      <c r="J44" s="7" t="s">
        <v>289</v>
      </c>
      <c r="K44" s="7" t="s">
        <v>293</v>
      </c>
      <c r="L44" s="2" t="s">
        <v>210</v>
      </c>
    </row>
    <row r="45" spans="4:12" x14ac:dyDescent="0.35">
      <c r="D45" s="2" t="s">
        <v>212</v>
      </c>
      <c r="E45" s="3">
        <v>99</v>
      </c>
      <c r="F45" s="4">
        <v>53</v>
      </c>
      <c r="G45" s="5">
        <v>3</v>
      </c>
      <c r="H45" s="5">
        <v>120</v>
      </c>
      <c r="I45" s="7" t="s">
        <v>211</v>
      </c>
      <c r="J45" s="7" t="s">
        <v>289</v>
      </c>
      <c r="K45" s="7" t="s">
        <v>294</v>
      </c>
      <c r="L45" s="2" t="s">
        <v>212</v>
      </c>
    </row>
    <row r="46" spans="4:12" x14ac:dyDescent="0.35">
      <c r="D46" s="2" t="s">
        <v>213</v>
      </c>
      <c r="E46" s="3">
        <v>99</v>
      </c>
      <c r="F46" s="4">
        <v>53</v>
      </c>
      <c r="G46" s="5">
        <v>3</v>
      </c>
      <c r="H46" s="5">
        <v>130</v>
      </c>
      <c r="I46" s="7" t="s">
        <v>211</v>
      </c>
      <c r="J46" s="7" t="s">
        <v>289</v>
      </c>
      <c r="K46" s="7" t="s">
        <v>295</v>
      </c>
      <c r="L46" s="2" t="s">
        <v>213</v>
      </c>
    </row>
    <row r="47" spans="4:12" x14ac:dyDescent="0.35">
      <c r="D47" s="2" t="s">
        <v>1067</v>
      </c>
      <c r="E47" s="3">
        <v>99</v>
      </c>
      <c r="F47" s="4">
        <v>53</v>
      </c>
      <c r="G47" s="5">
        <v>4</v>
      </c>
      <c r="H47" s="5">
        <v>200</v>
      </c>
      <c r="I47" s="7" t="s">
        <v>211</v>
      </c>
      <c r="J47" s="7" t="s">
        <v>29</v>
      </c>
      <c r="K47" s="7" t="s">
        <v>1053</v>
      </c>
      <c r="L47" s="2" t="s">
        <v>1067</v>
      </c>
    </row>
    <row r="48" spans="4:12" x14ac:dyDescent="0.35">
      <c r="D48" s="2" t="s">
        <v>226</v>
      </c>
      <c r="E48" s="3">
        <v>99</v>
      </c>
      <c r="F48" s="4">
        <v>53</v>
      </c>
      <c r="G48" s="5">
        <v>5</v>
      </c>
      <c r="H48" s="5">
        <v>610</v>
      </c>
      <c r="I48" s="7" t="s">
        <v>211</v>
      </c>
      <c r="J48" s="7" t="s">
        <v>290</v>
      </c>
      <c r="K48" s="7" t="s">
        <v>68</v>
      </c>
      <c r="L48" s="2" t="s">
        <v>226</v>
      </c>
    </row>
    <row r="49" spans="4:12" x14ac:dyDescent="0.35">
      <c r="D49" s="2" t="s">
        <v>229</v>
      </c>
      <c r="E49" s="3">
        <v>99</v>
      </c>
      <c r="F49" s="4">
        <v>53</v>
      </c>
      <c r="G49" s="5">
        <v>5</v>
      </c>
      <c r="H49" s="5">
        <v>650</v>
      </c>
      <c r="I49" s="7" t="s">
        <v>211</v>
      </c>
      <c r="J49" s="7" t="s">
        <v>292</v>
      </c>
      <c r="K49" s="7" t="s">
        <v>74</v>
      </c>
      <c r="L49" s="2" t="s">
        <v>229</v>
      </c>
    </row>
    <row r="50" spans="4:12" x14ac:dyDescent="0.35">
      <c r="D50" s="2" t="s">
        <v>230</v>
      </c>
      <c r="E50" s="3">
        <v>99</v>
      </c>
      <c r="F50" s="4">
        <v>53</v>
      </c>
      <c r="G50" s="5">
        <v>7</v>
      </c>
      <c r="H50" s="5">
        <v>330</v>
      </c>
      <c r="I50" s="7" t="s">
        <v>211</v>
      </c>
      <c r="J50" s="7" t="s">
        <v>77</v>
      </c>
      <c r="K50" s="7" t="s">
        <v>303</v>
      </c>
      <c r="L50" s="2" t="s">
        <v>230</v>
      </c>
    </row>
    <row r="51" spans="4:12" x14ac:dyDescent="0.35">
      <c r="D51" s="2" t="s">
        <v>231</v>
      </c>
      <c r="E51" s="3">
        <v>99</v>
      </c>
      <c r="F51" s="4">
        <v>53</v>
      </c>
      <c r="G51" s="5">
        <v>7</v>
      </c>
      <c r="H51" s="5">
        <v>340</v>
      </c>
      <c r="I51" s="7" t="s">
        <v>211</v>
      </c>
      <c r="J51" s="7" t="s">
        <v>77</v>
      </c>
      <c r="K51" s="7" t="s">
        <v>304</v>
      </c>
      <c r="L51" s="2" t="s">
        <v>231</v>
      </c>
    </row>
    <row r="52" spans="4:12" x14ac:dyDescent="0.35">
      <c r="D52" s="2" t="s">
        <v>232</v>
      </c>
      <c r="E52" s="3">
        <v>99</v>
      </c>
      <c r="F52" s="4">
        <v>53</v>
      </c>
      <c r="G52" s="5">
        <v>7</v>
      </c>
      <c r="H52" s="5">
        <v>350</v>
      </c>
      <c r="I52" s="7" t="s">
        <v>211</v>
      </c>
      <c r="J52" s="7" t="s">
        <v>77</v>
      </c>
      <c r="K52" s="7" t="s">
        <v>305</v>
      </c>
      <c r="L52" s="2" t="s">
        <v>232</v>
      </c>
    </row>
    <row r="53" spans="4:12" x14ac:dyDescent="0.35">
      <c r="D53" s="2" t="s">
        <v>233</v>
      </c>
      <c r="E53" s="3">
        <v>99</v>
      </c>
      <c r="F53" s="4">
        <v>53</v>
      </c>
      <c r="G53" s="5">
        <v>7</v>
      </c>
      <c r="H53" s="5">
        <v>352</v>
      </c>
      <c r="I53" s="7" t="s">
        <v>211</v>
      </c>
      <c r="J53" s="7" t="s">
        <v>77</v>
      </c>
      <c r="K53" s="7" t="s">
        <v>306</v>
      </c>
      <c r="L53" s="2" t="s">
        <v>233</v>
      </c>
    </row>
    <row r="54" spans="4:12" x14ac:dyDescent="0.35">
      <c r="D54" s="2" t="s">
        <v>234</v>
      </c>
      <c r="E54" s="3">
        <v>99</v>
      </c>
      <c r="F54" s="4">
        <v>53</v>
      </c>
      <c r="G54" s="5">
        <v>7</v>
      </c>
      <c r="H54" s="5">
        <v>420</v>
      </c>
      <c r="I54" s="7" t="s">
        <v>211</v>
      </c>
      <c r="J54" s="7" t="s">
        <v>77</v>
      </c>
      <c r="K54" s="7" t="s">
        <v>307</v>
      </c>
      <c r="L54" s="2" t="s">
        <v>234</v>
      </c>
    </row>
    <row r="55" spans="4:12" x14ac:dyDescent="0.35">
      <c r="D55" s="2" t="s">
        <v>235</v>
      </c>
      <c r="E55" s="3">
        <v>99</v>
      </c>
      <c r="F55" s="4">
        <v>53</v>
      </c>
      <c r="G55" s="5">
        <v>7</v>
      </c>
      <c r="H55" s="5">
        <v>431</v>
      </c>
      <c r="I55" s="7" t="s">
        <v>211</v>
      </c>
      <c r="J55" s="7" t="s">
        <v>77</v>
      </c>
      <c r="K55" s="7" t="s">
        <v>308</v>
      </c>
      <c r="L55" s="2" t="s">
        <v>235</v>
      </c>
    </row>
    <row r="56" spans="4:12" x14ac:dyDescent="0.35">
      <c r="D56" s="2" t="s">
        <v>236</v>
      </c>
      <c r="E56" s="3">
        <v>99</v>
      </c>
      <c r="F56" s="4">
        <v>53</v>
      </c>
      <c r="G56" s="5">
        <v>7</v>
      </c>
      <c r="H56" s="5">
        <v>432</v>
      </c>
      <c r="I56" s="7" t="s">
        <v>211</v>
      </c>
      <c r="J56" s="7" t="s">
        <v>77</v>
      </c>
      <c r="K56" s="7" t="s">
        <v>309</v>
      </c>
      <c r="L56" s="2" t="s">
        <v>236</v>
      </c>
    </row>
    <row r="57" spans="4:12" x14ac:dyDescent="0.35">
      <c r="D57" s="2" t="s">
        <v>242</v>
      </c>
      <c r="E57" s="3">
        <v>99</v>
      </c>
      <c r="F57" s="4">
        <v>53</v>
      </c>
      <c r="G57" s="5">
        <v>7</v>
      </c>
      <c r="H57" s="5">
        <v>591</v>
      </c>
      <c r="I57" s="7" t="s">
        <v>211</v>
      </c>
      <c r="J57" s="7" t="s">
        <v>77</v>
      </c>
      <c r="K57" s="7" t="s">
        <v>310</v>
      </c>
      <c r="L57" s="2" t="s">
        <v>242</v>
      </c>
    </row>
    <row r="58" spans="4:12" x14ac:dyDescent="0.35">
      <c r="D58" s="2" t="s">
        <v>243</v>
      </c>
      <c r="E58" s="3">
        <v>99</v>
      </c>
      <c r="F58" s="4">
        <v>53</v>
      </c>
      <c r="G58" s="5">
        <v>7</v>
      </c>
      <c r="H58" s="5">
        <v>592</v>
      </c>
      <c r="I58" s="7" t="s">
        <v>211</v>
      </c>
      <c r="J58" s="7" t="s">
        <v>77</v>
      </c>
      <c r="K58" s="7" t="s">
        <v>311</v>
      </c>
      <c r="L58" s="2" t="s">
        <v>243</v>
      </c>
    </row>
    <row r="59" spans="4:12" x14ac:dyDescent="0.35">
      <c r="D59" s="2" t="s">
        <v>244</v>
      </c>
      <c r="E59" s="3">
        <v>99</v>
      </c>
      <c r="F59" s="4">
        <v>53</v>
      </c>
      <c r="G59" s="5">
        <v>7</v>
      </c>
      <c r="H59" s="5">
        <v>623</v>
      </c>
      <c r="I59" s="7" t="s">
        <v>211</v>
      </c>
      <c r="J59" s="7" t="s">
        <v>77</v>
      </c>
      <c r="K59" s="7" t="s">
        <v>312</v>
      </c>
      <c r="L59" s="2" t="s">
        <v>244</v>
      </c>
    </row>
    <row r="60" spans="4:12" x14ac:dyDescent="0.35">
      <c r="D60" s="2" t="s">
        <v>247</v>
      </c>
      <c r="E60" s="3">
        <v>99</v>
      </c>
      <c r="F60" s="4">
        <v>53</v>
      </c>
      <c r="G60" s="5">
        <v>9</v>
      </c>
      <c r="H60" s="5">
        <v>731</v>
      </c>
      <c r="I60" s="7" t="s">
        <v>211</v>
      </c>
      <c r="J60" s="7" t="s">
        <v>117</v>
      </c>
      <c r="K60" s="7" t="s">
        <v>298</v>
      </c>
      <c r="L60" s="2" t="s">
        <v>247</v>
      </c>
    </row>
    <row r="61" spans="4:12" x14ac:dyDescent="0.35">
      <c r="D61" s="2" t="s">
        <v>249</v>
      </c>
      <c r="E61" s="3">
        <v>99</v>
      </c>
      <c r="F61" s="4">
        <v>53</v>
      </c>
      <c r="G61" s="5">
        <v>9</v>
      </c>
      <c r="H61" s="5">
        <v>732</v>
      </c>
      <c r="I61" s="7" t="s">
        <v>211</v>
      </c>
      <c r="J61" s="7" t="s">
        <v>117</v>
      </c>
      <c r="K61" s="7" t="s">
        <v>299</v>
      </c>
      <c r="L61" s="2" t="s">
        <v>249</v>
      </c>
    </row>
    <row r="62" spans="4:12" x14ac:dyDescent="0.35">
      <c r="D62" s="2" t="s">
        <v>250</v>
      </c>
      <c r="E62" s="3">
        <v>99</v>
      </c>
      <c r="F62" s="4">
        <v>53</v>
      </c>
      <c r="G62" s="5">
        <v>9</v>
      </c>
      <c r="H62" s="5">
        <v>733</v>
      </c>
      <c r="I62" s="7" t="s">
        <v>211</v>
      </c>
      <c r="J62" s="7" t="s">
        <v>117</v>
      </c>
      <c r="K62" s="7" t="s">
        <v>300</v>
      </c>
      <c r="L62" s="2" t="s">
        <v>250</v>
      </c>
    </row>
    <row r="63" spans="4:12" x14ac:dyDescent="0.35">
      <c r="D63" s="2" t="s">
        <v>251</v>
      </c>
      <c r="E63" s="3">
        <v>99</v>
      </c>
      <c r="F63" s="4">
        <v>53</v>
      </c>
      <c r="G63" s="5">
        <v>9</v>
      </c>
      <c r="H63" s="5">
        <v>739</v>
      </c>
      <c r="I63" s="7" t="s">
        <v>211</v>
      </c>
      <c r="J63" s="7" t="s">
        <v>117</v>
      </c>
      <c r="K63" s="7" t="s">
        <v>301</v>
      </c>
      <c r="L63" s="2" t="s">
        <v>251</v>
      </c>
    </row>
    <row r="64" spans="4:12" x14ac:dyDescent="0.35">
      <c r="D64" s="2" t="s">
        <v>252</v>
      </c>
      <c r="E64" s="3">
        <v>99</v>
      </c>
      <c r="F64" s="4">
        <v>53</v>
      </c>
      <c r="G64" s="11" t="s">
        <v>128</v>
      </c>
      <c r="H64" s="11" t="s">
        <v>129</v>
      </c>
      <c r="I64" s="7" t="s">
        <v>211</v>
      </c>
      <c r="J64" s="7" t="s">
        <v>130</v>
      </c>
      <c r="K64" s="7" t="s">
        <v>302</v>
      </c>
      <c r="L64" s="2" t="s">
        <v>252</v>
      </c>
    </row>
    <row r="67" spans="6:11" x14ac:dyDescent="0.35">
      <c r="F67" s="4">
        <v>25</v>
      </c>
    </row>
    <row r="68" spans="6:11" x14ac:dyDescent="0.35">
      <c r="F68" s="4">
        <v>52</v>
      </c>
      <c r="K68" t="s">
        <v>1068</v>
      </c>
    </row>
    <row r="69" spans="6:11" x14ac:dyDescent="0.35">
      <c r="F69" s="4">
        <v>53</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8F0B9-88F3-4A1E-8FC2-01C82EDB2451}">
  <dimension ref="A1:M210"/>
  <sheetViews>
    <sheetView topLeftCell="A3" workbookViewId="0">
      <selection activeCell="B20" sqref="B20"/>
    </sheetView>
  </sheetViews>
  <sheetFormatPr defaultRowHeight="14.5" x14ac:dyDescent="0.35"/>
  <cols>
    <col min="1" max="1" width="5.81640625" customWidth="1"/>
    <col min="2" max="2" width="11.7265625" bestFit="1" customWidth="1"/>
    <col min="3" max="3" width="7.453125" customWidth="1"/>
    <col min="4" max="4" width="11.1796875" bestFit="1" customWidth="1"/>
    <col min="5" max="5" width="1.81640625" customWidth="1"/>
    <col min="6" max="7" width="3" bestFit="1" customWidth="1"/>
    <col min="8" max="8" width="3.453125" bestFit="1" customWidth="1"/>
    <col min="9" max="9" width="5.453125" bestFit="1" customWidth="1"/>
    <col min="10" max="10" width="9.1796875" hidden="1" customWidth="1"/>
    <col min="11" max="11" width="28" bestFit="1" customWidth="1"/>
    <col min="12" max="12" width="18.1796875" bestFit="1" customWidth="1"/>
    <col min="13" max="13" width="66.7265625" bestFit="1" customWidth="1"/>
    <col min="14" max="14" width="5.453125" customWidth="1"/>
  </cols>
  <sheetData>
    <row r="1" spans="1:13" ht="24" customHeight="1" x14ac:dyDescent="0.35">
      <c r="A1" t="s">
        <v>278</v>
      </c>
    </row>
    <row r="2" spans="1:13" ht="61.5" customHeight="1" x14ac:dyDescent="0.35">
      <c r="A2" s="173" t="s">
        <v>279</v>
      </c>
      <c r="B2" s="173"/>
      <c r="C2" s="173"/>
      <c r="D2" s="173"/>
      <c r="E2" s="173"/>
      <c r="F2" s="173"/>
      <c r="G2" s="173"/>
      <c r="H2" s="173"/>
      <c r="I2" s="173"/>
      <c r="J2" s="173"/>
      <c r="K2" s="173"/>
      <c r="L2" s="173"/>
      <c r="M2" s="173"/>
    </row>
    <row r="3" spans="1:13" x14ac:dyDescent="0.35">
      <c r="D3" s="9" t="s">
        <v>282</v>
      </c>
    </row>
    <row r="5" spans="1:13" ht="15.5" x14ac:dyDescent="0.35">
      <c r="A5" s="1" t="s">
        <v>0</v>
      </c>
    </row>
    <row r="6" spans="1:13" x14ac:dyDescent="0.35">
      <c r="B6" t="s">
        <v>1</v>
      </c>
      <c r="C6" t="s">
        <v>2</v>
      </c>
      <c r="M6" s="23" t="s">
        <v>280</v>
      </c>
    </row>
    <row r="7" spans="1:13" x14ac:dyDescent="0.35">
      <c r="D7" s="16" t="s">
        <v>3</v>
      </c>
      <c r="E7" s="17"/>
      <c r="F7" s="18">
        <v>99</v>
      </c>
      <c r="G7" s="19">
        <v>25</v>
      </c>
      <c r="H7" s="20">
        <v>2</v>
      </c>
      <c r="I7" s="20">
        <v>110</v>
      </c>
      <c r="J7" s="21" t="s">
        <v>4</v>
      </c>
      <c r="K7" s="22" t="s">
        <v>5</v>
      </c>
      <c r="L7" s="22" t="s">
        <v>6</v>
      </c>
      <c r="M7" s="22" t="s">
        <v>7</v>
      </c>
    </row>
    <row r="8" spans="1:13" x14ac:dyDescent="0.35">
      <c r="D8" s="16" t="s">
        <v>8</v>
      </c>
      <c r="E8" s="17"/>
      <c r="F8" s="18">
        <v>99</v>
      </c>
      <c r="G8" s="19">
        <v>25</v>
      </c>
      <c r="H8" s="20">
        <v>2</v>
      </c>
      <c r="I8" s="20">
        <v>120</v>
      </c>
      <c r="J8" s="21" t="s">
        <v>4</v>
      </c>
      <c r="K8" s="22" t="s">
        <v>5</v>
      </c>
      <c r="L8" s="22" t="s">
        <v>6</v>
      </c>
      <c r="M8" s="22" t="s">
        <v>9</v>
      </c>
    </row>
    <row r="9" spans="1:13" x14ac:dyDescent="0.35">
      <c r="D9" s="16" t="s">
        <v>10</v>
      </c>
      <c r="E9" s="17"/>
      <c r="F9" s="18">
        <v>99</v>
      </c>
      <c r="G9" s="19">
        <v>25</v>
      </c>
      <c r="H9" s="20">
        <v>2</v>
      </c>
      <c r="I9" s="20">
        <v>130</v>
      </c>
      <c r="J9" s="21" t="s">
        <v>4</v>
      </c>
      <c r="K9" s="22" t="s">
        <v>5</v>
      </c>
      <c r="L9" s="22" t="s">
        <v>6</v>
      </c>
      <c r="M9" s="22" t="s">
        <v>11</v>
      </c>
    </row>
    <row r="10" spans="1:13" x14ac:dyDescent="0.35">
      <c r="D10" s="16" t="s">
        <v>12</v>
      </c>
      <c r="E10" s="17"/>
      <c r="F10" s="18">
        <v>99</v>
      </c>
      <c r="G10" s="19">
        <v>25</v>
      </c>
      <c r="H10" s="20">
        <v>2</v>
      </c>
      <c r="I10" s="20">
        <v>140</v>
      </c>
      <c r="J10" s="21" t="s">
        <v>4</v>
      </c>
      <c r="K10" s="22" t="s">
        <v>5</v>
      </c>
      <c r="L10" s="22" t="s">
        <v>6</v>
      </c>
      <c r="M10" s="22" t="s">
        <v>13</v>
      </c>
    </row>
    <row r="11" spans="1:13" x14ac:dyDescent="0.35">
      <c r="D11" s="16" t="s">
        <v>14</v>
      </c>
      <c r="E11" s="17"/>
      <c r="F11" s="18">
        <v>99</v>
      </c>
      <c r="G11" s="19">
        <v>25</v>
      </c>
      <c r="H11" s="20">
        <v>2</v>
      </c>
      <c r="I11" s="20">
        <v>150</v>
      </c>
      <c r="J11" s="21" t="s">
        <v>4</v>
      </c>
      <c r="K11" s="22" t="s">
        <v>5</v>
      </c>
      <c r="L11" s="22" t="s">
        <v>6</v>
      </c>
      <c r="M11" s="22" t="s">
        <v>15</v>
      </c>
    </row>
    <row r="12" spans="1:13" x14ac:dyDescent="0.35">
      <c r="D12" s="16" t="s">
        <v>16</v>
      </c>
      <c r="E12" s="17"/>
      <c r="F12" s="18">
        <v>99</v>
      </c>
      <c r="G12" s="19">
        <v>25</v>
      </c>
      <c r="H12" s="20">
        <v>2</v>
      </c>
      <c r="I12" s="20">
        <v>160</v>
      </c>
      <c r="J12" s="21" t="s">
        <v>4</v>
      </c>
      <c r="K12" s="22" t="s">
        <v>5</v>
      </c>
      <c r="L12" s="22" t="s">
        <v>6</v>
      </c>
      <c r="M12" s="22" t="s">
        <v>17</v>
      </c>
    </row>
    <row r="14" spans="1:13" x14ac:dyDescent="0.35">
      <c r="B14" t="s">
        <v>1</v>
      </c>
      <c r="C14" t="s">
        <v>18</v>
      </c>
      <c r="M14" s="23" t="s">
        <v>280</v>
      </c>
    </row>
    <row r="15" spans="1:13" x14ac:dyDescent="0.35">
      <c r="D15" s="2" t="s">
        <v>19</v>
      </c>
      <c r="F15" s="3">
        <v>99</v>
      </c>
      <c r="G15" s="4">
        <v>25</v>
      </c>
      <c r="H15" s="5">
        <v>3</v>
      </c>
      <c r="I15" s="5">
        <v>110</v>
      </c>
      <c r="J15" s="6" t="s">
        <v>4</v>
      </c>
      <c r="K15" s="7" t="s">
        <v>5</v>
      </c>
      <c r="L15" s="7" t="s">
        <v>20</v>
      </c>
      <c r="M15" s="7" t="s">
        <v>7</v>
      </c>
    </row>
    <row r="16" spans="1:13" x14ac:dyDescent="0.35">
      <c r="D16" s="2" t="s">
        <v>21</v>
      </c>
      <c r="F16" s="3">
        <v>99</v>
      </c>
      <c r="G16" s="4">
        <v>25</v>
      </c>
      <c r="H16" s="5">
        <v>3</v>
      </c>
      <c r="I16" s="5">
        <v>120</v>
      </c>
      <c r="J16" s="6" t="s">
        <v>4</v>
      </c>
      <c r="K16" s="7" t="s">
        <v>5</v>
      </c>
      <c r="L16" s="7" t="s">
        <v>20</v>
      </c>
      <c r="M16" s="7" t="s">
        <v>9</v>
      </c>
    </row>
    <row r="17" spans="2:13" x14ac:dyDescent="0.35">
      <c r="D17" s="2" t="s">
        <v>22</v>
      </c>
      <c r="F17" s="3">
        <v>99</v>
      </c>
      <c r="G17" s="4">
        <v>25</v>
      </c>
      <c r="H17" s="5">
        <v>3</v>
      </c>
      <c r="I17" s="5">
        <v>130</v>
      </c>
      <c r="J17" s="6" t="s">
        <v>4</v>
      </c>
      <c r="K17" s="7" t="s">
        <v>5</v>
      </c>
      <c r="L17" s="7" t="s">
        <v>20</v>
      </c>
      <c r="M17" s="7" t="s">
        <v>23</v>
      </c>
    </row>
    <row r="18" spans="2:13" x14ac:dyDescent="0.35">
      <c r="D18" s="16" t="s">
        <v>24</v>
      </c>
      <c r="E18" s="17"/>
      <c r="F18" s="18">
        <v>99</v>
      </c>
      <c r="G18" s="19">
        <v>25</v>
      </c>
      <c r="H18" s="20">
        <v>3</v>
      </c>
      <c r="I18" s="20">
        <v>140</v>
      </c>
      <c r="J18" s="21" t="s">
        <v>4</v>
      </c>
      <c r="K18" s="22" t="s">
        <v>5</v>
      </c>
      <c r="L18" s="22" t="s">
        <v>20</v>
      </c>
      <c r="M18" s="22" t="s">
        <v>13</v>
      </c>
    </row>
    <row r="19" spans="2:13" x14ac:dyDescent="0.35">
      <c r="D19" s="16" t="s">
        <v>25</v>
      </c>
      <c r="E19" s="17"/>
      <c r="F19" s="18">
        <v>99</v>
      </c>
      <c r="G19" s="19">
        <v>25</v>
      </c>
      <c r="H19" s="20">
        <v>3</v>
      </c>
      <c r="I19" s="20">
        <v>150</v>
      </c>
      <c r="J19" s="21" t="s">
        <v>4</v>
      </c>
      <c r="K19" s="22" t="s">
        <v>5</v>
      </c>
      <c r="L19" s="22" t="s">
        <v>20</v>
      </c>
      <c r="M19" s="22" t="s">
        <v>15</v>
      </c>
    </row>
    <row r="20" spans="2:13" x14ac:dyDescent="0.35">
      <c r="D20" s="16" t="s">
        <v>26</v>
      </c>
      <c r="E20" s="17"/>
      <c r="F20" s="18">
        <v>99</v>
      </c>
      <c r="G20" s="19">
        <v>25</v>
      </c>
      <c r="H20" s="20">
        <v>3</v>
      </c>
      <c r="I20" s="20">
        <v>160</v>
      </c>
      <c r="J20" s="21" t="s">
        <v>4</v>
      </c>
      <c r="K20" s="22" t="s">
        <v>5</v>
      </c>
      <c r="L20" s="22" t="s">
        <v>20</v>
      </c>
      <c r="M20" s="22" t="s">
        <v>17</v>
      </c>
    </row>
    <row r="22" spans="2:13" x14ac:dyDescent="0.35">
      <c r="B22" t="s">
        <v>1</v>
      </c>
      <c r="C22" t="s">
        <v>27</v>
      </c>
      <c r="M22" s="23" t="s">
        <v>280</v>
      </c>
    </row>
    <row r="23" spans="2:13" x14ac:dyDescent="0.35">
      <c r="D23" s="16" t="s">
        <v>28</v>
      </c>
      <c r="E23" s="17"/>
      <c r="F23" s="18">
        <v>99</v>
      </c>
      <c r="G23" s="19">
        <v>25</v>
      </c>
      <c r="H23" s="20">
        <v>4</v>
      </c>
      <c r="I23" s="20">
        <v>212</v>
      </c>
      <c r="J23" s="21" t="s">
        <v>4</v>
      </c>
      <c r="K23" s="22" t="s">
        <v>5</v>
      </c>
      <c r="L23" s="22" t="s">
        <v>29</v>
      </c>
      <c r="M23" s="22" t="s">
        <v>30</v>
      </c>
    </row>
    <row r="24" spans="2:13" x14ac:dyDescent="0.35">
      <c r="D24" s="2" t="s">
        <v>31</v>
      </c>
      <c r="F24" s="3">
        <v>99</v>
      </c>
      <c r="G24" s="4">
        <v>25</v>
      </c>
      <c r="H24" s="5">
        <v>4</v>
      </c>
      <c r="I24" s="5">
        <v>213</v>
      </c>
      <c r="J24" s="6" t="s">
        <v>4</v>
      </c>
      <c r="K24" s="7" t="s">
        <v>5</v>
      </c>
      <c r="L24" s="7" t="s">
        <v>29</v>
      </c>
      <c r="M24" s="7" t="s">
        <v>32</v>
      </c>
    </row>
    <row r="25" spans="2:13" x14ac:dyDescent="0.35">
      <c r="D25" s="16" t="s">
        <v>33</v>
      </c>
      <c r="E25" s="17"/>
      <c r="F25" s="18">
        <v>99</v>
      </c>
      <c r="G25" s="19">
        <v>25</v>
      </c>
      <c r="H25" s="20">
        <v>4</v>
      </c>
      <c r="I25" s="20">
        <v>222</v>
      </c>
      <c r="J25" s="21" t="s">
        <v>4</v>
      </c>
      <c r="K25" s="22" t="s">
        <v>5</v>
      </c>
      <c r="L25" s="22" t="s">
        <v>29</v>
      </c>
      <c r="M25" s="22" t="s">
        <v>34</v>
      </c>
    </row>
    <row r="26" spans="2:13" x14ac:dyDescent="0.35">
      <c r="D26" s="2" t="s">
        <v>35</v>
      </c>
      <c r="F26" s="3">
        <v>99</v>
      </c>
      <c r="G26" s="4">
        <v>25</v>
      </c>
      <c r="H26" s="5">
        <v>4</v>
      </c>
      <c r="I26" s="5">
        <v>223</v>
      </c>
      <c r="J26" s="6" t="s">
        <v>4</v>
      </c>
      <c r="K26" s="7" t="s">
        <v>5</v>
      </c>
      <c r="L26" s="7" t="s">
        <v>29</v>
      </c>
      <c r="M26" s="7" t="s">
        <v>36</v>
      </c>
    </row>
    <row r="27" spans="2:13" x14ac:dyDescent="0.35">
      <c r="D27" s="16" t="s">
        <v>37</v>
      </c>
      <c r="E27" s="17"/>
      <c r="F27" s="18">
        <v>99</v>
      </c>
      <c r="G27" s="19">
        <v>25</v>
      </c>
      <c r="H27" s="20">
        <v>4</v>
      </c>
      <c r="I27" s="20">
        <v>232</v>
      </c>
      <c r="J27" s="21" t="s">
        <v>4</v>
      </c>
      <c r="K27" s="22" t="s">
        <v>5</v>
      </c>
      <c r="L27" s="22" t="s">
        <v>29</v>
      </c>
      <c r="M27" s="22" t="s">
        <v>38</v>
      </c>
    </row>
    <row r="28" spans="2:13" x14ac:dyDescent="0.35">
      <c r="D28" s="2" t="s">
        <v>39</v>
      </c>
      <c r="F28" s="3">
        <v>99</v>
      </c>
      <c r="G28" s="4">
        <v>25</v>
      </c>
      <c r="H28" s="5">
        <v>4</v>
      </c>
      <c r="I28" s="5">
        <v>233</v>
      </c>
      <c r="J28" s="6" t="s">
        <v>4</v>
      </c>
      <c r="K28" s="7" t="s">
        <v>5</v>
      </c>
      <c r="L28" s="7" t="s">
        <v>29</v>
      </c>
      <c r="M28" s="7" t="s">
        <v>40</v>
      </c>
    </row>
    <row r="29" spans="2:13" x14ac:dyDescent="0.35">
      <c r="D29" s="16" t="s">
        <v>41</v>
      </c>
      <c r="E29" s="17"/>
      <c r="F29" s="18">
        <v>99</v>
      </c>
      <c r="G29" s="19">
        <v>25</v>
      </c>
      <c r="H29" s="20">
        <v>4</v>
      </c>
      <c r="I29" s="20">
        <v>242</v>
      </c>
      <c r="J29" s="21" t="s">
        <v>4</v>
      </c>
      <c r="K29" s="22" t="s">
        <v>5</v>
      </c>
      <c r="L29" s="22" t="s">
        <v>29</v>
      </c>
      <c r="M29" s="22" t="s">
        <v>42</v>
      </c>
    </row>
    <row r="30" spans="2:13" x14ac:dyDescent="0.35">
      <c r="D30" s="16" t="s">
        <v>43</v>
      </c>
      <c r="E30" s="17"/>
      <c r="F30" s="18">
        <v>99</v>
      </c>
      <c r="G30" s="19">
        <v>25</v>
      </c>
      <c r="H30" s="20">
        <v>4</v>
      </c>
      <c r="I30" s="20">
        <v>243</v>
      </c>
      <c r="J30" s="21" t="s">
        <v>4</v>
      </c>
      <c r="K30" s="22" t="s">
        <v>5</v>
      </c>
      <c r="L30" s="22" t="s">
        <v>29</v>
      </c>
      <c r="M30" s="22" t="s">
        <v>44</v>
      </c>
    </row>
    <row r="31" spans="2:13" x14ac:dyDescent="0.35">
      <c r="D31" s="16" t="s">
        <v>45</v>
      </c>
      <c r="E31" s="17"/>
      <c r="F31" s="18">
        <v>99</v>
      </c>
      <c r="G31" s="19">
        <v>25</v>
      </c>
      <c r="H31" s="20">
        <v>4</v>
      </c>
      <c r="I31" s="20">
        <v>252</v>
      </c>
      <c r="J31" s="21" t="s">
        <v>4</v>
      </c>
      <c r="K31" s="22" t="s">
        <v>5</v>
      </c>
      <c r="L31" s="22" t="s">
        <v>29</v>
      </c>
      <c r="M31" s="22" t="s">
        <v>46</v>
      </c>
    </row>
    <row r="32" spans="2:13" x14ac:dyDescent="0.35">
      <c r="D32" s="16" t="s">
        <v>47</v>
      </c>
      <c r="E32" s="17"/>
      <c r="F32" s="18">
        <v>99</v>
      </c>
      <c r="G32" s="19">
        <v>25</v>
      </c>
      <c r="H32" s="20">
        <v>4</v>
      </c>
      <c r="I32" s="20">
        <v>253</v>
      </c>
      <c r="J32" s="21" t="s">
        <v>4</v>
      </c>
      <c r="K32" s="22" t="s">
        <v>5</v>
      </c>
      <c r="L32" s="22" t="s">
        <v>29</v>
      </c>
      <c r="M32" s="22" t="s">
        <v>48</v>
      </c>
    </row>
    <row r="33" spans="2:13" x14ac:dyDescent="0.35">
      <c r="D33" s="16" t="s">
        <v>49</v>
      </c>
      <c r="E33" s="17"/>
      <c r="F33" s="18">
        <v>99</v>
      </c>
      <c r="G33" s="19">
        <v>25</v>
      </c>
      <c r="H33" s="20">
        <v>4</v>
      </c>
      <c r="I33" s="20">
        <v>262</v>
      </c>
      <c r="J33" s="21" t="s">
        <v>4</v>
      </c>
      <c r="K33" s="22" t="s">
        <v>5</v>
      </c>
      <c r="L33" s="22" t="s">
        <v>29</v>
      </c>
      <c r="M33" s="22" t="s">
        <v>50</v>
      </c>
    </row>
    <row r="34" spans="2:13" x14ac:dyDescent="0.35">
      <c r="D34" s="2" t="s">
        <v>51</v>
      </c>
      <c r="F34" s="3">
        <v>99</v>
      </c>
      <c r="G34" s="4">
        <v>25</v>
      </c>
      <c r="H34" s="5">
        <v>4</v>
      </c>
      <c r="I34" s="5">
        <v>263</v>
      </c>
      <c r="J34" s="6" t="s">
        <v>4</v>
      </c>
      <c r="K34" s="7" t="s">
        <v>5</v>
      </c>
      <c r="L34" s="7" t="s">
        <v>29</v>
      </c>
      <c r="M34" s="7" t="s">
        <v>52</v>
      </c>
    </row>
    <row r="35" spans="2:13" x14ac:dyDescent="0.35">
      <c r="D35" s="16" t="s">
        <v>53</v>
      </c>
      <c r="E35" s="17"/>
      <c r="F35" s="18">
        <v>99</v>
      </c>
      <c r="G35" s="19">
        <v>25</v>
      </c>
      <c r="H35" s="20">
        <v>4</v>
      </c>
      <c r="I35" s="20">
        <v>272</v>
      </c>
      <c r="J35" s="21" t="s">
        <v>4</v>
      </c>
      <c r="K35" s="22" t="s">
        <v>5</v>
      </c>
      <c r="L35" s="22" t="s">
        <v>29</v>
      </c>
      <c r="M35" s="22" t="s">
        <v>54</v>
      </c>
    </row>
    <row r="36" spans="2:13" x14ac:dyDescent="0.35">
      <c r="D36" s="2" t="s">
        <v>55</v>
      </c>
      <c r="F36" s="3">
        <v>99</v>
      </c>
      <c r="G36" s="4">
        <v>25</v>
      </c>
      <c r="H36" s="5">
        <v>4</v>
      </c>
      <c r="I36" s="5">
        <v>273</v>
      </c>
      <c r="J36" s="6" t="s">
        <v>4</v>
      </c>
      <c r="K36" s="7" t="s">
        <v>5</v>
      </c>
      <c r="L36" s="7" t="s">
        <v>29</v>
      </c>
      <c r="M36" s="7" t="s">
        <v>56</v>
      </c>
    </row>
    <row r="37" spans="2:13" x14ac:dyDescent="0.35">
      <c r="D37" s="16" t="s">
        <v>57</v>
      </c>
      <c r="E37" s="17"/>
      <c r="F37" s="18">
        <v>99</v>
      </c>
      <c r="G37" s="19">
        <v>25</v>
      </c>
      <c r="H37" s="20">
        <v>4</v>
      </c>
      <c r="I37" s="20">
        <v>282</v>
      </c>
      <c r="J37" s="21" t="s">
        <v>4</v>
      </c>
      <c r="K37" s="22" t="s">
        <v>5</v>
      </c>
      <c r="L37" s="22" t="s">
        <v>29</v>
      </c>
      <c r="M37" s="22" t="s">
        <v>58</v>
      </c>
    </row>
    <row r="38" spans="2:13" x14ac:dyDescent="0.35">
      <c r="D38" s="2" t="s">
        <v>59</v>
      </c>
      <c r="F38" s="3">
        <v>99</v>
      </c>
      <c r="G38" s="4">
        <v>25</v>
      </c>
      <c r="H38" s="5">
        <v>4</v>
      </c>
      <c r="I38" s="5">
        <v>283</v>
      </c>
      <c r="J38" s="6" t="s">
        <v>4</v>
      </c>
      <c r="K38" s="7" t="s">
        <v>5</v>
      </c>
      <c r="L38" s="7" t="s">
        <v>29</v>
      </c>
      <c r="M38" s="7" t="s">
        <v>60</v>
      </c>
    </row>
    <row r="39" spans="2:13" x14ac:dyDescent="0.35">
      <c r="D39" s="16" t="s">
        <v>61</v>
      </c>
      <c r="E39" s="17"/>
      <c r="F39" s="18">
        <v>99</v>
      </c>
      <c r="G39" s="19">
        <v>25</v>
      </c>
      <c r="H39" s="20">
        <v>4</v>
      </c>
      <c r="I39" s="20">
        <v>292</v>
      </c>
      <c r="J39" s="21" t="s">
        <v>4</v>
      </c>
      <c r="K39" s="22" t="s">
        <v>5</v>
      </c>
      <c r="L39" s="22" t="s">
        <v>29</v>
      </c>
      <c r="M39" s="22" t="s">
        <v>62</v>
      </c>
    </row>
    <row r="40" spans="2:13" x14ac:dyDescent="0.35">
      <c r="D40" s="2" t="s">
        <v>63</v>
      </c>
      <c r="F40" s="3">
        <v>99</v>
      </c>
      <c r="G40" s="4">
        <v>25</v>
      </c>
      <c r="H40" s="5">
        <v>4</v>
      </c>
      <c r="I40" s="5">
        <v>293</v>
      </c>
      <c r="J40" s="6" t="s">
        <v>4</v>
      </c>
      <c r="K40" s="7" t="s">
        <v>5</v>
      </c>
      <c r="L40" s="7" t="s">
        <v>29</v>
      </c>
      <c r="M40" s="7" t="s">
        <v>64</v>
      </c>
    </row>
    <row r="42" spans="2:13" x14ac:dyDescent="0.35">
      <c r="B42" t="s">
        <v>1</v>
      </c>
      <c r="C42" t="s">
        <v>65</v>
      </c>
      <c r="M42" s="23" t="s">
        <v>280</v>
      </c>
    </row>
    <row r="43" spans="2:13" x14ac:dyDescent="0.35">
      <c r="D43" s="2" t="s">
        <v>66</v>
      </c>
      <c r="F43" s="3">
        <v>99</v>
      </c>
      <c r="G43" s="4">
        <v>25</v>
      </c>
      <c r="H43" s="5">
        <v>5</v>
      </c>
      <c r="I43" s="5">
        <v>610</v>
      </c>
      <c r="J43" s="6" t="s">
        <v>4</v>
      </c>
      <c r="K43" s="7" t="s">
        <v>5</v>
      </c>
      <c r="L43" s="7" t="s">
        <v>67</v>
      </c>
      <c r="M43" s="7" t="s">
        <v>68</v>
      </c>
    </row>
    <row r="44" spans="2:13" x14ac:dyDescent="0.35">
      <c r="D44" s="16" t="s">
        <v>69</v>
      </c>
      <c r="E44" s="17"/>
      <c r="F44" s="18">
        <v>99</v>
      </c>
      <c r="G44" s="19">
        <v>25</v>
      </c>
      <c r="H44" s="20">
        <v>5</v>
      </c>
      <c r="I44" s="20">
        <v>626</v>
      </c>
      <c r="J44" s="21" t="s">
        <v>4</v>
      </c>
      <c r="K44" s="22" t="s">
        <v>5</v>
      </c>
      <c r="L44" s="22" t="s">
        <v>67</v>
      </c>
      <c r="M44" s="22" t="s">
        <v>70</v>
      </c>
    </row>
    <row r="45" spans="2:13" x14ac:dyDescent="0.35">
      <c r="D45" s="2" t="s">
        <v>71</v>
      </c>
      <c r="F45" s="3">
        <v>99</v>
      </c>
      <c r="G45" s="4">
        <v>25</v>
      </c>
      <c r="H45" s="5">
        <v>5</v>
      </c>
      <c r="I45" s="5">
        <v>640</v>
      </c>
      <c r="J45" s="6" t="s">
        <v>4</v>
      </c>
      <c r="K45" s="7" t="s">
        <v>5</v>
      </c>
      <c r="L45" s="7" t="s">
        <v>67</v>
      </c>
      <c r="M45" s="7" t="s">
        <v>72</v>
      </c>
    </row>
    <row r="46" spans="2:13" x14ac:dyDescent="0.35">
      <c r="D46" s="2" t="s">
        <v>73</v>
      </c>
      <c r="F46" s="3">
        <v>99</v>
      </c>
      <c r="G46" s="4">
        <v>25</v>
      </c>
      <c r="H46" s="5">
        <v>5</v>
      </c>
      <c r="I46" s="5">
        <v>650</v>
      </c>
      <c r="J46" s="6" t="s">
        <v>4</v>
      </c>
      <c r="K46" s="7" t="s">
        <v>5</v>
      </c>
      <c r="L46" s="7" t="s">
        <v>67</v>
      </c>
      <c r="M46" s="7" t="s">
        <v>74</v>
      </c>
    </row>
    <row r="48" spans="2:13" x14ac:dyDescent="0.35">
      <c r="B48" t="s">
        <v>1</v>
      </c>
      <c r="C48" t="s">
        <v>75</v>
      </c>
      <c r="M48" s="23" t="s">
        <v>280</v>
      </c>
    </row>
    <row r="49" spans="4:13" x14ac:dyDescent="0.35">
      <c r="D49" s="2" t="s">
        <v>76</v>
      </c>
      <c r="F49" s="3">
        <v>99</v>
      </c>
      <c r="G49" s="4">
        <v>25</v>
      </c>
      <c r="H49" s="5">
        <v>7</v>
      </c>
      <c r="I49" s="5">
        <v>310</v>
      </c>
      <c r="J49" s="6" t="s">
        <v>4</v>
      </c>
      <c r="K49" s="7" t="s">
        <v>5</v>
      </c>
      <c r="L49" s="7" t="s">
        <v>77</v>
      </c>
      <c r="M49" s="7" t="s">
        <v>78</v>
      </c>
    </row>
    <row r="50" spans="4:13" x14ac:dyDescent="0.35">
      <c r="D50" s="2" t="s">
        <v>79</v>
      </c>
      <c r="F50" s="3">
        <v>99</v>
      </c>
      <c r="G50" s="4">
        <v>25</v>
      </c>
      <c r="H50" s="5">
        <v>7</v>
      </c>
      <c r="I50" s="5">
        <v>320</v>
      </c>
      <c r="J50" s="6" t="s">
        <v>4</v>
      </c>
      <c r="K50" s="7" t="s">
        <v>5</v>
      </c>
      <c r="L50" s="7" t="s">
        <v>77</v>
      </c>
      <c r="M50" s="7" t="s">
        <v>80</v>
      </c>
    </row>
    <row r="51" spans="4:13" x14ac:dyDescent="0.35">
      <c r="D51" s="2" t="s">
        <v>81</v>
      </c>
      <c r="F51" s="3">
        <v>99</v>
      </c>
      <c r="G51" s="4">
        <v>25</v>
      </c>
      <c r="H51" s="5">
        <v>7</v>
      </c>
      <c r="I51" s="5">
        <v>321</v>
      </c>
      <c r="J51" s="6" t="s">
        <v>4</v>
      </c>
      <c r="K51" s="7" t="s">
        <v>5</v>
      </c>
      <c r="L51" s="7" t="s">
        <v>77</v>
      </c>
      <c r="M51" s="7" t="s">
        <v>82</v>
      </c>
    </row>
    <row r="52" spans="4:13" x14ac:dyDescent="0.35">
      <c r="D52" s="2" t="s">
        <v>83</v>
      </c>
      <c r="F52" s="3">
        <v>99</v>
      </c>
      <c r="G52" s="4">
        <v>25</v>
      </c>
      <c r="H52" s="5">
        <v>7</v>
      </c>
      <c r="I52" s="5">
        <v>322</v>
      </c>
      <c r="J52" s="6" t="s">
        <v>4</v>
      </c>
      <c r="K52" s="7" t="s">
        <v>5</v>
      </c>
      <c r="L52" s="7" t="s">
        <v>77</v>
      </c>
      <c r="M52" s="7" t="s">
        <v>84</v>
      </c>
    </row>
    <row r="53" spans="4:13" x14ac:dyDescent="0.35">
      <c r="D53" s="2" t="s">
        <v>85</v>
      </c>
      <c r="F53" s="3">
        <v>99</v>
      </c>
      <c r="G53" s="4">
        <v>25</v>
      </c>
      <c r="H53" s="5">
        <v>7</v>
      </c>
      <c r="I53" s="5">
        <v>330</v>
      </c>
      <c r="J53" s="6" t="s">
        <v>4</v>
      </c>
      <c r="K53" s="7" t="s">
        <v>5</v>
      </c>
      <c r="L53" s="7" t="s">
        <v>77</v>
      </c>
      <c r="M53" s="7" t="s">
        <v>86</v>
      </c>
    </row>
    <row r="54" spans="4:13" x14ac:dyDescent="0.35">
      <c r="D54" s="2" t="s">
        <v>87</v>
      </c>
      <c r="F54" s="3">
        <v>99</v>
      </c>
      <c r="G54" s="4">
        <v>25</v>
      </c>
      <c r="H54" s="5">
        <v>7</v>
      </c>
      <c r="I54" s="5">
        <v>340</v>
      </c>
      <c r="J54" s="6" t="s">
        <v>4</v>
      </c>
      <c r="K54" s="7" t="s">
        <v>5</v>
      </c>
      <c r="L54" s="7" t="s">
        <v>77</v>
      </c>
      <c r="M54" s="7" t="s">
        <v>88</v>
      </c>
    </row>
    <row r="55" spans="4:13" x14ac:dyDescent="0.35">
      <c r="D55" s="2" t="s">
        <v>89</v>
      </c>
      <c r="F55" s="3">
        <v>99</v>
      </c>
      <c r="G55" s="4">
        <v>25</v>
      </c>
      <c r="H55" s="5">
        <v>7</v>
      </c>
      <c r="I55" s="5">
        <v>350</v>
      </c>
      <c r="J55" s="6" t="s">
        <v>4</v>
      </c>
      <c r="K55" s="7" t="s">
        <v>5</v>
      </c>
      <c r="L55" s="7" t="s">
        <v>77</v>
      </c>
      <c r="M55" s="7" t="s">
        <v>90</v>
      </c>
    </row>
    <row r="56" spans="4:13" x14ac:dyDescent="0.35">
      <c r="D56" s="2" t="s">
        <v>91</v>
      </c>
      <c r="F56" s="3">
        <v>99</v>
      </c>
      <c r="G56" s="4">
        <v>25</v>
      </c>
      <c r="H56" s="5">
        <v>7</v>
      </c>
      <c r="I56" s="5">
        <v>352</v>
      </c>
      <c r="J56" s="6" t="s">
        <v>4</v>
      </c>
      <c r="K56" s="7" t="s">
        <v>5</v>
      </c>
      <c r="L56" s="7" t="s">
        <v>77</v>
      </c>
      <c r="M56" s="7" t="s">
        <v>92</v>
      </c>
    </row>
    <row r="57" spans="4:13" x14ac:dyDescent="0.35">
      <c r="D57" s="2" t="s">
        <v>93</v>
      </c>
      <c r="F57" s="3">
        <v>99</v>
      </c>
      <c r="G57" s="5">
        <v>25</v>
      </c>
      <c r="H57" s="5">
        <v>7</v>
      </c>
      <c r="I57" s="5">
        <v>420</v>
      </c>
      <c r="J57" s="6" t="s">
        <v>4</v>
      </c>
      <c r="K57" s="8" t="s">
        <v>5</v>
      </c>
      <c r="L57" s="7" t="s">
        <v>77</v>
      </c>
      <c r="M57" s="7" t="s">
        <v>94</v>
      </c>
    </row>
    <row r="58" spans="4:13" x14ac:dyDescent="0.35">
      <c r="D58" s="2" t="s">
        <v>95</v>
      </c>
      <c r="E58" s="9"/>
      <c r="F58" s="3">
        <v>99</v>
      </c>
      <c r="G58" s="4">
        <v>25</v>
      </c>
      <c r="H58" s="5">
        <v>7</v>
      </c>
      <c r="I58" s="5">
        <v>431</v>
      </c>
      <c r="J58" s="6" t="s">
        <v>4</v>
      </c>
      <c r="K58" s="7" t="s">
        <v>5</v>
      </c>
      <c r="L58" s="7" t="s">
        <v>77</v>
      </c>
      <c r="M58" s="7" t="s">
        <v>96</v>
      </c>
    </row>
    <row r="59" spans="4:13" x14ac:dyDescent="0.35">
      <c r="D59" s="2" t="s">
        <v>97</v>
      </c>
      <c r="F59" s="3">
        <v>99</v>
      </c>
      <c r="G59" s="4">
        <v>25</v>
      </c>
      <c r="H59" s="5">
        <v>7</v>
      </c>
      <c r="I59" s="5">
        <v>432</v>
      </c>
      <c r="J59" s="6" t="s">
        <v>4</v>
      </c>
      <c r="K59" s="7" t="s">
        <v>5</v>
      </c>
      <c r="L59" s="7" t="s">
        <v>77</v>
      </c>
      <c r="M59" s="7" t="s">
        <v>98</v>
      </c>
    </row>
    <row r="60" spans="4:13" x14ac:dyDescent="0.35">
      <c r="D60" s="2" t="s">
        <v>99</v>
      </c>
      <c r="F60" s="3">
        <v>99</v>
      </c>
      <c r="G60" s="4">
        <v>25</v>
      </c>
      <c r="H60" s="5">
        <v>7</v>
      </c>
      <c r="I60" s="5">
        <v>442</v>
      </c>
      <c r="J60" s="6" t="s">
        <v>4</v>
      </c>
      <c r="K60" s="7" t="s">
        <v>5</v>
      </c>
      <c r="L60" s="7" t="s">
        <v>77</v>
      </c>
      <c r="M60" s="7" t="s">
        <v>100</v>
      </c>
    </row>
    <row r="61" spans="4:13" x14ac:dyDescent="0.35">
      <c r="D61" s="2" t="s">
        <v>101</v>
      </c>
      <c r="F61" s="3">
        <v>99</v>
      </c>
      <c r="G61" s="4">
        <v>25</v>
      </c>
      <c r="H61" s="5">
        <v>7</v>
      </c>
      <c r="I61" s="5">
        <v>530</v>
      </c>
      <c r="J61" s="6" t="s">
        <v>4</v>
      </c>
      <c r="K61" s="7" t="s">
        <v>5</v>
      </c>
      <c r="L61" s="7" t="s">
        <v>77</v>
      </c>
      <c r="M61" s="7" t="s">
        <v>102</v>
      </c>
    </row>
    <row r="62" spans="4:13" x14ac:dyDescent="0.35">
      <c r="D62" s="2" t="s">
        <v>103</v>
      </c>
      <c r="F62" s="3">
        <v>99</v>
      </c>
      <c r="G62" s="4">
        <v>25</v>
      </c>
      <c r="H62" s="5">
        <v>7</v>
      </c>
      <c r="I62" s="5">
        <v>550</v>
      </c>
      <c r="J62" s="6" t="s">
        <v>4</v>
      </c>
      <c r="K62" s="7" t="s">
        <v>5</v>
      </c>
      <c r="L62" s="7" t="s">
        <v>77</v>
      </c>
      <c r="M62" s="7" t="s">
        <v>104</v>
      </c>
    </row>
    <row r="63" spans="4:13" x14ac:dyDescent="0.35">
      <c r="D63" s="2" t="s">
        <v>105</v>
      </c>
      <c r="F63" s="3">
        <v>99</v>
      </c>
      <c r="G63" s="4">
        <v>25</v>
      </c>
      <c r="H63" s="5">
        <v>7</v>
      </c>
      <c r="I63" s="5">
        <v>580</v>
      </c>
      <c r="J63" s="6" t="s">
        <v>4</v>
      </c>
      <c r="K63" s="7" t="s">
        <v>5</v>
      </c>
      <c r="L63" s="7" t="s">
        <v>77</v>
      </c>
      <c r="M63" s="7" t="s">
        <v>106</v>
      </c>
    </row>
    <row r="64" spans="4:13" x14ac:dyDescent="0.35">
      <c r="D64" s="2" t="s">
        <v>107</v>
      </c>
      <c r="F64" s="3">
        <v>99</v>
      </c>
      <c r="G64" s="4">
        <v>25</v>
      </c>
      <c r="H64" s="5">
        <v>7</v>
      </c>
      <c r="I64" s="5">
        <v>810</v>
      </c>
      <c r="J64" s="6" t="s">
        <v>4</v>
      </c>
      <c r="K64" s="7" t="s">
        <v>5</v>
      </c>
      <c r="L64" s="7" t="s">
        <v>77</v>
      </c>
      <c r="M64" s="7" t="s">
        <v>108</v>
      </c>
    </row>
    <row r="65" spans="1:13" x14ac:dyDescent="0.35">
      <c r="D65" s="2" t="s">
        <v>109</v>
      </c>
      <c r="F65" s="3">
        <v>99</v>
      </c>
      <c r="G65" s="4">
        <v>25</v>
      </c>
      <c r="H65" s="5">
        <v>7</v>
      </c>
      <c r="I65" s="5">
        <v>950</v>
      </c>
      <c r="J65" s="6" t="s">
        <v>4</v>
      </c>
      <c r="K65" s="7" t="s">
        <v>5</v>
      </c>
      <c r="L65" s="7" t="s">
        <v>77</v>
      </c>
      <c r="M65" s="10" t="s">
        <v>110</v>
      </c>
    </row>
    <row r="66" spans="1:13" x14ac:dyDescent="0.35">
      <c r="D66" s="2" t="s">
        <v>111</v>
      </c>
      <c r="F66" s="3">
        <v>99</v>
      </c>
      <c r="G66" s="4">
        <v>25</v>
      </c>
      <c r="H66" s="5">
        <v>7</v>
      </c>
      <c r="I66" s="5">
        <v>960</v>
      </c>
      <c r="J66" s="6" t="s">
        <v>4</v>
      </c>
      <c r="K66" s="7" t="s">
        <v>5</v>
      </c>
      <c r="L66" s="7" t="s">
        <v>77</v>
      </c>
      <c r="M66" s="10" t="s">
        <v>112</v>
      </c>
    </row>
    <row r="68" spans="1:13" x14ac:dyDescent="0.35">
      <c r="B68" t="s">
        <v>1</v>
      </c>
      <c r="C68" t="s">
        <v>113</v>
      </c>
      <c r="M68" s="23" t="s">
        <v>280</v>
      </c>
    </row>
    <row r="69" spans="1:13" x14ac:dyDescent="0.35">
      <c r="D69" s="2" t="s">
        <v>114</v>
      </c>
      <c r="F69" s="3">
        <v>99</v>
      </c>
      <c r="G69" s="4">
        <v>25</v>
      </c>
      <c r="H69" s="5">
        <v>8</v>
      </c>
      <c r="I69" s="5">
        <v>580</v>
      </c>
      <c r="J69" s="6" t="s">
        <v>4</v>
      </c>
      <c r="K69" s="7" t="s">
        <v>5</v>
      </c>
      <c r="L69" s="7" t="s">
        <v>115</v>
      </c>
      <c r="M69" s="7" t="s">
        <v>116</v>
      </c>
    </row>
    <row r="71" spans="1:13" x14ac:dyDescent="0.35">
      <c r="B71" t="s">
        <v>1</v>
      </c>
      <c r="C71" t="s">
        <v>117</v>
      </c>
      <c r="M71" s="23" t="s">
        <v>280</v>
      </c>
    </row>
    <row r="72" spans="1:13" x14ac:dyDescent="0.35">
      <c r="D72" s="2" t="s">
        <v>118</v>
      </c>
      <c r="F72" s="3">
        <v>99</v>
      </c>
      <c r="G72" s="4">
        <v>25</v>
      </c>
      <c r="H72" s="5">
        <v>9</v>
      </c>
      <c r="I72" s="5">
        <v>733</v>
      </c>
      <c r="J72" s="6" t="s">
        <v>4</v>
      </c>
      <c r="K72" s="7" t="s">
        <v>5</v>
      </c>
      <c r="L72" s="7" t="s">
        <v>117</v>
      </c>
      <c r="M72" s="7" t="s">
        <v>119</v>
      </c>
    </row>
    <row r="73" spans="1:13" x14ac:dyDescent="0.35">
      <c r="D73" s="2" t="s">
        <v>120</v>
      </c>
      <c r="F73" s="3">
        <v>99</v>
      </c>
      <c r="G73" s="4">
        <v>25</v>
      </c>
      <c r="H73" s="5">
        <v>9</v>
      </c>
      <c r="I73" s="5">
        <v>739</v>
      </c>
      <c r="J73" s="6" t="s">
        <v>4</v>
      </c>
      <c r="K73" s="7" t="s">
        <v>5</v>
      </c>
      <c r="L73" s="7" t="s">
        <v>117</v>
      </c>
      <c r="M73" s="7" t="s">
        <v>121</v>
      </c>
    </row>
    <row r="74" spans="1:13" x14ac:dyDescent="0.35">
      <c r="D74" s="2" t="s">
        <v>122</v>
      </c>
      <c r="F74" s="3">
        <v>99</v>
      </c>
      <c r="G74" s="4">
        <v>25</v>
      </c>
      <c r="H74" s="5">
        <v>9</v>
      </c>
      <c r="I74" s="5">
        <v>950</v>
      </c>
      <c r="J74" s="6" t="s">
        <v>4</v>
      </c>
      <c r="K74" s="7" t="s">
        <v>5</v>
      </c>
      <c r="L74" s="7" t="s">
        <v>117</v>
      </c>
      <c r="M74" s="10" t="s">
        <v>123</v>
      </c>
    </row>
    <row r="75" spans="1:13" x14ac:dyDescent="0.35">
      <c r="D75" s="2" t="s">
        <v>124</v>
      </c>
      <c r="F75" s="3">
        <v>99</v>
      </c>
      <c r="G75" s="4">
        <v>25</v>
      </c>
      <c r="H75" s="5">
        <v>9</v>
      </c>
      <c r="I75" s="5">
        <v>960</v>
      </c>
      <c r="J75" s="6" t="s">
        <v>4</v>
      </c>
      <c r="K75" s="7" t="s">
        <v>5</v>
      </c>
      <c r="L75" s="7" t="s">
        <v>117</v>
      </c>
      <c r="M75" s="10" t="s">
        <v>125</v>
      </c>
    </row>
    <row r="77" spans="1:13" x14ac:dyDescent="0.35">
      <c r="B77" t="s">
        <v>1</v>
      </c>
      <c r="C77" t="s">
        <v>126</v>
      </c>
      <c r="M77" s="23" t="s">
        <v>280</v>
      </c>
    </row>
    <row r="78" spans="1:13" x14ac:dyDescent="0.35">
      <c r="D78" s="2" t="s">
        <v>127</v>
      </c>
      <c r="F78" s="3">
        <v>99</v>
      </c>
      <c r="G78" s="4">
        <v>25</v>
      </c>
      <c r="H78" s="11" t="s">
        <v>128</v>
      </c>
      <c r="I78" s="11" t="s">
        <v>129</v>
      </c>
      <c r="J78" s="6" t="s">
        <v>4</v>
      </c>
      <c r="K78" s="7" t="s">
        <v>5</v>
      </c>
      <c r="L78" s="7" t="s">
        <v>130</v>
      </c>
      <c r="M78" s="7" t="s">
        <v>130</v>
      </c>
    </row>
    <row r="80" spans="1:13" ht="15.5" x14ac:dyDescent="0.35">
      <c r="A80" s="1" t="s">
        <v>131</v>
      </c>
    </row>
    <row r="81" spans="2:13" x14ac:dyDescent="0.35">
      <c r="B81" t="s">
        <v>132</v>
      </c>
      <c r="C81" t="s">
        <v>75</v>
      </c>
      <c r="M81" s="23" t="s">
        <v>280</v>
      </c>
    </row>
    <row r="82" spans="2:13" x14ac:dyDescent="0.35">
      <c r="D82" s="2" t="s">
        <v>133</v>
      </c>
      <c r="F82" s="3">
        <v>99</v>
      </c>
      <c r="G82" s="4">
        <v>29</v>
      </c>
      <c r="H82" s="5">
        <v>7</v>
      </c>
      <c r="I82" s="5">
        <v>320</v>
      </c>
      <c r="J82" s="6" t="s">
        <v>4</v>
      </c>
      <c r="K82" s="7" t="s">
        <v>134</v>
      </c>
      <c r="L82" s="7" t="s">
        <v>77</v>
      </c>
      <c r="M82" s="7" t="s">
        <v>80</v>
      </c>
    </row>
    <row r="83" spans="2:13" x14ac:dyDescent="0.35">
      <c r="D83" s="2" t="s">
        <v>135</v>
      </c>
      <c r="F83" s="3">
        <v>99</v>
      </c>
      <c r="G83" s="4">
        <v>29</v>
      </c>
      <c r="H83" s="5">
        <v>7</v>
      </c>
      <c r="I83" s="5">
        <v>321</v>
      </c>
      <c r="J83" s="6" t="s">
        <v>4</v>
      </c>
      <c r="K83" s="7" t="s">
        <v>134</v>
      </c>
      <c r="L83" s="7" t="s">
        <v>77</v>
      </c>
      <c r="M83" s="7" t="s">
        <v>82</v>
      </c>
    </row>
    <row r="84" spans="2:13" x14ac:dyDescent="0.35">
      <c r="D84" s="2" t="s">
        <v>136</v>
      </c>
      <c r="F84" s="3">
        <v>99</v>
      </c>
      <c r="G84" s="4">
        <v>29</v>
      </c>
      <c r="H84" s="5">
        <v>7</v>
      </c>
      <c r="I84" s="5">
        <v>322</v>
      </c>
      <c r="J84" s="6" t="s">
        <v>4</v>
      </c>
      <c r="K84" s="7" t="s">
        <v>134</v>
      </c>
      <c r="L84" s="7" t="s">
        <v>77</v>
      </c>
      <c r="M84" s="7" t="s">
        <v>84</v>
      </c>
    </row>
    <row r="85" spans="2:13" x14ac:dyDescent="0.35">
      <c r="D85" s="2" t="s">
        <v>137</v>
      </c>
      <c r="F85" s="3">
        <v>99</v>
      </c>
      <c r="G85" s="4">
        <v>29</v>
      </c>
      <c r="H85" s="5">
        <v>7</v>
      </c>
      <c r="I85" s="5">
        <v>330</v>
      </c>
      <c r="J85" s="6" t="s">
        <v>4</v>
      </c>
      <c r="K85" s="7" t="s">
        <v>134</v>
      </c>
      <c r="L85" s="7" t="s">
        <v>77</v>
      </c>
      <c r="M85" s="7" t="s">
        <v>86</v>
      </c>
    </row>
    <row r="86" spans="2:13" x14ac:dyDescent="0.35">
      <c r="D86" s="2" t="s">
        <v>138</v>
      </c>
      <c r="F86" s="3">
        <v>99</v>
      </c>
      <c r="G86" s="4">
        <v>29</v>
      </c>
      <c r="H86" s="5">
        <v>7</v>
      </c>
      <c r="I86" s="5">
        <v>340</v>
      </c>
      <c r="J86" s="6" t="s">
        <v>4</v>
      </c>
      <c r="K86" s="7" t="s">
        <v>134</v>
      </c>
      <c r="L86" s="7" t="s">
        <v>77</v>
      </c>
      <c r="M86" s="7" t="s">
        <v>88</v>
      </c>
    </row>
    <row r="87" spans="2:13" x14ac:dyDescent="0.35">
      <c r="D87" s="2" t="s">
        <v>139</v>
      </c>
      <c r="F87" s="3">
        <v>99</v>
      </c>
      <c r="G87" s="4">
        <v>29</v>
      </c>
      <c r="H87" s="5">
        <v>7</v>
      </c>
      <c r="I87" s="5">
        <v>431</v>
      </c>
      <c r="J87" s="6" t="s">
        <v>4</v>
      </c>
      <c r="K87" s="7" t="s">
        <v>134</v>
      </c>
      <c r="L87" s="7" t="s">
        <v>77</v>
      </c>
      <c r="M87" s="7" t="s">
        <v>96</v>
      </c>
    </row>
    <row r="88" spans="2:13" x14ac:dyDescent="0.35">
      <c r="D88" s="2" t="s">
        <v>140</v>
      </c>
      <c r="F88" s="3">
        <v>99</v>
      </c>
      <c r="G88" s="4">
        <v>29</v>
      </c>
      <c r="H88" s="5">
        <v>7</v>
      </c>
      <c r="I88" s="5">
        <v>432</v>
      </c>
      <c r="J88" s="6" t="s">
        <v>4</v>
      </c>
      <c r="K88" s="7" t="s">
        <v>134</v>
      </c>
      <c r="L88" s="7" t="s">
        <v>77</v>
      </c>
      <c r="M88" s="7" t="s">
        <v>98</v>
      </c>
    </row>
    <row r="89" spans="2:13" x14ac:dyDescent="0.35">
      <c r="D89" s="2" t="s">
        <v>141</v>
      </c>
      <c r="F89" s="3">
        <v>99</v>
      </c>
      <c r="G89" s="4">
        <v>29</v>
      </c>
      <c r="H89" s="5">
        <v>7</v>
      </c>
      <c r="I89" s="5">
        <v>441</v>
      </c>
      <c r="J89" s="6" t="s">
        <v>4</v>
      </c>
      <c r="K89" s="7" t="s">
        <v>134</v>
      </c>
      <c r="L89" s="7" t="s">
        <v>77</v>
      </c>
      <c r="M89" s="7" t="s">
        <v>142</v>
      </c>
    </row>
    <row r="90" spans="2:13" x14ac:dyDescent="0.35">
      <c r="D90" s="2" t="s">
        <v>143</v>
      </c>
      <c r="F90" s="3">
        <v>99</v>
      </c>
      <c r="G90" s="4">
        <v>29</v>
      </c>
      <c r="H90" s="5">
        <v>7</v>
      </c>
      <c r="I90" s="5">
        <v>442</v>
      </c>
      <c r="J90" s="6" t="s">
        <v>4</v>
      </c>
      <c r="K90" s="7" t="s">
        <v>134</v>
      </c>
      <c r="L90" s="7" t="s">
        <v>77</v>
      </c>
      <c r="M90" s="7" t="s">
        <v>100</v>
      </c>
    </row>
    <row r="91" spans="2:13" x14ac:dyDescent="0.35">
      <c r="D91" s="2" t="s">
        <v>144</v>
      </c>
      <c r="F91" s="3">
        <v>99</v>
      </c>
      <c r="G91" s="4">
        <v>29</v>
      </c>
      <c r="H91" s="5">
        <v>7</v>
      </c>
      <c r="I91" s="5">
        <v>443</v>
      </c>
      <c r="J91" s="6" t="s">
        <v>4</v>
      </c>
      <c r="K91" s="7" t="s">
        <v>134</v>
      </c>
      <c r="L91" s="7" t="s">
        <v>77</v>
      </c>
      <c r="M91" s="7" t="s">
        <v>145</v>
      </c>
    </row>
    <row r="92" spans="2:13" x14ac:dyDescent="0.35">
      <c r="D92" s="2" t="s">
        <v>146</v>
      </c>
      <c r="F92" s="3">
        <v>99</v>
      </c>
      <c r="G92" s="4">
        <v>29</v>
      </c>
      <c r="H92" s="5">
        <v>7</v>
      </c>
      <c r="I92" s="5">
        <v>490</v>
      </c>
      <c r="J92" s="6" t="s">
        <v>4</v>
      </c>
      <c r="K92" s="7" t="s">
        <v>134</v>
      </c>
      <c r="L92" s="7" t="s">
        <v>77</v>
      </c>
      <c r="M92" s="7" t="s">
        <v>147</v>
      </c>
    </row>
    <row r="93" spans="2:13" x14ac:dyDescent="0.35">
      <c r="D93" s="2" t="s">
        <v>148</v>
      </c>
      <c r="F93" s="3">
        <v>99</v>
      </c>
      <c r="G93" s="4">
        <v>29</v>
      </c>
      <c r="H93" s="5">
        <v>7</v>
      </c>
      <c r="I93" s="5">
        <v>511</v>
      </c>
      <c r="J93" s="6" t="s">
        <v>4</v>
      </c>
      <c r="K93" s="7" t="s">
        <v>134</v>
      </c>
      <c r="L93" s="7" t="s">
        <v>77</v>
      </c>
      <c r="M93" s="7" t="s">
        <v>149</v>
      </c>
    </row>
    <row r="94" spans="2:13" x14ac:dyDescent="0.35">
      <c r="D94" s="2" t="s">
        <v>150</v>
      </c>
      <c r="F94" s="3">
        <v>99</v>
      </c>
      <c r="G94" s="4">
        <v>29</v>
      </c>
      <c r="H94" s="5">
        <v>7</v>
      </c>
      <c r="I94" s="5">
        <v>512</v>
      </c>
      <c r="J94" s="6" t="s">
        <v>4</v>
      </c>
      <c r="K94" s="7" t="s">
        <v>134</v>
      </c>
      <c r="L94" s="7" t="s">
        <v>77</v>
      </c>
      <c r="M94" s="7" t="s">
        <v>151</v>
      </c>
    </row>
    <row r="95" spans="2:13" x14ac:dyDescent="0.35">
      <c r="D95" s="2" t="s">
        <v>152</v>
      </c>
      <c r="F95" s="3">
        <v>99</v>
      </c>
      <c r="G95" s="4">
        <v>29</v>
      </c>
      <c r="H95" s="5">
        <v>7</v>
      </c>
      <c r="I95" s="5">
        <v>519</v>
      </c>
      <c r="J95" s="6" t="s">
        <v>4</v>
      </c>
      <c r="K95" s="7" t="s">
        <v>134</v>
      </c>
      <c r="L95" s="7" t="s">
        <v>77</v>
      </c>
      <c r="M95" s="7" t="s">
        <v>153</v>
      </c>
    </row>
    <row r="96" spans="2:13" x14ac:dyDescent="0.35">
      <c r="D96" s="2" t="s">
        <v>154</v>
      </c>
      <c r="F96" s="3">
        <v>99</v>
      </c>
      <c r="G96" s="4">
        <v>29</v>
      </c>
      <c r="H96" s="5">
        <v>7</v>
      </c>
      <c r="I96" s="5">
        <v>810</v>
      </c>
      <c r="J96" s="6" t="s">
        <v>4</v>
      </c>
      <c r="K96" s="7" t="s">
        <v>134</v>
      </c>
      <c r="L96" s="7" t="s">
        <v>77</v>
      </c>
      <c r="M96" s="7" t="s">
        <v>108</v>
      </c>
    </row>
    <row r="98" spans="1:13" ht="15.5" x14ac:dyDescent="0.35">
      <c r="A98" s="1" t="s">
        <v>155</v>
      </c>
    </row>
    <row r="99" spans="1:13" x14ac:dyDescent="0.35">
      <c r="B99" t="s">
        <v>156</v>
      </c>
      <c r="C99" t="s">
        <v>157</v>
      </c>
      <c r="M99" s="23" t="s">
        <v>280</v>
      </c>
    </row>
    <row r="100" spans="1:13" x14ac:dyDescent="0.35">
      <c r="D100" s="2" t="s">
        <v>158</v>
      </c>
      <c r="F100" s="3">
        <v>99</v>
      </c>
      <c r="G100" s="4">
        <v>52</v>
      </c>
      <c r="H100" s="5">
        <v>3</v>
      </c>
      <c r="I100" s="5">
        <v>110</v>
      </c>
      <c r="J100" s="6" t="s">
        <v>4</v>
      </c>
      <c r="K100" s="7" t="s">
        <v>159</v>
      </c>
      <c r="L100" s="7" t="s">
        <v>20</v>
      </c>
      <c r="M100" s="7" t="s">
        <v>7</v>
      </c>
    </row>
    <row r="101" spans="1:13" x14ac:dyDescent="0.35">
      <c r="D101" s="2" t="s">
        <v>160</v>
      </c>
      <c r="F101" s="3">
        <v>99</v>
      </c>
      <c r="G101" s="4">
        <v>52</v>
      </c>
      <c r="H101" s="5">
        <v>3</v>
      </c>
      <c r="I101" s="5">
        <v>120</v>
      </c>
      <c r="J101" s="6" t="s">
        <v>4</v>
      </c>
      <c r="K101" s="7" t="s">
        <v>159</v>
      </c>
      <c r="L101" s="7" t="s">
        <v>20</v>
      </c>
      <c r="M101" s="7" t="s">
        <v>9</v>
      </c>
    </row>
    <row r="102" spans="1:13" x14ac:dyDescent="0.35">
      <c r="D102" s="2" t="s">
        <v>161</v>
      </c>
      <c r="F102" s="3">
        <v>99</v>
      </c>
      <c r="G102" s="4">
        <v>52</v>
      </c>
      <c r="H102" s="5">
        <v>3</v>
      </c>
      <c r="I102" s="5">
        <v>130</v>
      </c>
      <c r="J102" s="6" t="s">
        <v>4</v>
      </c>
      <c r="K102" s="7" t="s">
        <v>159</v>
      </c>
      <c r="L102" s="7" t="s">
        <v>20</v>
      </c>
      <c r="M102" s="7" t="s">
        <v>23</v>
      </c>
    </row>
    <row r="103" spans="1:13" x14ac:dyDescent="0.35">
      <c r="D103" s="16" t="s">
        <v>162</v>
      </c>
      <c r="E103" s="17"/>
      <c r="F103" s="18">
        <v>99</v>
      </c>
      <c r="G103" s="19">
        <v>52</v>
      </c>
      <c r="H103" s="20">
        <v>3</v>
      </c>
      <c r="I103" s="20">
        <v>140</v>
      </c>
      <c r="J103" s="21" t="s">
        <v>4</v>
      </c>
      <c r="K103" s="22" t="s">
        <v>159</v>
      </c>
      <c r="L103" s="22" t="s">
        <v>20</v>
      </c>
      <c r="M103" s="22" t="s">
        <v>13</v>
      </c>
    </row>
    <row r="104" spans="1:13" x14ac:dyDescent="0.35">
      <c r="D104" s="2" t="s">
        <v>163</v>
      </c>
      <c r="F104" s="3">
        <v>99</v>
      </c>
      <c r="G104" s="4">
        <v>52</v>
      </c>
      <c r="H104" s="5">
        <v>3</v>
      </c>
      <c r="I104" s="5">
        <v>150</v>
      </c>
      <c r="J104" s="6" t="s">
        <v>4</v>
      </c>
      <c r="K104" s="7" t="s">
        <v>159</v>
      </c>
      <c r="L104" s="7" t="s">
        <v>20</v>
      </c>
      <c r="M104" s="7" t="s">
        <v>15</v>
      </c>
    </row>
    <row r="105" spans="1:13" x14ac:dyDescent="0.35">
      <c r="D105" s="2" t="s">
        <v>164</v>
      </c>
      <c r="F105" s="3">
        <v>99</v>
      </c>
      <c r="G105" s="4">
        <v>52</v>
      </c>
      <c r="H105" s="5">
        <v>3</v>
      </c>
      <c r="I105" s="5">
        <v>160</v>
      </c>
      <c r="J105" s="6" t="s">
        <v>4</v>
      </c>
      <c r="K105" s="7" t="s">
        <v>159</v>
      </c>
      <c r="L105" s="7" t="s">
        <v>20</v>
      </c>
      <c r="M105" s="7" t="s">
        <v>17</v>
      </c>
    </row>
    <row r="107" spans="1:13" x14ac:dyDescent="0.35">
      <c r="B107" t="s">
        <v>156</v>
      </c>
      <c r="C107" t="s">
        <v>27</v>
      </c>
      <c r="M107" s="23" t="s">
        <v>280</v>
      </c>
    </row>
    <row r="108" spans="1:13" x14ac:dyDescent="0.35">
      <c r="D108" s="2" t="s">
        <v>165</v>
      </c>
      <c r="F108" s="3">
        <v>99</v>
      </c>
      <c r="G108" s="4">
        <v>52</v>
      </c>
      <c r="H108" s="5">
        <v>4</v>
      </c>
      <c r="I108" s="5">
        <v>213</v>
      </c>
      <c r="J108" s="6" t="s">
        <v>4</v>
      </c>
      <c r="K108" s="7" t="s">
        <v>159</v>
      </c>
      <c r="L108" s="7" t="s">
        <v>29</v>
      </c>
      <c r="M108" s="7" t="s">
        <v>32</v>
      </c>
    </row>
    <row r="109" spans="1:13" x14ac:dyDescent="0.35">
      <c r="D109" s="2" t="s">
        <v>166</v>
      </c>
      <c r="F109" s="3">
        <v>99</v>
      </c>
      <c r="G109" s="4">
        <v>52</v>
      </c>
      <c r="H109" s="5">
        <v>4</v>
      </c>
      <c r="I109" s="5">
        <v>223</v>
      </c>
      <c r="J109" s="6" t="s">
        <v>4</v>
      </c>
      <c r="K109" s="7" t="s">
        <v>159</v>
      </c>
      <c r="L109" s="7" t="s">
        <v>29</v>
      </c>
      <c r="M109" s="7" t="s">
        <v>36</v>
      </c>
    </row>
    <row r="110" spans="1:13" x14ac:dyDescent="0.35">
      <c r="D110" s="2" t="s">
        <v>167</v>
      </c>
      <c r="F110" s="3">
        <v>99</v>
      </c>
      <c r="G110" s="4">
        <v>52</v>
      </c>
      <c r="H110" s="5">
        <v>4</v>
      </c>
      <c r="I110" s="5">
        <v>233</v>
      </c>
      <c r="J110" s="6" t="s">
        <v>4</v>
      </c>
      <c r="K110" s="7" t="s">
        <v>159</v>
      </c>
      <c r="L110" s="7" t="s">
        <v>29</v>
      </c>
      <c r="M110" s="7" t="s">
        <v>40</v>
      </c>
    </row>
    <row r="111" spans="1:13" x14ac:dyDescent="0.35">
      <c r="D111" s="16" t="s">
        <v>168</v>
      </c>
      <c r="E111" s="17"/>
      <c r="F111" s="18">
        <v>99</v>
      </c>
      <c r="G111" s="19">
        <v>52</v>
      </c>
      <c r="H111" s="20">
        <v>4</v>
      </c>
      <c r="I111" s="20">
        <v>243</v>
      </c>
      <c r="J111" s="21" t="s">
        <v>4</v>
      </c>
      <c r="K111" s="22" t="s">
        <v>159</v>
      </c>
      <c r="L111" s="22" t="s">
        <v>29</v>
      </c>
      <c r="M111" s="22" t="s">
        <v>44</v>
      </c>
    </row>
    <row r="112" spans="1:13" x14ac:dyDescent="0.35">
      <c r="D112" s="16" t="s">
        <v>169</v>
      </c>
      <c r="E112" s="17"/>
      <c r="F112" s="18">
        <v>99</v>
      </c>
      <c r="G112" s="19">
        <v>52</v>
      </c>
      <c r="H112" s="20">
        <v>4</v>
      </c>
      <c r="I112" s="20">
        <v>253</v>
      </c>
      <c r="J112" s="21" t="s">
        <v>4</v>
      </c>
      <c r="K112" s="22" t="s">
        <v>159</v>
      </c>
      <c r="L112" s="22" t="s">
        <v>29</v>
      </c>
      <c r="M112" s="22" t="s">
        <v>48</v>
      </c>
    </row>
    <row r="113" spans="2:13" x14ac:dyDescent="0.35">
      <c r="D113" s="2" t="s">
        <v>170</v>
      </c>
      <c r="F113" s="3">
        <v>99</v>
      </c>
      <c r="G113" s="4">
        <v>52</v>
      </c>
      <c r="H113" s="5">
        <v>4</v>
      </c>
      <c r="I113" s="5">
        <v>263</v>
      </c>
      <c r="J113" s="6" t="s">
        <v>4</v>
      </c>
      <c r="K113" s="7" t="s">
        <v>159</v>
      </c>
      <c r="L113" s="7" t="s">
        <v>29</v>
      </c>
      <c r="M113" s="7" t="s">
        <v>52</v>
      </c>
    </row>
    <row r="114" spans="2:13" x14ac:dyDescent="0.35">
      <c r="D114" s="2" t="s">
        <v>171</v>
      </c>
      <c r="F114" s="3">
        <v>99</v>
      </c>
      <c r="G114" s="4">
        <v>52</v>
      </c>
      <c r="H114" s="5">
        <v>4</v>
      </c>
      <c r="I114" s="5">
        <v>273</v>
      </c>
      <c r="J114" s="6" t="s">
        <v>4</v>
      </c>
      <c r="K114" s="7" t="s">
        <v>159</v>
      </c>
      <c r="L114" s="7" t="s">
        <v>29</v>
      </c>
      <c r="M114" s="7" t="s">
        <v>56</v>
      </c>
    </row>
    <row r="115" spans="2:13" x14ac:dyDescent="0.35">
      <c r="D115" s="2" t="s">
        <v>172</v>
      </c>
      <c r="F115" s="3">
        <v>99</v>
      </c>
      <c r="G115" s="4">
        <v>52</v>
      </c>
      <c r="H115" s="5">
        <v>4</v>
      </c>
      <c r="I115" s="5">
        <v>283</v>
      </c>
      <c r="J115" s="6" t="s">
        <v>4</v>
      </c>
      <c r="K115" s="7" t="s">
        <v>159</v>
      </c>
      <c r="L115" s="7" t="s">
        <v>29</v>
      </c>
      <c r="M115" s="7" t="s">
        <v>60</v>
      </c>
    </row>
    <row r="116" spans="2:13" x14ac:dyDescent="0.35">
      <c r="D116" s="2" t="s">
        <v>173</v>
      </c>
      <c r="F116" s="3">
        <v>99</v>
      </c>
      <c r="G116" s="4">
        <v>52</v>
      </c>
      <c r="H116" s="5">
        <v>4</v>
      </c>
      <c r="I116" s="5">
        <v>293</v>
      </c>
      <c r="J116" s="6" t="s">
        <v>4</v>
      </c>
      <c r="K116" s="7" t="s">
        <v>159</v>
      </c>
      <c r="L116" s="7" t="s">
        <v>29</v>
      </c>
      <c r="M116" s="7" t="s">
        <v>64</v>
      </c>
    </row>
    <row r="118" spans="2:13" x14ac:dyDescent="0.35">
      <c r="B118" t="s">
        <v>156</v>
      </c>
      <c r="C118" t="s">
        <v>65</v>
      </c>
      <c r="M118" s="23" t="s">
        <v>280</v>
      </c>
    </row>
    <row r="119" spans="2:13" x14ac:dyDescent="0.35">
      <c r="D119" s="2" t="s">
        <v>174</v>
      </c>
      <c r="F119" s="3">
        <v>99</v>
      </c>
      <c r="G119" s="4">
        <v>52</v>
      </c>
      <c r="H119" s="5">
        <v>5</v>
      </c>
      <c r="I119" s="5">
        <v>610</v>
      </c>
      <c r="J119" s="6" t="s">
        <v>4</v>
      </c>
      <c r="K119" s="7" t="s">
        <v>159</v>
      </c>
      <c r="L119" s="7" t="s">
        <v>67</v>
      </c>
      <c r="M119" s="7" t="s">
        <v>68</v>
      </c>
    </row>
    <row r="120" spans="2:13" x14ac:dyDescent="0.35">
      <c r="D120" s="2" t="s">
        <v>175</v>
      </c>
      <c r="F120" s="3">
        <v>99</v>
      </c>
      <c r="G120" s="4">
        <v>52</v>
      </c>
      <c r="H120" s="5">
        <v>5</v>
      </c>
      <c r="I120" s="5">
        <v>626</v>
      </c>
      <c r="J120" s="6" t="s">
        <v>4</v>
      </c>
      <c r="K120" s="7" t="s">
        <v>159</v>
      </c>
      <c r="L120" s="7" t="s">
        <v>67</v>
      </c>
      <c r="M120" s="7" t="s">
        <v>70</v>
      </c>
    </row>
    <row r="121" spans="2:13" x14ac:dyDescent="0.35">
      <c r="D121" s="2" t="s">
        <v>176</v>
      </c>
      <c r="F121" s="3">
        <v>99</v>
      </c>
      <c r="G121" s="4">
        <v>52</v>
      </c>
      <c r="H121" s="5">
        <v>5</v>
      </c>
      <c r="I121" s="5">
        <v>640</v>
      </c>
      <c r="J121" s="6" t="s">
        <v>4</v>
      </c>
      <c r="K121" s="7" t="s">
        <v>159</v>
      </c>
      <c r="L121" s="7" t="s">
        <v>67</v>
      </c>
      <c r="M121" s="7" t="s">
        <v>72</v>
      </c>
    </row>
    <row r="122" spans="2:13" x14ac:dyDescent="0.35">
      <c r="D122" s="2" t="s">
        <v>177</v>
      </c>
      <c r="F122" s="3">
        <v>99</v>
      </c>
      <c r="G122" s="4">
        <v>52</v>
      </c>
      <c r="H122" s="5">
        <v>5</v>
      </c>
      <c r="I122" s="5">
        <v>650</v>
      </c>
      <c r="J122" s="6" t="s">
        <v>4</v>
      </c>
      <c r="K122" s="7" t="s">
        <v>159</v>
      </c>
      <c r="L122" s="7" t="s">
        <v>67</v>
      </c>
      <c r="M122" s="7" t="s">
        <v>74</v>
      </c>
    </row>
    <row r="124" spans="2:13" x14ac:dyDescent="0.35">
      <c r="B124" t="s">
        <v>156</v>
      </c>
      <c r="C124" t="s">
        <v>75</v>
      </c>
      <c r="M124" s="23" t="s">
        <v>280</v>
      </c>
    </row>
    <row r="125" spans="2:13" x14ac:dyDescent="0.35">
      <c r="D125" s="2" t="s">
        <v>178</v>
      </c>
      <c r="F125" s="3">
        <v>99</v>
      </c>
      <c r="G125" s="4">
        <v>52</v>
      </c>
      <c r="H125" s="5">
        <v>7</v>
      </c>
      <c r="I125" s="5">
        <v>310</v>
      </c>
      <c r="J125" s="6" t="s">
        <v>4</v>
      </c>
      <c r="K125" s="7" t="s">
        <v>159</v>
      </c>
      <c r="L125" s="7" t="s">
        <v>77</v>
      </c>
      <c r="M125" s="7" t="s">
        <v>78</v>
      </c>
    </row>
    <row r="126" spans="2:13" x14ac:dyDescent="0.35">
      <c r="D126" s="2" t="s">
        <v>179</v>
      </c>
      <c r="F126" s="3">
        <v>99</v>
      </c>
      <c r="G126" s="4">
        <v>52</v>
      </c>
      <c r="H126" s="5">
        <v>7</v>
      </c>
      <c r="I126" s="5">
        <v>330</v>
      </c>
      <c r="J126" s="6" t="s">
        <v>4</v>
      </c>
      <c r="K126" s="7" t="s">
        <v>159</v>
      </c>
      <c r="L126" s="7" t="s">
        <v>77</v>
      </c>
      <c r="M126" s="7" t="s">
        <v>86</v>
      </c>
    </row>
    <row r="127" spans="2:13" x14ac:dyDescent="0.35">
      <c r="D127" s="2" t="s">
        <v>180</v>
      </c>
      <c r="F127" s="3">
        <v>99</v>
      </c>
      <c r="G127" s="4">
        <v>52</v>
      </c>
      <c r="H127" s="5">
        <v>7</v>
      </c>
      <c r="I127" s="5">
        <v>340</v>
      </c>
      <c r="J127" s="6" t="s">
        <v>4</v>
      </c>
      <c r="K127" s="7" t="s">
        <v>159</v>
      </c>
      <c r="L127" s="7" t="s">
        <v>77</v>
      </c>
      <c r="M127" s="7" t="s">
        <v>88</v>
      </c>
    </row>
    <row r="128" spans="2:13" x14ac:dyDescent="0.35">
      <c r="D128" s="2" t="s">
        <v>181</v>
      </c>
      <c r="F128" s="3">
        <v>99</v>
      </c>
      <c r="G128" s="4">
        <v>52</v>
      </c>
      <c r="H128" s="5">
        <v>7</v>
      </c>
      <c r="I128" s="5">
        <v>350</v>
      </c>
      <c r="J128" s="6" t="s">
        <v>4</v>
      </c>
      <c r="K128" s="7" t="s">
        <v>159</v>
      </c>
      <c r="L128" s="7" t="s">
        <v>77</v>
      </c>
      <c r="M128" s="7" t="s">
        <v>90</v>
      </c>
    </row>
    <row r="129" spans="4:13" x14ac:dyDescent="0.35">
      <c r="D129" s="2" t="s">
        <v>182</v>
      </c>
      <c r="F129" s="3">
        <v>99</v>
      </c>
      <c r="G129" s="4">
        <v>52</v>
      </c>
      <c r="H129" s="5">
        <v>7</v>
      </c>
      <c r="I129" s="5">
        <v>352</v>
      </c>
      <c r="J129" s="6" t="s">
        <v>4</v>
      </c>
      <c r="K129" s="7" t="s">
        <v>159</v>
      </c>
      <c r="L129" s="7" t="s">
        <v>77</v>
      </c>
      <c r="M129" s="7" t="s">
        <v>92</v>
      </c>
    </row>
    <row r="130" spans="4:13" x14ac:dyDescent="0.35">
      <c r="D130" s="2" t="s">
        <v>183</v>
      </c>
      <c r="F130" s="3">
        <v>99</v>
      </c>
      <c r="G130" s="5">
        <v>52</v>
      </c>
      <c r="H130" s="5">
        <v>7</v>
      </c>
      <c r="I130" s="5">
        <v>420</v>
      </c>
      <c r="J130" s="6" t="s">
        <v>4</v>
      </c>
      <c r="K130" s="8" t="s">
        <v>159</v>
      </c>
      <c r="L130" s="7" t="s">
        <v>77</v>
      </c>
      <c r="M130" s="7" t="s">
        <v>94</v>
      </c>
    </row>
    <row r="131" spans="4:13" x14ac:dyDescent="0.35">
      <c r="D131" s="2" t="s">
        <v>184</v>
      </c>
      <c r="F131" s="3">
        <v>99</v>
      </c>
      <c r="G131" s="4">
        <v>52</v>
      </c>
      <c r="H131" s="5">
        <v>7</v>
      </c>
      <c r="I131" s="5">
        <v>431</v>
      </c>
      <c r="J131" s="6" t="s">
        <v>4</v>
      </c>
      <c r="K131" s="7" t="s">
        <v>159</v>
      </c>
      <c r="L131" s="7" t="s">
        <v>77</v>
      </c>
      <c r="M131" s="7" t="s">
        <v>96</v>
      </c>
    </row>
    <row r="132" spans="4:13" x14ac:dyDescent="0.35">
      <c r="D132" s="2" t="s">
        <v>185</v>
      </c>
      <c r="F132" s="3">
        <v>99</v>
      </c>
      <c r="G132" s="4">
        <v>52</v>
      </c>
      <c r="H132" s="5">
        <v>7</v>
      </c>
      <c r="I132" s="5">
        <v>432</v>
      </c>
      <c r="J132" s="6" t="s">
        <v>4</v>
      </c>
      <c r="K132" s="7" t="s">
        <v>159</v>
      </c>
      <c r="L132" s="7" t="s">
        <v>77</v>
      </c>
      <c r="M132" s="7" t="s">
        <v>98</v>
      </c>
    </row>
    <row r="133" spans="4:13" x14ac:dyDescent="0.35">
      <c r="D133" s="2" t="s">
        <v>186</v>
      </c>
      <c r="F133" s="3">
        <v>99</v>
      </c>
      <c r="G133" s="4">
        <v>52</v>
      </c>
      <c r="H133" s="5">
        <v>7</v>
      </c>
      <c r="I133" s="5">
        <v>442</v>
      </c>
      <c r="J133" s="6" t="s">
        <v>4</v>
      </c>
      <c r="K133" s="7" t="s">
        <v>159</v>
      </c>
      <c r="L133" s="7" t="s">
        <v>77</v>
      </c>
      <c r="M133" s="7" t="s">
        <v>100</v>
      </c>
    </row>
    <row r="134" spans="4:13" x14ac:dyDescent="0.35">
      <c r="D134" s="2" t="s">
        <v>187</v>
      </c>
      <c r="F134" s="3">
        <v>99</v>
      </c>
      <c r="G134" s="4">
        <v>52</v>
      </c>
      <c r="H134" s="5">
        <v>7</v>
      </c>
      <c r="I134" s="5">
        <v>450</v>
      </c>
      <c r="J134" s="6" t="s">
        <v>4</v>
      </c>
      <c r="K134" s="7" t="s">
        <v>159</v>
      </c>
      <c r="L134" s="7" t="s">
        <v>77</v>
      </c>
      <c r="M134" s="7" t="s">
        <v>188</v>
      </c>
    </row>
    <row r="135" spans="4:13" x14ac:dyDescent="0.35">
      <c r="D135" s="2" t="s">
        <v>189</v>
      </c>
      <c r="F135" s="3">
        <v>99</v>
      </c>
      <c r="G135" s="4">
        <v>52</v>
      </c>
      <c r="H135" s="5">
        <v>7</v>
      </c>
      <c r="I135" s="5">
        <v>511</v>
      </c>
      <c r="J135" s="6" t="s">
        <v>4</v>
      </c>
      <c r="K135" s="7" t="s">
        <v>159</v>
      </c>
      <c r="L135" s="7" t="s">
        <v>77</v>
      </c>
      <c r="M135" s="7" t="s">
        <v>149</v>
      </c>
    </row>
    <row r="136" spans="4:13" x14ac:dyDescent="0.35">
      <c r="D136" s="2" t="s">
        <v>190</v>
      </c>
      <c r="F136" s="3">
        <v>99</v>
      </c>
      <c r="G136" s="4">
        <v>52</v>
      </c>
      <c r="H136" s="5">
        <v>7</v>
      </c>
      <c r="I136" s="5">
        <v>512</v>
      </c>
      <c r="J136" s="6" t="s">
        <v>4</v>
      </c>
      <c r="K136" s="7" t="s">
        <v>159</v>
      </c>
      <c r="L136" s="7" t="s">
        <v>77</v>
      </c>
      <c r="M136" s="7" t="s">
        <v>151</v>
      </c>
    </row>
    <row r="137" spans="4:13" x14ac:dyDescent="0.35">
      <c r="D137" s="2" t="s">
        <v>191</v>
      </c>
      <c r="F137" s="3">
        <v>99</v>
      </c>
      <c r="G137" s="4">
        <v>52</v>
      </c>
      <c r="H137" s="5">
        <v>7</v>
      </c>
      <c r="I137" s="5">
        <v>519</v>
      </c>
      <c r="J137" s="6" t="s">
        <v>4</v>
      </c>
      <c r="K137" s="7" t="s">
        <v>159</v>
      </c>
      <c r="L137" s="7" t="s">
        <v>77</v>
      </c>
      <c r="M137" s="7" t="s">
        <v>153</v>
      </c>
    </row>
    <row r="138" spans="4:13" x14ac:dyDescent="0.35">
      <c r="D138" s="2" t="s">
        <v>192</v>
      </c>
      <c r="F138" s="3">
        <v>99</v>
      </c>
      <c r="G138" s="12">
        <v>52</v>
      </c>
      <c r="H138" s="5">
        <v>7</v>
      </c>
      <c r="I138" s="5">
        <v>530</v>
      </c>
      <c r="J138" s="6" t="s">
        <v>4</v>
      </c>
      <c r="K138" s="7" t="s">
        <v>159</v>
      </c>
      <c r="L138" s="7" t="s">
        <v>77</v>
      </c>
      <c r="M138" s="7" t="s">
        <v>102</v>
      </c>
    </row>
    <row r="139" spans="4:13" x14ac:dyDescent="0.35">
      <c r="D139" s="2" t="s">
        <v>193</v>
      </c>
      <c r="F139" s="3">
        <v>99</v>
      </c>
      <c r="G139" s="4">
        <v>52</v>
      </c>
      <c r="H139" s="5">
        <v>7</v>
      </c>
      <c r="I139" s="5">
        <v>580</v>
      </c>
      <c r="J139" s="6" t="s">
        <v>4</v>
      </c>
      <c r="K139" s="7" t="s">
        <v>159</v>
      </c>
      <c r="L139" s="7" t="s">
        <v>77</v>
      </c>
      <c r="M139" s="7" t="s">
        <v>106</v>
      </c>
    </row>
    <row r="140" spans="4:13" x14ac:dyDescent="0.35">
      <c r="D140" s="2" t="s">
        <v>194</v>
      </c>
      <c r="F140" s="3">
        <v>99</v>
      </c>
      <c r="G140" s="4">
        <v>52</v>
      </c>
      <c r="H140" s="5">
        <v>7</v>
      </c>
      <c r="I140" s="5">
        <v>591</v>
      </c>
      <c r="J140" s="6" t="s">
        <v>4</v>
      </c>
      <c r="K140" s="7" t="s">
        <v>159</v>
      </c>
      <c r="L140" s="7" t="s">
        <v>77</v>
      </c>
      <c r="M140" s="7" t="s">
        <v>195</v>
      </c>
    </row>
    <row r="141" spans="4:13" x14ac:dyDescent="0.35">
      <c r="D141" s="2" t="s">
        <v>196</v>
      </c>
      <c r="F141" s="3">
        <v>99</v>
      </c>
      <c r="G141" s="4">
        <v>52</v>
      </c>
      <c r="H141" s="5">
        <v>7</v>
      </c>
      <c r="I141" s="5">
        <v>592</v>
      </c>
      <c r="J141" s="6" t="s">
        <v>4</v>
      </c>
      <c r="K141" s="7" t="s">
        <v>159</v>
      </c>
      <c r="L141" s="7" t="s">
        <v>77</v>
      </c>
      <c r="M141" s="7" t="s">
        <v>197</v>
      </c>
    </row>
    <row r="142" spans="4:13" x14ac:dyDescent="0.35">
      <c r="D142" s="2" t="s">
        <v>198</v>
      </c>
      <c r="F142" s="3">
        <v>99</v>
      </c>
      <c r="G142" s="4">
        <v>52</v>
      </c>
      <c r="H142" s="5">
        <v>7</v>
      </c>
      <c r="I142" s="5">
        <v>623</v>
      </c>
      <c r="J142" s="6" t="s">
        <v>4</v>
      </c>
      <c r="K142" s="7" t="s">
        <v>159</v>
      </c>
      <c r="L142" s="7" t="s">
        <v>77</v>
      </c>
      <c r="M142" s="7" t="s">
        <v>199</v>
      </c>
    </row>
    <row r="143" spans="4:13" x14ac:dyDescent="0.35">
      <c r="D143" s="2" t="s">
        <v>200</v>
      </c>
      <c r="F143" s="3">
        <v>99</v>
      </c>
      <c r="G143" s="4">
        <v>52</v>
      </c>
      <c r="H143" s="5">
        <v>7</v>
      </c>
      <c r="I143" s="5">
        <v>810</v>
      </c>
      <c r="J143" s="6" t="s">
        <v>4</v>
      </c>
      <c r="K143" s="7" t="s">
        <v>159</v>
      </c>
      <c r="L143" s="7" t="s">
        <v>77</v>
      </c>
      <c r="M143" s="7" t="s">
        <v>108</v>
      </c>
    </row>
    <row r="145" spans="1:13" x14ac:dyDescent="0.35">
      <c r="B145" t="s">
        <v>156</v>
      </c>
      <c r="C145" t="s">
        <v>113</v>
      </c>
      <c r="M145" s="23" t="s">
        <v>280</v>
      </c>
    </row>
    <row r="146" spans="1:13" x14ac:dyDescent="0.35">
      <c r="D146" s="2" t="s">
        <v>201</v>
      </c>
      <c r="F146" s="3">
        <v>99</v>
      </c>
      <c r="G146" s="4">
        <v>52</v>
      </c>
      <c r="H146" s="5">
        <v>8</v>
      </c>
      <c r="I146" s="5">
        <v>580</v>
      </c>
      <c r="J146" s="6" t="s">
        <v>4</v>
      </c>
      <c r="K146" s="7" t="s">
        <v>159</v>
      </c>
      <c r="L146" s="7" t="s">
        <v>115</v>
      </c>
      <c r="M146" s="7" t="s">
        <v>116</v>
      </c>
    </row>
    <row r="148" spans="1:13" x14ac:dyDescent="0.35">
      <c r="B148" t="s">
        <v>156</v>
      </c>
      <c r="C148" t="s">
        <v>117</v>
      </c>
      <c r="M148" s="23" t="s">
        <v>280</v>
      </c>
    </row>
    <row r="149" spans="1:13" x14ac:dyDescent="0.35">
      <c r="D149" s="2" t="s">
        <v>202</v>
      </c>
      <c r="F149" s="3">
        <v>99</v>
      </c>
      <c r="G149" s="4">
        <v>52</v>
      </c>
      <c r="H149" s="5">
        <v>9</v>
      </c>
      <c r="I149" s="5">
        <v>732</v>
      </c>
      <c r="J149" s="6" t="s">
        <v>4</v>
      </c>
      <c r="K149" s="7" t="s">
        <v>159</v>
      </c>
      <c r="L149" s="7" t="s">
        <v>117</v>
      </c>
      <c r="M149" s="7" t="s">
        <v>203</v>
      </c>
    </row>
    <row r="150" spans="1:13" x14ac:dyDescent="0.35">
      <c r="D150" s="2" t="s">
        <v>204</v>
      </c>
      <c r="F150" s="3">
        <v>99</v>
      </c>
      <c r="G150" s="4">
        <v>52</v>
      </c>
      <c r="H150" s="5">
        <v>9</v>
      </c>
      <c r="I150" s="5">
        <v>733</v>
      </c>
      <c r="J150" s="6" t="s">
        <v>4</v>
      </c>
      <c r="K150" s="7" t="s">
        <v>159</v>
      </c>
      <c r="L150" s="7" t="s">
        <v>117</v>
      </c>
      <c r="M150" s="7" t="s">
        <v>119</v>
      </c>
    </row>
    <row r="151" spans="1:13" x14ac:dyDescent="0.35">
      <c r="D151" s="2" t="s">
        <v>205</v>
      </c>
      <c r="F151" s="3">
        <v>99</v>
      </c>
      <c r="G151" s="4">
        <v>52</v>
      </c>
      <c r="H151" s="5">
        <v>9</v>
      </c>
      <c r="I151" s="5">
        <v>739</v>
      </c>
      <c r="J151" s="6" t="s">
        <v>4</v>
      </c>
      <c r="K151" s="7" t="s">
        <v>159</v>
      </c>
      <c r="L151" s="7" t="s">
        <v>117</v>
      </c>
      <c r="M151" s="7" t="s">
        <v>121</v>
      </c>
    </row>
    <row r="153" spans="1:13" x14ac:dyDescent="0.35">
      <c r="B153" t="s">
        <v>156</v>
      </c>
      <c r="C153" t="s">
        <v>126</v>
      </c>
      <c r="M153" s="23" t="s">
        <v>280</v>
      </c>
    </row>
    <row r="154" spans="1:13" x14ac:dyDescent="0.35">
      <c r="D154" s="2" t="s">
        <v>206</v>
      </c>
      <c r="F154" s="3">
        <v>99</v>
      </c>
      <c r="G154" s="4">
        <v>52</v>
      </c>
      <c r="H154" s="11" t="s">
        <v>128</v>
      </c>
      <c r="I154" s="11" t="s">
        <v>129</v>
      </c>
      <c r="J154" s="6" t="s">
        <v>4</v>
      </c>
      <c r="K154" s="7" t="s">
        <v>159</v>
      </c>
      <c r="L154" s="7" t="s">
        <v>130</v>
      </c>
      <c r="M154" s="7" t="s">
        <v>130</v>
      </c>
    </row>
    <row r="156" spans="1:13" ht="15.5" x14ac:dyDescent="0.35">
      <c r="A156" s="1" t="s">
        <v>207</v>
      </c>
    </row>
    <row r="157" spans="1:13" x14ac:dyDescent="0.35">
      <c r="B157" t="s">
        <v>208</v>
      </c>
      <c r="C157" t="s">
        <v>209</v>
      </c>
      <c r="M157" s="23" t="s">
        <v>280</v>
      </c>
    </row>
    <row r="158" spans="1:13" x14ac:dyDescent="0.35">
      <c r="D158" s="2" t="s">
        <v>210</v>
      </c>
      <c r="F158" s="3">
        <v>99</v>
      </c>
      <c r="G158" s="4">
        <v>53</v>
      </c>
      <c r="H158" s="5">
        <v>3</v>
      </c>
      <c r="I158" s="5">
        <v>110</v>
      </c>
      <c r="J158" s="6" t="s">
        <v>4</v>
      </c>
      <c r="K158" s="7" t="s">
        <v>211</v>
      </c>
      <c r="L158" s="7" t="s">
        <v>20</v>
      </c>
      <c r="M158" s="7" t="s">
        <v>7</v>
      </c>
    </row>
    <row r="159" spans="1:13" x14ac:dyDescent="0.35">
      <c r="D159" s="2" t="s">
        <v>212</v>
      </c>
      <c r="F159" s="3">
        <v>99</v>
      </c>
      <c r="G159" s="4">
        <v>53</v>
      </c>
      <c r="H159" s="5">
        <v>3</v>
      </c>
      <c r="I159" s="5">
        <v>120</v>
      </c>
      <c r="J159" s="6" t="s">
        <v>4</v>
      </c>
      <c r="K159" s="7" t="s">
        <v>211</v>
      </c>
      <c r="L159" s="7" t="s">
        <v>20</v>
      </c>
      <c r="M159" s="7" t="s">
        <v>9</v>
      </c>
    </row>
    <row r="160" spans="1:13" x14ac:dyDescent="0.35">
      <c r="D160" s="2" t="s">
        <v>213</v>
      </c>
      <c r="F160" s="3">
        <v>99</v>
      </c>
      <c r="G160" s="4">
        <v>53</v>
      </c>
      <c r="H160" s="5">
        <v>3</v>
      </c>
      <c r="I160" s="5">
        <v>130</v>
      </c>
      <c r="J160" s="6" t="s">
        <v>4</v>
      </c>
      <c r="K160" s="7" t="s">
        <v>211</v>
      </c>
      <c r="L160" s="7" t="s">
        <v>20</v>
      </c>
      <c r="M160" s="7" t="s">
        <v>23</v>
      </c>
    </row>
    <row r="161" spans="2:13" x14ac:dyDescent="0.35">
      <c r="D161" s="16" t="s">
        <v>214</v>
      </c>
      <c r="E161" s="17"/>
      <c r="F161" s="18">
        <v>99</v>
      </c>
      <c r="G161" s="19">
        <v>53</v>
      </c>
      <c r="H161" s="20">
        <v>3</v>
      </c>
      <c r="I161" s="20">
        <v>140</v>
      </c>
      <c r="J161" s="21" t="s">
        <v>4</v>
      </c>
      <c r="K161" s="22" t="s">
        <v>211</v>
      </c>
      <c r="L161" s="22" t="s">
        <v>20</v>
      </c>
      <c r="M161" s="22" t="s">
        <v>13</v>
      </c>
    </row>
    <row r="162" spans="2:13" x14ac:dyDescent="0.35">
      <c r="D162" s="2" t="s">
        <v>215</v>
      </c>
      <c r="F162" s="3">
        <v>99</v>
      </c>
      <c r="G162" s="4">
        <v>53</v>
      </c>
      <c r="H162" s="5">
        <v>3</v>
      </c>
      <c r="I162" s="5">
        <v>150</v>
      </c>
      <c r="J162" s="6" t="s">
        <v>4</v>
      </c>
      <c r="K162" s="7" t="s">
        <v>211</v>
      </c>
      <c r="L162" s="7" t="s">
        <v>20</v>
      </c>
      <c r="M162" s="7" t="s">
        <v>15</v>
      </c>
    </row>
    <row r="163" spans="2:13" x14ac:dyDescent="0.35">
      <c r="D163" s="2" t="s">
        <v>216</v>
      </c>
      <c r="F163" s="3">
        <v>99</v>
      </c>
      <c r="G163" s="4">
        <v>53</v>
      </c>
      <c r="H163" s="5">
        <v>3</v>
      </c>
      <c r="I163" s="5">
        <v>160</v>
      </c>
      <c r="J163" s="6" t="s">
        <v>4</v>
      </c>
      <c r="K163" s="7" t="s">
        <v>211</v>
      </c>
      <c r="L163" s="7" t="s">
        <v>20</v>
      </c>
      <c r="M163" s="7" t="s">
        <v>17</v>
      </c>
    </row>
    <row r="165" spans="2:13" x14ac:dyDescent="0.35">
      <c r="B165" t="s">
        <v>208</v>
      </c>
      <c r="C165" t="s">
        <v>27</v>
      </c>
      <c r="M165" s="23" t="s">
        <v>280</v>
      </c>
    </row>
    <row r="166" spans="2:13" x14ac:dyDescent="0.35">
      <c r="D166" s="2" t="s">
        <v>217</v>
      </c>
      <c r="F166" s="3">
        <v>99</v>
      </c>
      <c r="G166" s="4">
        <v>53</v>
      </c>
      <c r="H166" s="5">
        <v>4</v>
      </c>
      <c r="I166" s="5">
        <v>213</v>
      </c>
      <c r="J166" s="6" t="s">
        <v>4</v>
      </c>
      <c r="K166" s="7" t="s">
        <v>211</v>
      </c>
      <c r="L166" s="7" t="s">
        <v>29</v>
      </c>
      <c r="M166" s="7" t="s">
        <v>32</v>
      </c>
    </row>
    <row r="167" spans="2:13" x14ac:dyDescent="0.35">
      <c r="D167" s="2" t="s">
        <v>218</v>
      </c>
      <c r="F167" s="3">
        <v>99</v>
      </c>
      <c r="G167" s="4">
        <v>53</v>
      </c>
      <c r="H167" s="5">
        <v>4</v>
      </c>
      <c r="I167" s="5">
        <v>223</v>
      </c>
      <c r="J167" s="6" t="s">
        <v>4</v>
      </c>
      <c r="K167" s="7" t="s">
        <v>211</v>
      </c>
      <c r="L167" s="7" t="s">
        <v>29</v>
      </c>
      <c r="M167" s="7" t="s">
        <v>36</v>
      </c>
    </row>
    <row r="168" spans="2:13" x14ac:dyDescent="0.35">
      <c r="D168" s="2" t="s">
        <v>219</v>
      </c>
      <c r="F168" s="3">
        <v>99</v>
      </c>
      <c r="G168" s="4">
        <v>53</v>
      </c>
      <c r="H168" s="5">
        <v>4</v>
      </c>
      <c r="I168" s="5">
        <v>233</v>
      </c>
      <c r="J168" s="6" t="s">
        <v>4</v>
      </c>
      <c r="K168" s="7" t="s">
        <v>211</v>
      </c>
      <c r="L168" s="7" t="s">
        <v>29</v>
      </c>
      <c r="M168" s="7" t="s">
        <v>40</v>
      </c>
    </row>
    <row r="169" spans="2:13" x14ac:dyDescent="0.35">
      <c r="D169" s="16" t="s">
        <v>220</v>
      </c>
      <c r="E169" s="17"/>
      <c r="F169" s="18">
        <v>99</v>
      </c>
      <c r="G169" s="19">
        <v>53</v>
      </c>
      <c r="H169" s="20">
        <v>4</v>
      </c>
      <c r="I169" s="20">
        <v>243</v>
      </c>
      <c r="J169" s="21" t="s">
        <v>4</v>
      </c>
      <c r="K169" s="22" t="s">
        <v>211</v>
      </c>
      <c r="L169" s="22" t="s">
        <v>29</v>
      </c>
      <c r="M169" s="22" t="s">
        <v>44</v>
      </c>
    </row>
    <row r="170" spans="2:13" x14ac:dyDescent="0.35">
      <c r="D170" s="16" t="s">
        <v>221</v>
      </c>
      <c r="E170" s="17"/>
      <c r="F170" s="18">
        <v>99</v>
      </c>
      <c r="G170" s="19">
        <v>53</v>
      </c>
      <c r="H170" s="20">
        <v>4</v>
      </c>
      <c r="I170" s="20">
        <v>253</v>
      </c>
      <c r="J170" s="21" t="s">
        <v>4</v>
      </c>
      <c r="K170" s="22" t="s">
        <v>211</v>
      </c>
      <c r="L170" s="22" t="s">
        <v>29</v>
      </c>
      <c r="M170" s="22" t="s">
        <v>48</v>
      </c>
    </row>
    <row r="171" spans="2:13" x14ac:dyDescent="0.35">
      <c r="D171" s="2" t="s">
        <v>222</v>
      </c>
      <c r="F171" s="3">
        <v>99</v>
      </c>
      <c r="G171" s="4">
        <v>53</v>
      </c>
      <c r="H171" s="5">
        <v>4</v>
      </c>
      <c r="I171" s="5">
        <v>263</v>
      </c>
      <c r="J171" s="6" t="s">
        <v>4</v>
      </c>
      <c r="K171" s="7" t="s">
        <v>211</v>
      </c>
      <c r="L171" s="7" t="s">
        <v>29</v>
      </c>
      <c r="M171" s="7" t="s">
        <v>52</v>
      </c>
    </row>
    <row r="172" spans="2:13" x14ac:dyDescent="0.35">
      <c r="D172" s="2" t="s">
        <v>223</v>
      </c>
      <c r="F172" s="3">
        <v>99</v>
      </c>
      <c r="G172" s="4">
        <v>53</v>
      </c>
      <c r="H172" s="5">
        <v>4</v>
      </c>
      <c r="I172" s="5">
        <v>273</v>
      </c>
      <c r="J172" s="6" t="s">
        <v>4</v>
      </c>
      <c r="K172" s="7" t="s">
        <v>211</v>
      </c>
      <c r="L172" s="7" t="s">
        <v>29</v>
      </c>
      <c r="M172" s="7" t="s">
        <v>56</v>
      </c>
    </row>
    <row r="173" spans="2:13" x14ac:dyDescent="0.35">
      <c r="D173" s="2" t="s">
        <v>224</v>
      </c>
      <c r="F173" s="3">
        <v>99</v>
      </c>
      <c r="G173" s="4">
        <v>53</v>
      </c>
      <c r="H173" s="5">
        <v>4</v>
      </c>
      <c r="I173" s="5">
        <v>283</v>
      </c>
      <c r="J173" s="6" t="s">
        <v>4</v>
      </c>
      <c r="K173" s="7" t="s">
        <v>211</v>
      </c>
      <c r="L173" s="7" t="s">
        <v>29</v>
      </c>
      <c r="M173" s="7" t="s">
        <v>60</v>
      </c>
    </row>
    <row r="174" spans="2:13" x14ac:dyDescent="0.35">
      <c r="D174" s="2" t="s">
        <v>225</v>
      </c>
      <c r="F174" s="3">
        <v>99</v>
      </c>
      <c r="G174" s="4">
        <v>53</v>
      </c>
      <c r="H174" s="5">
        <v>4</v>
      </c>
      <c r="I174" s="5">
        <v>293</v>
      </c>
      <c r="J174" s="6" t="s">
        <v>4</v>
      </c>
      <c r="K174" s="7" t="s">
        <v>211</v>
      </c>
      <c r="L174" s="7" t="s">
        <v>29</v>
      </c>
      <c r="M174" s="7" t="s">
        <v>64</v>
      </c>
    </row>
    <row r="176" spans="2:13" x14ac:dyDescent="0.35">
      <c r="B176" t="s">
        <v>208</v>
      </c>
      <c r="C176" t="s">
        <v>65</v>
      </c>
      <c r="M176" s="23" t="s">
        <v>280</v>
      </c>
    </row>
    <row r="177" spans="2:13" x14ac:dyDescent="0.35">
      <c r="D177" s="2" t="s">
        <v>226</v>
      </c>
      <c r="F177" s="3">
        <v>99</v>
      </c>
      <c r="G177" s="4">
        <v>53</v>
      </c>
      <c r="H177" s="5">
        <v>5</v>
      </c>
      <c r="I177" s="5">
        <v>610</v>
      </c>
      <c r="J177" s="6" t="s">
        <v>4</v>
      </c>
      <c r="K177" s="7" t="s">
        <v>211</v>
      </c>
      <c r="L177" s="7" t="s">
        <v>67</v>
      </c>
      <c r="M177" s="7" t="s">
        <v>68</v>
      </c>
    </row>
    <row r="178" spans="2:13" x14ac:dyDescent="0.35">
      <c r="D178" s="2" t="s">
        <v>227</v>
      </c>
      <c r="F178" s="3">
        <v>99</v>
      </c>
      <c r="G178" s="4">
        <v>53</v>
      </c>
      <c r="H178" s="5">
        <v>5</v>
      </c>
      <c r="I178" s="5">
        <v>626</v>
      </c>
      <c r="J178" s="6" t="s">
        <v>4</v>
      </c>
      <c r="K178" s="7" t="s">
        <v>211</v>
      </c>
      <c r="L178" s="7" t="s">
        <v>67</v>
      </c>
      <c r="M178" s="7" t="s">
        <v>70</v>
      </c>
    </row>
    <row r="179" spans="2:13" x14ac:dyDescent="0.35">
      <c r="D179" s="2" t="s">
        <v>228</v>
      </c>
      <c r="F179" s="3">
        <v>99</v>
      </c>
      <c r="G179" s="4">
        <v>53</v>
      </c>
      <c r="H179" s="5">
        <v>5</v>
      </c>
      <c r="I179" s="5">
        <v>640</v>
      </c>
      <c r="J179" s="6" t="s">
        <v>4</v>
      </c>
      <c r="K179" s="7" t="s">
        <v>211</v>
      </c>
      <c r="L179" s="7" t="s">
        <v>67</v>
      </c>
      <c r="M179" s="7" t="s">
        <v>72</v>
      </c>
    </row>
    <row r="180" spans="2:13" x14ac:dyDescent="0.35">
      <c r="D180" s="2" t="s">
        <v>229</v>
      </c>
      <c r="F180" s="3">
        <v>99</v>
      </c>
      <c r="G180" s="4">
        <v>53</v>
      </c>
      <c r="H180" s="5">
        <v>5</v>
      </c>
      <c r="I180" s="5">
        <v>650</v>
      </c>
      <c r="J180" s="6" t="s">
        <v>4</v>
      </c>
      <c r="K180" s="7" t="s">
        <v>211</v>
      </c>
      <c r="L180" s="7" t="s">
        <v>67</v>
      </c>
      <c r="M180" s="7" t="s">
        <v>74</v>
      </c>
    </row>
    <row r="182" spans="2:13" x14ac:dyDescent="0.35">
      <c r="B182" t="s">
        <v>208</v>
      </c>
      <c r="C182" t="s">
        <v>75</v>
      </c>
      <c r="M182" s="23" t="s">
        <v>280</v>
      </c>
    </row>
    <row r="183" spans="2:13" x14ac:dyDescent="0.35">
      <c r="D183" s="2" t="s">
        <v>230</v>
      </c>
      <c r="F183" s="3">
        <v>99</v>
      </c>
      <c r="G183" s="4">
        <v>53</v>
      </c>
      <c r="H183" s="5">
        <v>7</v>
      </c>
      <c r="I183" s="5">
        <v>330</v>
      </c>
      <c r="J183" s="6" t="s">
        <v>4</v>
      </c>
      <c r="K183" s="7" t="s">
        <v>211</v>
      </c>
      <c r="L183" s="7" t="s">
        <v>77</v>
      </c>
      <c r="M183" s="7" t="s">
        <v>86</v>
      </c>
    </row>
    <row r="184" spans="2:13" x14ac:dyDescent="0.35">
      <c r="D184" s="2" t="s">
        <v>231</v>
      </c>
      <c r="F184" s="3">
        <v>99</v>
      </c>
      <c r="G184" s="4">
        <v>53</v>
      </c>
      <c r="H184" s="5">
        <v>7</v>
      </c>
      <c r="I184" s="5">
        <v>340</v>
      </c>
      <c r="J184" s="6" t="s">
        <v>4</v>
      </c>
      <c r="K184" s="7" t="s">
        <v>211</v>
      </c>
      <c r="L184" s="7" t="s">
        <v>77</v>
      </c>
      <c r="M184" s="7" t="s">
        <v>88</v>
      </c>
    </row>
    <row r="185" spans="2:13" x14ac:dyDescent="0.35">
      <c r="D185" s="2" t="s">
        <v>232</v>
      </c>
      <c r="F185" s="3">
        <v>99</v>
      </c>
      <c r="G185" s="4">
        <v>53</v>
      </c>
      <c r="H185" s="5">
        <v>7</v>
      </c>
      <c r="I185" s="5">
        <v>350</v>
      </c>
      <c r="J185" s="6" t="s">
        <v>4</v>
      </c>
      <c r="K185" s="7" t="s">
        <v>211</v>
      </c>
      <c r="L185" s="7" t="s">
        <v>77</v>
      </c>
      <c r="M185" s="7" t="s">
        <v>90</v>
      </c>
    </row>
    <row r="186" spans="2:13" x14ac:dyDescent="0.35">
      <c r="D186" s="2" t="s">
        <v>233</v>
      </c>
      <c r="F186" s="3">
        <v>99</v>
      </c>
      <c r="G186" s="4">
        <v>53</v>
      </c>
      <c r="H186" s="5">
        <v>7</v>
      </c>
      <c r="I186" s="5">
        <v>352</v>
      </c>
      <c r="J186" s="6" t="s">
        <v>4</v>
      </c>
      <c r="K186" s="7" t="s">
        <v>211</v>
      </c>
      <c r="L186" s="7" t="s">
        <v>77</v>
      </c>
      <c r="M186" s="7" t="s">
        <v>92</v>
      </c>
    </row>
    <row r="187" spans="2:13" x14ac:dyDescent="0.35">
      <c r="D187" s="2" t="s">
        <v>234</v>
      </c>
      <c r="F187" s="3">
        <v>99</v>
      </c>
      <c r="G187" s="4">
        <v>53</v>
      </c>
      <c r="H187" s="5">
        <v>7</v>
      </c>
      <c r="I187" s="5">
        <v>420</v>
      </c>
      <c r="J187" s="6" t="s">
        <v>4</v>
      </c>
      <c r="K187" s="7" t="s">
        <v>211</v>
      </c>
      <c r="L187" s="7" t="s">
        <v>77</v>
      </c>
      <c r="M187" s="7" t="s">
        <v>94</v>
      </c>
    </row>
    <row r="188" spans="2:13" x14ac:dyDescent="0.35">
      <c r="D188" s="2" t="s">
        <v>235</v>
      </c>
      <c r="F188" s="3">
        <v>99</v>
      </c>
      <c r="G188" s="4">
        <v>53</v>
      </c>
      <c r="H188" s="5">
        <v>7</v>
      </c>
      <c r="I188" s="5">
        <v>431</v>
      </c>
      <c r="J188" s="6" t="s">
        <v>4</v>
      </c>
      <c r="K188" s="7" t="s">
        <v>211</v>
      </c>
      <c r="L188" s="7" t="s">
        <v>77</v>
      </c>
      <c r="M188" s="7" t="s">
        <v>96</v>
      </c>
    </row>
    <row r="189" spans="2:13" x14ac:dyDescent="0.35">
      <c r="D189" s="2" t="s">
        <v>236</v>
      </c>
      <c r="F189" s="3">
        <v>99</v>
      </c>
      <c r="G189" s="4">
        <v>53</v>
      </c>
      <c r="H189" s="5">
        <v>7</v>
      </c>
      <c r="I189" s="5">
        <v>432</v>
      </c>
      <c r="J189" s="6" t="s">
        <v>4</v>
      </c>
      <c r="K189" s="7" t="s">
        <v>211</v>
      </c>
      <c r="L189" s="7" t="s">
        <v>77</v>
      </c>
      <c r="M189" s="7" t="s">
        <v>98</v>
      </c>
    </row>
    <row r="190" spans="2:13" x14ac:dyDescent="0.35">
      <c r="D190" s="2" t="s">
        <v>237</v>
      </c>
      <c r="F190" s="3">
        <v>99</v>
      </c>
      <c r="G190" s="4">
        <v>53</v>
      </c>
      <c r="H190" s="5">
        <v>7</v>
      </c>
      <c r="I190" s="5">
        <v>441</v>
      </c>
      <c r="J190" s="6" t="s">
        <v>4</v>
      </c>
      <c r="K190" s="7" t="s">
        <v>211</v>
      </c>
      <c r="L190" s="7" t="s">
        <v>77</v>
      </c>
      <c r="M190" s="7" t="s">
        <v>142</v>
      </c>
    </row>
    <row r="191" spans="2:13" x14ac:dyDescent="0.35">
      <c r="D191" s="2" t="s">
        <v>238</v>
      </c>
      <c r="F191" s="3">
        <v>99</v>
      </c>
      <c r="G191" s="4">
        <v>53</v>
      </c>
      <c r="H191" s="5">
        <v>7</v>
      </c>
      <c r="I191" s="5">
        <v>442</v>
      </c>
      <c r="J191" s="6" t="s">
        <v>4</v>
      </c>
      <c r="K191" s="7" t="s">
        <v>211</v>
      </c>
      <c r="L191" s="7" t="s">
        <v>77</v>
      </c>
      <c r="M191" s="7" t="s">
        <v>100</v>
      </c>
    </row>
    <row r="192" spans="2:13" x14ac:dyDescent="0.35">
      <c r="D192" s="2" t="s">
        <v>239</v>
      </c>
      <c r="F192" s="3">
        <v>99</v>
      </c>
      <c r="G192" s="4">
        <v>53</v>
      </c>
      <c r="H192" s="5">
        <v>7</v>
      </c>
      <c r="I192" s="5">
        <v>450</v>
      </c>
      <c r="J192" s="6" t="s">
        <v>4</v>
      </c>
      <c r="K192" s="7" t="s">
        <v>211</v>
      </c>
      <c r="L192" s="7" t="s">
        <v>77</v>
      </c>
      <c r="M192" s="7" t="s">
        <v>188</v>
      </c>
    </row>
    <row r="193" spans="2:13" x14ac:dyDescent="0.35">
      <c r="D193" s="2" t="s">
        <v>240</v>
      </c>
      <c r="F193" s="3">
        <v>99</v>
      </c>
      <c r="G193" s="4">
        <v>53</v>
      </c>
      <c r="H193" s="5">
        <v>7</v>
      </c>
      <c r="I193" s="5">
        <v>490</v>
      </c>
      <c r="J193" s="6" t="s">
        <v>4</v>
      </c>
      <c r="K193" s="7" t="s">
        <v>211</v>
      </c>
      <c r="L193" s="7" t="s">
        <v>77</v>
      </c>
      <c r="M193" s="7" t="s">
        <v>147</v>
      </c>
    </row>
    <row r="194" spans="2:13" x14ac:dyDescent="0.35">
      <c r="D194" s="2" t="s">
        <v>241</v>
      </c>
      <c r="F194" s="3">
        <v>99</v>
      </c>
      <c r="G194" s="4">
        <v>53</v>
      </c>
      <c r="H194" s="5">
        <v>7</v>
      </c>
      <c r="I194" s="5">
        <v>580</v>
      </c>
      <c r="J194" s="6" t="s">
        <v>4</v>
      </c>
      <c r="K194" s="7" t="s">
        <v>211</v>
      </c>
      <c r="L194" s="7" t="s">
        <v>77</v>
      </c>
      <c r="M194" s="7" t="s">
        <v>106</v>
      </c>
    </row>
    <row r="195" spans="2:13" x14ac:dyDescent="0.35">
      <c r="D195" s="2" t="s">
        <v>242</v>
      </c>
      <c r="F195" s="3">
        <v>99</v>
      </c>
      <c r="G195" s="4">
        <v>53</v>
      </c>
      <c r="H195" s="5">
        <v>7</v>
      </c>
      <c r="I195" s="5">
        <v>591</v>
      </c>
      <c r="J195" s="6" t="s">
        <v>4</v>
      </c>
      <c r="K195" s="7" t="s">
        <v>211</v>
      </c>
      <c r="L195" s="7" t="s">
        <v>77</v>
      </c>
      <c r="M195" s="7" t="s">
        <v>195</v>
      </c>
    </row>
    <row r="196" spans="2:13" x14ac:dyDescent="0.35">
      <c r="D196" s="2" t="s">
        <v>243</v>
      </c>
      <c r="F196" s="3">
        <v>99</v>
      </c>
      <c r="G196" s="4">
        <v>53</v>
      </c>
      <c r="H196" s="5">
        <v>7</v>
      </c>
      <c r="I196" s="5">
        <v>592</v>
      </c>
      <c r="J196" s="6" t="s">
        <v>4</v>
      </c>
      <c r="K196" s="7" t="s">
        <v>211</v>
      </c>
      <c r="L196" s="7" t="s">
        <v>77</v>
      </c>
      <c r="M196" s="7" t="s">
        <v>197</v>
      </c>
    </row>
    <row r="197" spans="2:13" x14ac:dyDescent="0.35">
      <c r="D197" s="2" t="s">
        <v>244</v>
      </c>
      <c r="F197" s="3">
        <v>99</v>
      </c>
      <c r="G197" s="4">
        <v>53</v>
      </c>
      <c r="H197" s="5">
        <v>7</v>
      </c>
      <c r="I197" s="5">
        <v>623</v>
      </c>
      <c r="J197" s="6" t="s">
        <v>4</v>
      </c>
      <c r="K197" s="7" t="s">
        <v>211</v>
      </c>
      <c r="L197" s="7" t="s">
        <v>77</v>
      </c>
      <c r="M197" s="7" t="s">
        <v>199</v>
      </c>
    </row>
    <row r="198" spans="2:13" x14ac:dyDescent="0.35">
      <c r="D198" s="2" t="s">
        <v>245</v>
      </c>
      <c r="F198" s="3">
        <v>99</v>
      </c>
      <c r="G198" s="4">
        <v>53</v>
      </c>
      <c r="H198" s="5">
        <v>7</v>
      </c>
      <c r="I198" s="5">
        <v>810</v>
      </c>
      <c r="J198" s="6" t="s">
        <v>4</v>
      </c>
      <c r="K198" s="7" t="s">
        <v>211</v>
      </c>
      <c r="L198" s="7" t="s">
        <v>77</v>
      </c>
      <c r="M198" s="7" t="s">
        <v>108</v>
      </c>
    </row>
    <row r="200" spans="2:13" x14ac:dyDescent="0.35">
      <c r="B200" t="s">
        <v>208</v>
      </c>
      <c r="C200" t="s">
        <v>113</v>
      </c>
      <c r="M200" s="23" t="s">
        <v>280</v>
      </c>
    </row>
    <row r="201" spans="2:13" x14ac:dyDescent="0.35">
      <c r="D201" s="2" t="s">
        <v>246</v>
      </c>
      <c r="F201" s="3">
        <v>99</v>
      </c>
      <c r="G201" s="4">
        <v>53</v>
      </c>
      <c r="H201" s="5">
        <v>8</v>
      </c>
      <c r="I201" s="5">
        <v>580</v>
      </c>
      <c r="J201" s="6" t="s">
        <v>4</v>
      </c>
      <c r="K201" s="7" t="s">
        <v>211</v>
      </c>
      <c r="L201" s="7" t="s">
        <v>115</v>
      </c>
      <c r="M201" s="7" t="s">
        <v>116</v>
      </c>
    </row>
    <row r="203" spans="2:13" x14ac:dyDescent="0.35">
      <c r="B203" t="s">
        <v>208</v>
      </c>
      <c r="C203" t="s">
        <v>117</v>
      </c>
      <c r="M203" s="23" t="s">
        <v>280</v>
      </c>
    </row>
    <row r="204" spans="2:13" x14ac:dyDescent="0.35">
      <c r="D204" s="2" t="s">
        <v>247</v>
      </c>
      <c r="F204" s="3">
        <v>99</v>
      </c>
      <c r="G204" s="4">
        <v>53</v>
      </c>
      <c r="H204" s="5">
        <v>9</v>
      </c>
      <c r="I204" s="5">
        <v>731</v>
      </c>
      <c r="J204" s="6" t="s">
        <v>4</v>
      </c>
      <c r="K204" s="7" t="s">
        <v>211</v>
      </c>
      <c r="L204" s="7" t="s">
        <v>117</v>
      </c>
      <c r="M204" s="7" t="s">
        <v>248</v>
      </c>
    </row>
    <row r="205" spans="2:13" x14ac:dyDescent="0.35">
      <c r="D205" s="2" t="s">
        <v>249</v>
      </c>
      <c r="F205" s="3">
        <v>99</v>
      </c>
      <c r="G205" s="4">
        <v>53</v>
      </c>
      <c r="H205" s="5">
        <v>9</v>
      </c>
      <c r="I205" s="5">
        <v>732</v>
      </c>
      <c r="J205" s="6" t="s">
        <v>4</v>
      </c>
      <c r="K205" s="7" t="s">
        <v>211</v>
      </c>
      <c r="L205" s="7" t="s">
        <v>117</v>
      </c>
      <c r="M205" s="7" t="s">
        <v>203</v>
      </c>
    </row>
    <row r="206" spans="2:13" x14ac:dyDescent="0.35">
      <c r="D206" s="2" t="s">
        <v>250</v>
      </c>
      <c r="F206" s="3">
        <v>99</v>
      </c>
      <c r="G206" s="4">
        <v>53</v>
      </c>
      <c r="H206" s="5">
        <v>9</v>
      </c>
      <c r="I206" s="5">
        <v>733</v>
      </c>
      <c r="J206" s="6" t="s">
        <v>4</v>
      </c>
      <c r="K206" s="7" t="s">
        <v>211</v>
      </c>
      <c r="L206" s="7" t="s">
        <v>117</v>
      </c>
      <c r="M206" s="7" t="s">
        <v>119</v>
      </c>
    </row>
    <row r="207" spans="2:13" x14ac:dyDescent="0.35">
      <c r="D207" s="2" t="s">
        <v>251</v>
      </c>
      <c r="F207" s="3">
        <v>99</v>
      </c>
      <c r="G207" s="4">
        <v>53</v>
      </c>
      <c r="H207" s="5">
        <v>9</v>
      </c>
      <c r="I207" s="5">
        <v>739</v>
      </c>
      <c r="J207" s="6" t="s">
        <v>4</v>
      </c>
      <c r="K207" s="7" t="s">
        <v>211</v>
      </c>
      <c r="L207" s="7" t="s">
        <v>117</v>
      </c>
      <c r="M207" s="7" t="s">
        <v>121</v>
      </c>
    </row>
    <row r="209" spans="2:13" x14ac:dyDescent="0.35">
      <c r="B209" t="s">
        <v>208</v>
      </c>
      <c r="C209" t="s">
        <v>126</v>
      </c>
      <c r="M209" s="23" t="s">
        <v>280</v>
      </c>
    </row>
    <row r="210" spans="2:13" x14ac:dyDescent="0.35">
      <c r="D210" s="2" t="s">
        <v>252</v>
      </c>
      <c r="F210" s="3">
        <v>99</v>
      </c>
      <c r="G210" s="4">
        <v>53</v>
      </c>
      <c r="H210" s="11" t="s">
        <v>128</v>
      </c>
      <c r="I210" s="11" t="s">
        <v>129</v>
      </c>
      <c r="J210" s="6" t="s">
        <v>4</v>
      </c>
      <c r="K210" s="7" t="s">
        <v>211</v>
      </c>
      <c r="L210" s="7" t="s">
        <v>130</v>
      </c>
      <c r="M210" s="7" t="s">
        <v>130</v>
      </c>
    </row>
  </sheetData>
  <mergeCells count="1">
    <mergeCell ref="A2:M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B98B9-4F67-4E0A-B729-11DC8F7A6929}">
  <dimension ref="A2:L31"/>
  <sheetViews>
    <sheetView topLeftCell="A4" workbookViewId="0">
      <selection activeCell="A23" sqref="A23:I33"/>
    </sheetView>
  </sheetViews>
  <sheetFormatPr defaultRowHeight="14.5" x14ac:dyDescent="0.35"/>
  <cols>
    <col min="1" max="1" width="5" customWidth="1"/>
    <col min="2" max="2" width="25" customWidth="1"/>
    <col min="3" max="3" width="5" bestFit="1" customWidth="1"/>
    <col min="4" max="12" width="10" customWidth="1"/>
  </cols>
  <sheetData>
    <row r="2" spans="1:12" x14ac:dyDescent="0.35">
      <c r="A2" s="24" t="s">
        <v>4</v>
      </c>
      <c r="B2" s="24"/>
      <c r="C2" s="24"/>
      <c r="D2" s="24"/>
      <c r="E2" s="24"/>
      <c r="F2" s="24"/>
      <c r="G2" s="24"/>
      <c r="H2" s="24"/>
      <c r="I2" s="24"/>
      <c r="J2" s="24"/>
      <c r="K2" s="24"/>
      <c r="L2" s="24"/>
    </row>
    <row r="3" spans="1:12" ht="15" thickBot="1" x14ac:dyDescent="0.4">
      <c r="A3" s="25" t="s">
        <v>253</v>
      </c>
      <c r="B3" s="25"/>
      <c r="C3" s="25"/>
      <c r="D3" s="25"/>
      <c r="E3" s="25"/>
      <c r="F3" s="25"/>
      <c r="G3" s="25"/>
      <c r="H3" s="25"/>
      <c r="I3" s="25"/>
      <c r="J3" s="25"/>
      <c r="K3" s="25"/>
      <c r="L3" s="25"/>
    </row>
    <row r="4" spans="1:12" x14ac:dyDescent="0.35">
      <c r="A4" s="26"/>
      <c r="B4" s="27"/>
      <c r="C4" s="27"/>
      <c r="D4" s="28" t="s">
        <v>254</v>
      </c>
      <c r="E4" s="29" t="s">
        <v>255</v>
      </c>
      <c r="F4" s="28" t="s">
        <v>256</v>
      </c>
      <c r="G4" s="28" t="s">
        <v>257</v>
      </c>
      <c r="H4" s="28" t="s">
        <v>258</v>
      </c>
      <c r="I4" s="29" t="s">
        <v>67</v>
      </c>
      <c r="J4" s="28" t="s">
        <v>259</v>
      </c>
      <c r="K4" s="28"/>
      <c r="L4" s="30" t="s">
        <v>260</v>
      </c>
    </row>
    <row r="5" spans="1:12" ht="15" thickBot="1" x14ac:dyDescent="0.4">
      <c r="A5" s="31"/>
      <c r="B5" s="32"/>
      <c r="C5" s="32"/>
      <c r="D5" s="33" t="s">
        <v>261</v>
      </c>
      <c r="E5" s="34" t="s">
        <v>261</v>
      </c>
      <c r="F5" s="33" t="s">
        <v>262</v>
      </c>
      <c r="G5" s="33" t="s">
        <v>262</v>
      </c>
      <c r="H5" s="33" t="s">
        <v>263</v>
      </c>
      <c r="I5" s="34" t="s">
        <v>264</v>
      </c>
      <c r="J5" s="33" t="s">
        <v>265</v>
      </c>
      <c r="K5" s="33" t="s">
        <v>115</v>
      </c>
      <c r="L5" s="35" t="s">
        <v>266</v>
      </c>
    </row>
    <row r="6" spans="1:12" ht="15" thickBot="1" x14ac:dyDescent="0.4">
      <c r="A6" s="31"/>
      <c r="B6" s="35" t="s">
        <v>267</v>
      </c>
      <c r="C6" s="35" t="s">
        <v>268</v>
      </c>
      <c r="D6" s="36">
        <v>0</v>
      </c>
      <c r="E6" s="35">
        <v>-1</v>
      </c>
      <c r="F6" s="36">
        <v>-2</v>
      </c>
      <c r="G6" s="36">
        <v>-3</v>
      </c>
      <c r="H6" s="36">
        <v>-4</v>
      </c>
      <c r="I6" s="36">
        <v>-5</v>
      </c>
      <c r="J6" s="36">
        <v>-7</v>
      </c>
      <c r="K6" s="36">
        <v>-8</v>
      </c>
      <c r="L6" s="35">
        <v>-9</v>
      </c>
    </row>
    <row r="7" spans="1:12" ht="15" thickBot="1" x14ac:dyDescent="0.4">
      <c r="A7" s="37">
        <v>25</v>
      </c>
      <c r="B7" s="38" t="s">
        <v>281</v>
      </c>
      <c r="C7" s="39"/>
      <c r="D7" s="40"/>
      <c r="E7" s="41"/>
      <c r="F7" s="47"/>
      <c r="G7" s="40"/>
      <c r="H7" s="40"/>
      <c r="I7" s="40"/>
      <c r="J7" s="40"/>
      <c r="K7" s="47"/>
      <c r="L7" s="42"/>
    </row>
    <row r="8" spans="1:12" ht="15" thickBot="1" x14ac:dyDescent="0.4">
      <c r="A8" s="44">
        <v>29</v>
      </c>
      <c r="B8" s="45" t="s">
        <v>134</v>
      </c>
      <c r="C8" s="46"/>
      <c r="D8" s="41"/>
      <c r="E8" s="41"/>
      <c r="F8" s="41"/>
      <c r="G8" s="41"/>
      <c r="H8" s="41"/>
      <c r="I8" s="41"/>
      <c r="J8" s="47"/>
      <c r="K8" s="41"/>
      <c r="L8" s="41"/>
    </row>
    <row r="9" spans="1:12" ht="15" thickBot="1" x14ac:dyDescent="0.4">
      <c r="A9" s="44">
        <v>51</v>
      </c>
      <c r="B9" s="45" t="s">
        <v>269</v>
      </c>
      <c r="C9" s="46"/>
      <c r="D9" s="47"/>
      <c r="E9" s="41"/>
      <c r="F9" s="47"/>
      <c r="G9" s="47"/>
      <c r="H9" s="47"/>
      <c r="I9" s="47"/>
      <c r="J9" s="47"/>
      <c r="K9" s="47"/>
      <c r="L9" s="47"/>
    </row>
    <row r="10" spans="1:12" ht="15" thickBot="1" x14ac:dyDescent="0.4">
      <c r="A10" s="37">
        <v>52</v>
      </c>
      <c r="B10" s="38" t="s">
        <v>270</v>
      </c>
      <c r="C10" s="43"/>
      <c r="D10" s="40"/>
      <c r="E10" s="41"/>
      <c r="F10" s="41"/>
      <c r="G10" s="40"/>
      <c r="H10" s="40"/>
      <c r="I10" s="40"/>
      <c r="J10" s="40"/>
      <c r="K10" s="47"/>
      <c r="L10" s="42"/>
    </row>
    <row r="11" spans="1:12" ht="15" thickBot="1" x14ac:dyDescent="0.4">
      <c r="A11" s="37">
        <v>53</v>
      </c>
      <c r="B11" s="38" t="s">
        <v>271</v>
      </c>
      <c r="C11" s="43"/>
      <c r="D11" s="40"/>
      <c r="E11" s="41"/>
      <c r="F11" s="41"/>
      <c r="G11" s="40"/>
      <c r="H11" s="40"/>
      <c r="I11" s="40"/>
      <c r="J11" s="40"/>
      <c r="K11" s="47"/>
      <c r="L11" s="42"/>
    </row>
    <row r="12" spans="1:12" ht="15" thickBot="1" x14ac:dyDescent="0.4">
      <c r="A12" s="44">
        <v>56</v>
      </c>
      <c r="B12" s="45" t="s">
        <v>272</v>
      </c>
      <c r="C12" s="46"/>
      <c r="D12" s="41"/>
      <c r="E12" s="41"/>
      <c r="F12" s="41"/>
      <c r="G12" s="41"/>
      <c r="H12" s="41"/>
      <c r="I12" s="41"/>
      <c r="J12" s="47"/>
      <c r="K12" s="41"/>
      <c r="L12" s="41"/>
    </row>
    <row r="13" spans="1:12" ht="15" thickBot="1" x14ac:dyDescent="0.4">
      <c r="A13" s="48">
        <v>58</v>
      </c>
      <c r="B13" s="49" t="s">
        <v>273</v>
      </c>
      <c r="C13" s="50"/>
      <c r="D13" s="50"/>
      <c r="E13" s="51"/>
      <c r="F13" s="51"/>
      <c r="G13" s="50"/>
      <c r="H13" s="50"/>
      <c r="I13" s="50"/>
      <c r="J13" s="50"/>
      <c r="K13" s="51"/>
      <c r="L13" s="51"/>
    </row>
    <row r="14" spans="1:12" ht="15" thickBot="1" x14ac:dyDescent="0.4">
      <c r="A14" s="44">
        <v>59</v>
      </c>
      <c r="B14" s="52" t="s">
        <v>274</v>
      </c>
      <c r="C14" s="47"/>
      <c r="D14" s="41"/>
      <c r="E14" s="47"/>
      <c r="F14" s="41"/>
      <c r="G14" s="41"/>
      <c r="H14" s="41"/>
      <c r="I14" s="41"/>
      <c r="J14" s="41"/>
      <c r="K14" s="41"/>
      <c r="L14" s="41"/>
    </row>
    <row r="15" spans="1:12" ht="15" thickBot="1" x14ac:dyDescent="0.4">
      <c r="A15" s="31"/>
      <c r="B15" s="42" t="s">
        <v>275</v>
      </c>
      <c r="C15" s="42"/>
      <c r="D15" s="40"/>
      <c r="E15" s="47"/>
      <c r="F15" s="47"/>
      <c r="G15" s="40"/>
      <c r="H15" s="40"/>
      <c r="I15" s="40"/>
      <c r="J15" s="40"/>
      <c r="K15" s="47"/>
      <c r="L15" s="42"/>
    </row>
    <row r="16" spans="1:12" ht="15" thickBot="1" x14ac:dyDescent="0.4"/>
    <row r="17" spans="1:9" ht="15" thickBot="1" x14ac:dyDescent="0.4">
      <c r="C17" s="13"/>
      <c r="D17" s="15" t="s">
        <v>276</v>
      </c>
    </row>
    <row r="18" spans="1:9" ht="15" thickBot="1" x14ac:dyDescent="0.4">
      <c r="C18" s="14"/>
      <c r="D18" s="15" t="s">
        <v>277</v>
      </c>
    </row>
    <row r="23" spans="1:9" x14ac:dyDescent="0.35">
      <c r="A23" s="24" t="s">
        <v>4</v>
      </c>
      <c r="B23" s="24"/>
      <c r="C23" s="24"/>
      <c r="D23" s="24"/>
      <c r="E23" s="24"/>
      <c r="F23" s="24"/>
      <c r="G23" s="24"/>
      <c r="H23" s="24"/>
      <c r="I23" s="24"/>
    </row>
    <row r="24" spans="1:9" ht="15" thickBot="1" x14ac:dyDescent="0.4">
      <c r="A24" s="25" t="s">
        <v>253</v>
      </c>
      <c r="B24" s="25"/>
      <c r="C24" s="25"/>
      <c r="D24" s="25"/>
      <c r="E24" s="25"/>
      <c r="F24" s="25"/>
      <c r="G24" s="25"/>
      <c r="H24" s="25"/>
      <c r="I24" s="25"/>
    </row>
    <row r="25" spans="1:9" x14ac:dyDescent="0.35">
      <c r="A25" s="26"/>
      <c r="B25" s="27"/>
      <c r="C25" s="27"/>
      <c r="D25" s="28" t="s">
        <v>254</v>
      </c>
      <c r="E25" s="28" t="s">
        <v>257</v>
      </c>
      <c r="F25" s="28" t="s">
        <v>258</v>
      </c>
      <c r="G25" s="29" t="s">
        <v>67</v>
      </c>
      <c r="H25" s="28" t="s">
        <v>259</v>
      </c>
      <c r="I25" s="30" t="s">
        <v>260</v>
      </c>
    </row>
    <row r="26" spans="1:9" ht="15" thickBot="1" x14ac:dyDescent="0.4">
      <c r="A26" s="31"/>
      <c r="B26" s="32"/>
      <c r="C26" s="32"/>
      <c r="D26" s="33" t="s">
        <v>261</v>
      </c>
      <c r="E26" s="33" t="s">
        <v>262</v>
      </c>
      <c r="F26" s="33" t="s">
        <v>263</v>
      </c>
      <c r="G26" s="34" t="s">
        <v>264</v>
      </c>
      <c r="H26" s="33" t="s">
        <v>265</v>
      </c>
      <c r="I26" s="35" t="s">
        <v>266</v>
      </c>
    </row>
    <row r="27" spans="1:9" ht="15" thickBot="1" x14ac:dyDescent="0.4">
      <c r="A27" s="31"/>
      <c r="B27" s="35" t="s">
        <v>267</v>
      </c>
      <c r="C27" s="35" t="s">
        <v>268</v>
      </c>
      <c r="D27" s="36">
        <v>0</v>
      </c>
      <c r="E27" s="36">
        <v>-3</v>
      </c>
      <c r="F27" s="36">
        <v>-4</v>
      </c>
      <c r="G27" s="36">
        <v>-5</v>
      </c>
      <c r="H27" s="36">
        <v>-7</v>
      </c>
      <c r="I27" s="35">
        <v>-9</v>
      </c>
    </row>
    <row r="28" spans="1:9" ht="15" thickBot="1" x14ac:dyDescent="0.4">
      <c r="A28" s="37">
        <v>25</v>
      </c>
      <c r="B28" s="38" t="s">
        <v>281</v>
      </c>
      <c r="C28" s="39"/>
      <c r="D28" s="40"/>
      <c r="E28" s="40"/>
      <c r="F28" s="40"/>
      <c r="G28" s="40"/>
      <c r="H28" s="40"/>
      <c r="I28" s="42"/>
    </row>
    <row r="29" spans="1:9" ht="15" thickBot="1" x14ac:dyDescent="0.4">
      <c r="A29" s="37">
        <v>52</v>
      </c>
      <c r="B29" s="38" t="s">
        <v>270</v>
      </c>
      <c r="C29" s="43"/>
      <c r="D29" s="40"/>
      <c r="E29" s="40"/>
      <c r="F29" s="40"/>
      <c r="G29" s="40"/>
      <c r="H29" s="40"/>
      <c r="I29" s="42"/>
    </row>
    <row r="30" spans="1:9" ht="15" thickBot="1" x14ac:dyDescent="0.4">
      <c r="A30" s="37">
        <v>53</v>
      </c>
      <c r="B30" s="38" t="s">
        <v>271</v>
      </c>
      <c r="C30" s="43"/>
      <c r="D30" s="40"/>
      <c r="E30" s="40"/>
      <c r="F30" s="40"/>
      <c r="G30" s="40"/>
      <c r="H30" s="40"/>
      <c r="I30" s="42"/>
    </row>
    <row r="31" spans="1:9" ht="15" thickBot="1" x14ac:dyDescent="0.4">
      <c r="A31" s="31"/>
      <c r="B31" s="42" t="s">
        <v>275</v>
      </c>
      <c r="C31" s="42"/>
      <c r="D31" s="40"/>
      <c r="E31" s="40"/>
      <c r="F31" s="40"/>
      <c r="G31" s="40"/>
      <c r="H31" s="40"/>
      <c r="I31" s="4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Intro</vt:lpstr>
      <vt:lpstr>Template</vt:lpstr>
      <vt:lpstr>Final Prog 99 XS NCES List</vt:lpstr>
      <vt:lpstr>New Template</vt:lpstr>
      <vt:lpstr>Data for Model</vt:lpstr>
      <vt:lpstr>LEA Names</vt:lpstr>
      <vt:lpstr>Codes</vt:lpstr>
      <vt:lpstr>Prog 99 NECS Combination</vt:lpstr>
      <vt:lpstr>Program 99 Budget Matrix</vt:lpstr>
      <vt:lpstr>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Stone</dc:creator>
  <cp:lastModifiedBy>Patti Enbody</cp:lastModifiedBy>
  <cp:lastPrinted>2023-03-09T19:30:33Z</cp:lastPrinted>
  <dcterms:created xsi:type="dcterms:W3CDTF">2022-09-21T23:17:54Z</dcterms:created>
  <dcterms:modified xsi:type="dcterms:W3CDTF">2024-12-04T22:05:51Z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2024-10-08T20:36:00Z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bab7ab3f-5aab-4b49-96d3-1409b348fdba</vt:lpwstr>
  </property>
  <property fmtid="{D5CDD505-2E9C-101B-9397-08002B2CF9AE}" pid="8" name="MSIP_Label_9145f431-4c8c-42c6-a5a5-ba6d3bdea585_ContentBits">
    <vt:lpwstr>0</vt:lpwstr>
  </property>
</Properties>
</file>