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Apportionment_NEW\Apportionment Funding\Monthly Apport Data\2425\"/>
    </mc:Choice>
  </mc:AlternateContent>
  <xr:revisionPtr revIDLastSave="0" documentId="13_ncr:1_{E54F3D71-1C83-4940-BEB2-B00D0ECC5791}" xr6:coauthVersionLast="47" xr6:coauthVersionMax="47" xr10:uidLastSave="{00000000-0000-0000-0000-000000000000}"/>
  <bookViews>
    <workbookView xWindow="-38055" yWindow="870" windowWidth="33750" windowHeight="18555" xr2:uid="{00000000-000D-0000-FFFF-FFFF00000000}"/>
  </bookViews>
  <sheets>
    <sheet name="RECOVERY" sheetId="1" r:id="rId1"/>
    <sheet name="ALLOC" sheetId="2" state="hidden" r:id="rId2"/>
  </sheets>
  <definedNames>
    <definedName name="_xlnm._FilterDatabase" localSheetId="1" hidden="1">ALLOC!$A$6:$AO$336</definedName>
    <definedName name="Data">ALLOC!$B$7:$AO$336</definedName>
    <definedName name="DISNAME">ALLOC!$A$7:$A$336</definedName>
    <definedName name="_xlnm.Print_Area" localSheetId="0">RECOVERY!$A$6:$G$108</definedName>
    <definedName name="_xlnm.Print_Titles" localSheetId="0">RECOVERY!$6:$9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36" i="2" l="1"/>
  <c r="AM336" i="2" s="1"/>
  <c r="AK336" i="2"/>
  <c r="AL335" i="2"/>
  <c r="AM335" i="2" s="1"/>
  <c r="AK335" i="2"/>
  <c r="AL334" i="2"/>
  <c r="AM334" i="2" s="1"/>
  <c r="AK334" i="2"/>
  <c r="AL333" i="2"/>
  <c r="AM333" i="2" s="1"/>
  <c r="AK333" i="2"/>
  <c r="AL332" i="2"/>
  <c r="AM332" i="2" s="1"/>
  <c r="AK332" i="2"/>
  <c r="AM331" i="2"/>
  <c r="AL331" i="2"/>
  <c r="AK331" i="2"/>
  <c r="AL330" i="2"/>
  <c r="AM330" i="2" s="1"/>
  <c r="AK330" i="2"/>
  <c r="AL329" i="2"/>
  <c r="AM329" i="2" s="1"/>
  <c r="AK329" i="2"/>
  <c r="AM328" i="2"/>
  <c r="AL328" i="2"/>
  <c r="AK328" i="2"/>
  <c r="AL327" i="2"/>
  <c r="AM327" i="2" s="1"/>
  <c r="AK327" i="2"/>
  <c r="AL326" i="2"/>
  <c r="AM326" i="2" s="1"/>
  <c r="AK326" i="2"/>
  <c r="AL325" i="2"/>
  <c r="AM325" i="2" s="1"/>
  <c r="AK325" i="2"/>
  <c r="AL324" i="2"/>
  <c r="AM324" i="2" s="1"/>
  <c r="AK324" i="2"/>
  <c r="AL323" i="2"/>
  <c r="AM323" i="2" s="1"/>
  <c r="AK323" i="2"/>
  <c r="AL322" i="2"/>
  <c r="AM322" i="2" s="1"/>
  <c r="AK322" i="2"/>
  <c r="AL321" i="2"/>
  <c r="AM321" i="2" s="1"/>
  <c r="AK321" i="2"/>
  <c r="AL320" i="2"/>
  <c r="AM320" i="2" s="1"/>
  <c r="AK320" i="2"/>
  <c r="AL319" i="2"/>
  <c r="AM319" i="2" s="1"/>
  <c r="AK319" i="2"/>
  <c r="AL318" i="2"/>
  <c r="AM318" i="2" s="1"/>
  <c r="AK318" i="2"/>
  <c r="AL317" i="2"/>
  <c r="AM317" i="2" s="1"/>
  <c r="AK317" i="2"/>
  <c r="AL316" i="2"/>
  <c r="AM316" i="2" s="1"/>
  <c r="AK316" i="2"/>
  <c r="AM315" i="2"/>
  <c r="AL315" i="2"/>
  <c r="AK315" i="2"/>
  <c r="AL314" i="2"/>
  <c r="AK314" i="2"/>
  <c r="AM314" i="2" s="1"/>
  <c r="AL313" i="2"/>
  <c r="AK313" i="2"/>
  <c r="AM313" i="2" s="1"/>
  <c r="AM312" i="2"/>
  <c r="AL312" i="2"/>
  <c r="AK312" i="2"/>
  <c r="AL311" i="2"/>
  <c r="AM311" i="2" s="1"/>
  <c r="AK311" i="2"/>
  <c r="AM310" i="2"/>
  <c r="AL310" i="2"/>
  <c r="AK310" i="2"/>
  <c r="AL309" i="2"/>
  <c r="AM309" i="2" s="1"/>
  <c r="AK309" i="2"/>
  <c r="AL308" i="2"/>
  <c r="AM308" i="2" s="1"/>
  <c r="AK308" i="2"/>
  <c r="AL307" i="2"/>
  <c r="AM307" i="2" s="1"/>
  <c r="AK307" i="2"/>
  <c r="AL306" i="2"/>
  <c r="AK306" i="2"/>
  <c r="AM306" i="2" s="1"/>
  <c r="AL305" i="2"/>
  <c r="AM305" i="2" s="1"/>
  <c r="AK305" i="2"/>
  <c r="AL304" i="2"/>
  <c r="AM304" i="2" s="1"/>
  <c r="AK304" i="2"/>
  <c r="AL303" i="2"/>
  <c r="AM303" i="2" s="1"/>
  <c r="AK303" i="2"/>
  <c r="AL302" i="2"/>
  <c r="AM302" i="2" s="1"/>
  <c r="AK302" i="2"/>
  <c r="AL301" i="2"/>
  <c r="AM301" i="2" s="1"/>
  <c r="AK301" i="2"/>
  <c r="AL300" i="2"/>
  <c r="AM300" i="2" s="1"/>
  <c r="AK300" i="2"/>
  <c r="AM299" i="2"/>
  <c r="AL299" i="2"/>
  <c r="AK299" i="2"/>
  <c r="AL298" i="2"/>
  <c r="AK298" i="2"/>
  <c r="AM298" i="2" s="1"/>
  <c r="AL297" i="2"/>
  <c r="AK297" i="2"/>
  <c r="AM297" i="2" s="1"/>
  <c r="AM296" i="2"/>
  <c r="AL296" i="2"/>
  <c r="AK296" i="2"/>
  <c r="AL295" i="2"/>
  <c r="AM295" i="2" s="1"/>
  <c r="AK295" i="2"/>
  <c r="AL294" i="2"/>
  <c r="AM294" i="2" s="1"/>
  <c r="AK294" i="2"/>
  <c r="AL293" i="2"/>
  <c r="AM293" i="2" s="1"/>
  <c r="AK293" i="2"/>
  <c r="AL292" i="2"/>
  <c r="AM292" i="2" s="1"/>
  <c r="AK292" i="2"/>
  <c r="AM291" i="2"/>
  <c r="AL291" i="2"/>
  <c r="AK291" i="2"/>
  <c r="AL290" i="2"/>
  <c r="AM290" i="2" s="1"/>
  <c r="AK290" i="2"/>
  <c r="AL289" i="2"/>
  <c r="AM289" i="2" s="1"/>
  <c r="AK289" i="2"/>
  <c r="AL288" i="2"/>
  <c r="AM288" i="2" s="1"/>
  <c r="AK288" i="2"/>
  <c r="AL287" i="2"/>
  <c r="AM287" i="2" s="1"/>
  <c r="AK287" i="2"/>
  <c r="AL286" i="2"/>
  <c r="AM286" i="2" s="1"/>
  <c r="AK286" i="2"/>
  <c r="AL285" i="2"/>
  <c r="AM285" i="2" s="1"/>
  <c r="AK285" i="2"/>
  <c r="AL284" i="2"/>
  <c r="AM284" i="2" s="1"/>
  <c r="AK284" i="2"/>
  <c r="AM283" i="2"/>
  <c r="AL283" i="2"/>
  <c r="AK283" i="2"/>
  <c r="AL282" i="2"/>
  <c r="AK282" i="2"/>
  <c r="AM282" i="2" s="1"/>
  <c r="AL281" i="2"/>
  <c r="AK281" i="2"/>
  <c r="AM281" i="2" s="1"/>
  <c r="AM280" i="2"/>
  <c r="AL280" i="2"/>
  <c r="AK280" i="2"/>
  <c r="AL279" i="2"/>
  <c r="AM279" i="2" s="1"/>
  <c r="AK279" i="2"/>
  <c r="AL278" i="2"/>
  <c r="AM278" i="2" s="1"/>
  <c r="AK278" i="2"/>
  <c r="AL277" i="2"/>
  <c r="AM277" i="2" s="1"/>
  <c r="AK277" i="2"/>
  <c r="AL276" i="2"/>
  <c r="AM276" i="2" s="1"/>
  <c r="AK276" i="2"/>
  <c r="AM275" i="2"/>
  <c r="AL275" i="2"/>
  <c r="AK275" i="2"/>
  <c r="AL274" i="2"/>
  <c r="AK274" i="2"/>
  <c r="AM274" i="2" s="1"/>
  <c r="AL273" i="2"/>
  <c r="AM273" i="2" s="1"/>
  <c r="AK273" i="2"/>
  <c r="AL272" i="2"/>
  <c r="AM272" i="2" s="1"/>
  <c r="AK272" i="2"/>
  <c r="AL271" i="2"/>
  <c r="AM271" i="2" s="1"/>
  <c r="AK271" i="2"/>
  <c r="AL270" i="2"/>
  <c r="AM270" i="2" s="1"/>
  <c r="AK270" i="2"/>
  <c r="AL269" i="2"/>
  <c r="AM269" i="2" s="1"/>
  <c r="AK269" i="2"/>
  <c r="AL268" i="2"/>
  <c r="AM268" i="2" s="1"/>
  <c r="AK268" i="2"/>
  <c r="AM267" i="2"/>
  <c r="AL267" i="2"/>
  <c r="AK267" i="2"/>
  <c r="AL266" i="2"/>
  <c r="AM266" i="2" s="1"/>
  <c r="AK266" i="2"/>
  <c r="AL265" i="2"/>
  <c r="AM265" i="2" s="1"/>
  <c r="AK265" i="2"/>
  <c r="AM264" i="2"/>
  <c r="AL264" i="2"/>
  <c r="AK264" i="2"/>
  <c r="AL263" i="2"/>
  <c r="AM263" i="2" s="1"/>
  <c r="AK263" i="2"/>
  <c r="AL262" i="2"/>
  <c r="AM262" i="2" s="1"/>
  <c r="AK262" i="2"/>
  <c r="AL261" i="2"/>
  <c r="AM261" i="2" s="1"/>
  <c r="AK261" i="2"/>
  <c r="AL260" i="2"/>
  <c r="AM260" i="2" s="1"/>
  <c r="AK260" i="2"/>
  <c r="AM259" i="2"/>
  <c r="AL259" i="2"/>
  <c r="AK259" i="2"/>
  <c r="AL258" i="2"/>
  <c r="AM258" i="2" s="1"/>
  <c r="AK258" i="2"/>
  <c r="AL257" i="2"/>
  <c r="AM257" i="2" s="1"/>
  <c r="AK257" i="2"/>
  <c r="AL256" i="2"/>
  <c r="AM256" i="2" s="1"/>
  <c r="AK256" i="2"/>
  <c r="AL255" i="2"/>
  <c r="AM255" i="2" s="1"/>
  <c r="AK255" i="2"/>
  <c r="AL254" i="2"/>
  <c r="AM254" i="2" s="1"/>
  <c r="AK254" i="2"/>
  <c r="AL253" i="2"/>
  <c r="AM253" i="2" s="1"/>
  <c r="AK253" i="2"/>
  <c r="AL252" i="2"/>
  <c r="AM252" i="2" s="1"/>
  <c r="AK252" i="2"/>
  <c r="AM251" i="2"/>
  <c r="AL251" i="2"/>
  <c r="AK251" i="2"/>
  <c r="AL250" i="2"/>
  <c r="AM250" i="2" s="1"/>
  <c r="AK250" i="2"/>
  <c r="AL249" i="2"/>
  <c r="AM249" i="2" s="1"/>
  <c r="AK249" i="2"/>
  <c r="AM248" i="2"/>
  <c r="AL248" i="2"/>
  <c r="AK248" i="2"/>
  <c r="AL247" i="2"/>
  <c r="AM247" i="2" s="1"/>
  <c r="AK247" i="2"/>
  <c r="AL246" i="2"/>
  <c r="AM246" i="2" s="1"/>
  <c r="AK246" i="2"/>
  <c r="AL245" i="2"/>
  <c r="AM245" i="2" s="1"/>
  <c r="AK245" i="2"/>
  <c r="AL244" i="2"/>
  <c r="AM244" i="2" s="1"/>
  <c r="AK244" i="2"/>
  <c r="AM243" i="2"/>
  <c r="AL243" i="2"/>
  <c r="AK243" i="2"/>
  <c r="AL242" i="2"/>
  <c r="AM242" i="2" s="1"/>
  <c r="AK242" i="2"/>
  <c r="AL241" i="2"/>
  <c r="AM241" i="2" s="1"/>
  <c r="AK241" i="2"/>
  <c r="AL240" i="2"/>
  <c r="AM240" i="2" s="1"/>
  <c r="AK240" i="2"/>
  <c r="AL239" i="2"/>
  <c r="AM239" i="2" s="1"/>
  <c r="AK239" i="2"/>
  <c r="AL238" i="2"/>
  <c r="AM238" i="2" s="1"/>
  <c r="AK238" i="2"/>
  <c r="AL237" i="2"/>
  <c r="AM237" i="2" s="1"/>
  <c r="AK237" i="2"/>
  <c r="AL236" i="2"/>
  <c r="AM236" i="2" s="1"/>
  <c r="AK236" i="2"/>
  <c r="AM235" i="2"/>
  <c r="AL235" i="2"/>
  <c r="AK235" i="2"/>
  <c r="AL234" i="2"/>
  <c r="AM234" i="2" s="1"/>
  <c r="AK234" i="2"/>
  <c r="AL233" i="2"/>
  <c r="AM233" i="2" s="1"/>
  <c r="AK233" i="2"/>
  <c r="AM232" i="2"/>
  <c r="AL232" i="2"/>
  <c r="AK232" i="2"/>
  <c r="AL231" i="2"/>
  <c r="AM231" i="2" s="1"/>
  <c r="AK231" i="2"/>
  <c r="AL230" i="2"/>
  <c r="AM230" i="2" s="1"/>
  <c r="AK230" i="2"/>
  <c r="AL229" i="2"/>
  <c r="AM229" i="2" s="1"/>
  <c r="AK229" i="2"/>
  <c r="AL228" i="2"/>
  <c r="AM228" i="2" s="1"/>
  <c r="AK228" i="2"/>
  <c r="AM227" i="2"/>
  <c r="AL227" i="2"/>
  <c r="AK227" i="2"/>
  <c r="AL226" i="2"/>
  <c r="AM226" i="2" s="1"/>
  <c r="AK226" i="2"/>
  <c r="AL225" i="2"/>
  <c r="AM225" i="2" s="1"/>
  <c r="AK225" i="2"/>
  <c r="AL224" i="2"/>
  <c r="AM224" i="2" s="1"/>
  <c r="AK224" i="2"/>
  <c r="AL223" i="2"/>
  <c r="AM223" i="2" s="1"/>
  <c r="AK223" i="2"/>
  <c r="AL222" i="2"/>
  <c r="AM222" i="2" s="1"/>
  <c r="AK222" i="2"/>
  <c r="AL221" i="2"/>
  <c r="AM221" i="2" s="1"/>
  <c r="AK221" i="2"/>
  <c r="AL220" i="2"/>
  <c r="AM220" i="2" s="1"/>
  <c r="AK220" i="2"/>
  <c r="AM219" i="2"/>
  <c r="AL219" i="2"/>
  <c r="AK219" i="2"/>
  <c r="AL218" i="2"/>
  <c r="AM218" i="2" s="1"/>
  <c r="AK218" i="2"/>
  <c r="AL217" i="2"/>
  <c r="AM217" i="2" s="1"/>
  <c r="AK217" i="2"/>
  <c r="AM216" i="2"/>
  <c r="AL216" i="2"/>
  <c r="AK216" i="2"/>
  <c r="AL215" i="2"/>
  <c r="AK215" i="2"/>
  <c r="AM215" i="2" s="1"/>
  <c r="AL214" i="2"/>
  <c r="AM214" i="2" s="1"/>
  <c r="AK214" i="2"/>
  <c r="AL213" i="2"/>
  <c r="AM213" i="2" s="1"/>
  <c r="AK213" i="2"/>
  <c r="AL212" i="2"/>
  <c r="AM212" i="2" s="1"/>
  <c r="AK212" i="2"/>
  <c r="AM211" i="2"/>
  <c r="AL211" i="2"/>
  <c r="AK211" i="2"/>
  <c r="AL210" i="2"/>
  <c r="AM210" i="2" s="1"/>
  <c r="AK210" i="2"/>
  <c r="AL209" i="2"/>
  <c r="AM209" i="2" s="1"/>
  <c r="AK209" i="2"/>
  <c r="AL208" i="2"/>
  <c r="AM208" i="2" s="1"/>
  <c r="AK208" i="2"/>
  <c r="AL207" i="2"/>
  <c r="AM207" i="2" s="1"/>
  <c r="AK207" i="2"/>
  <c r="AL206" i="2"/>
  <c r="AM206" i="2" s="1"/>
  <c r="AK206" i="2"/>
  <c r="AL205" i="2"/>
  <c r="AM205" i="2" s="1"/>
  <c r="AK205" i="2"/>
  <c r="AL204" i="2"/>
  <c r="AM204" i="2" s="1"/>
  <c r="AK204" i="2"/>
  <c r="AM203" i="2"/>
  <c r="AL203" i="2"/>
  <c r="AK203" i="2"/>
  <c r="AL202" i="2"/>
  <c r="AM202" i="2" s="1"/>
  <c r="AK202" i="2"/>
  <c r="AL201" i="2"/>
  <c r="AM201" i="2" s="1"/>
  <c r="AK201" i="2"/>
  <c r="AM200" i="2"/>
  <c r="AL200" i="2"/>
  <c r="AK200" i="2"/>
  <c r="AL199" i="2"/>
  <c r="AM199" i="2" s="1"/>
  <c r="AK199" i="2"/>
  <c r="AL198" i="2"/>
  <c r="AM198" i="2" s="1"/>
  <c r="AK198" i="2"/>
  <c r="AL197" i="2"/>
  <c r="AM197" i="2" s="1"/>
  <c r="AK197" i="2"/>
  <c r="AL196" i="2"/>
  <c r="AM196" i="2" s="1"/>
  <c r="AK196" i="2"/>
  <c r="AM195" i="2"/>
  <c r="AL195" i="2"/>
  <c r="AK195" i="2"/>
  <c r="AL194" i="2"/>
  <c r="AM194" i="2" s="1"/>
  <c r="AK194" i="2"/>
  <c r="AL193" i="2"/>
  <c r="AM193" i="2" s="1"/>
  <c r="AK193" i="2"/>
  <c r="AL192" i="2"/>
  <c r="AM192" i="2" s="1"/>
  <c r="AK192" i="2"/>
  <c r="AL191" i="2"/>
  <c r="AM191" i="2" s="1"/>
  <c r="AK191" i="2"/>
  <c r="AL190" i="2"/>
  <c r="AM190" i="2" s="1"/>
  <c r="AK190" i="2"/>
  <c r="AL189" i="2"/>
  <c r="AM189" i="2" s="1"/>
  <c r="AK189" i="2"/>
  <c r="AL188" i="2"/>
  <c r="AM188" i="2" s="1"/>
  <c r="AK188" i="2"/>
  <c r="AM187" i="2"/>
  <c r="AL187" i="2"/>
  <c r="AK187" i="2"/>
  <c r="AL186" i="2"/>
  <c r="AM186" i="2" s="1"/>
  <c r="AK186" i="2"/>
  <c r="AL185" i="2"/>
  <c r="AM185" i="2" s="1"/>
  <c r="AK185" i="2"/>
  <c r="AM184" i="2"/>
  <c r="AL184" i="2"/>
  <c r="AK184" i="2"/>
  <c r="AL183" i="2"/>
  <c r="AM183" i="2" s="1"/>
  <c r="AK183" i="2"/>
  <c r="AL182" i="2"/>
  <c r="AM182" i="2" s="1"/>
  <c r="AK182" i="2"/>
  <c r="AL181" i="2"/>
  <c r="AM181" i="2" s="1"/>
  <c r="AK181" i="2"/>
  <c r="AL180" i="2"/>
  <c r="AM180" i="2" s="1"/>
  <c r="AK180" i="2"/>
  <c r="AM179" i="2"/>
  <c r="AL179" i="2"/>
  <c r="AK179" i="2"/>
  <c r="AL178" i="2"/>
  <c r="AM178" i="2" s="1"/>
  <c r="AK178" i="2"/>
  <c r="AL177" i="2"/>
  <c r="AM177" i="2" s="1"/>
  <c r="AK177" i="2"/>
  <c r="AL176" i="2"/>
  <c r="AM176" i="2" s="1"/>
  <c r="AK176" i="2"/>
  <c r="AL175" i="2"/>
  <c r="AM175" i="2" s="1"/>
  <c r="AK175" i="2"/>
  <c r="AL174" i="2"/>
  <c r="AM174" i="2" s="1"/>
  <c r="AK174" i="2"/>
  <c r="AL173" i="2"/>
  <c r="AM173" i="2" s="1"/>
  <c r="AK173" i="2"/>
  <c r="AL172" i="2"/>
  <c r="AM172" i="2" s="1"/>
  <c r="AK172" i="2"/>
  <c r="AM171" i="2"/>
  <c r="AL171" i="2"/>
  <c r="AK171" i="2"/>
  <c r="AL170" i="2"/>
  <c r="AM170" i="2" s="1"/>
  <c r="AK170" i="2"/>
  <c r="AL169" i="2"/>
  <c r="AM169" i="2" s="1"/>
  <c r="AK169" i="2"/>
  <c r="AM168" i="2"/>
  <c r="AL168" i="2"/>
  <c r="AK168" i="2"/>
  <c r="AL167" i="2"/>
  <c r="AM167" i="2" s="1"/>
  <c r="AK167" i="2"/>
  <c r="AL166" i="2"/>
  <c r="AM166" i="2" s="1"/>
  <c r="AK166" i="2"/>
  <c r="AL165" i="2"/>
  <c r="AM165" i="2" s="1"/>
  <c r="AK165" i="2"/>
  <c r="AL164" i="2"/>
  <c r="AM164" i="2" s="1"/>
  <c r="AK164" i="2"/>
  <c r="AM163" i="2"/>
  <c r="AL163" i="2"/>
  <c r="AK163" i="2"/>
  <c r="AL162" i="2"/>
  <c r="AM162" i="2" s="1"/>
  <c r="AK162" i="2"/>
  <c r="AL161" i="2"/>
  <c r="AM161" i="2" s="1"/>
  <c r="AK161" i="2"/>
  <c r="AL160" i="2"/>
  <c r="AM160" i="2" s="1"/>
  <c r="AK160" i="2"/>
  <c r="AL159" i="2"/>
  <c r="AM159" i="2" s="1"/>
  <c r="AK159" i="2"/>
  <c r="AL158" i="2"/>
  <c r="AM158" i="2" s="1"/>
  <c r="AK158" i="2"/>
  <c r="AL157" i="2"/>
  <c r="AM157" i="2" s="1"/>
  <c r="AK157" i="2"/>
  <c r="AL156" i="2"/>
  <c r="AM156" i="2" s="1"/>
  <c r="AK156" i="2"/>
  <c r="AM155" i="2"/>
  <c r="AL155" i="2"/>
  <c r="AK155" i="2"/>
  <c r="AL154" i="2"/>
  <c r="AM154" i="2" s="1"/>
  <c r="AK154" i="2"/>
  <c r="AL153" i="2"/>
  <c r="AM153" i="2" s="1"/>
  <c r="AK153" i="2"/>
  <c r="AM152" i="2"/>
  <c r="AL152" i="2"/>
  <c r="AK152" i="2"/>
  <c r="AL151" i="2"/>
  <c r="AM151" i="2" s="1"/>
  <c r="AK151" i="2"/>
  <c r="AL150" i="2"/>
  <c r="AM150" i="2" s="1"/>
  <c r="AK150" i="2"/>
  <c r="AL149" i="2"/>
  <c r="AK149" i="2"/>
  <c r="AM149" i="2" s="1"/>
  <c r="AL148" i="2"/>
  <c r="AM148" i="2" s="1"/>
  <c r="AK148" i="2"/>
  <c r="AM147" i="2"/>
  <c r="AL147" i="2"/>
  <c r="AK147" i="2"/>
  <c r="AL146" i="2"/>
  <c r="AM146" i="2" s="1"/>
  <c r="AK146" i="2"/>
  <c r="AL145" i="2"/>
  <c r="AM145" i="2" s="1"/>
  <c r="AK145" i="2"/>
  <c r="AL144" i="2"/>
  <c r="AM144" i="2" s="1"/>
  <c r="AK144" i="2"/>
  <c r="AL143" i="2"/>
  <c r="AM143" i="2" s="1"/>
  <c r="AK143" i="2"/>
  <c r="AL142" i="2"/>
  <c r="AM142" i="2" s="1"/>
  <c r="AK142" i="2"/>
  <c r="AL141" i="2"/>
  <c r="AM141" i="2" s="1"/>
  <c r="AK141" i="2"/>
  <c r="AL140" i="2"/>
  <c r="AM140" i="2" s="1"/>
  <c r="AK140" i="2"/>
  <c r="AM139" i="2"/>
  <c r="AL139" i="2"/>
  <c r="AK139" i="2"/>
  <c r="AL138" i="2"/>
  <c r="AM138" i="2" s="1"/>
  <c r="AK138" i="2"/>
  <c r="AL137" i="2"/>
  <c r="AM137" i="2" s="1"/>
  <c r="AK137" i="2"/>
  <c r="AM136" i="2"/>
  <c r="AL136" i="2"/>
  <c r="AK136" i="2"/>
  <c r="AL135" i="2"/>
  <c r="AM135" i="2" s="1"/>
  <c r="AK135" i="2"/>
  <c r="AL134" i="2"/>
  <c r="AM134" i="2" s="1"/>
  <c r="AK134" i="2"/>
  <c r="AL133" i="2"/>
  <c r="AM133" i="2" s="1"/>
  <c r="AK133" i="2"/>
  <c r="AL132" i="2"/>
  <c r="AM132" i="2" s="1"/>
  <c r="AK132" i="2"/>
  <c r="AM131" i="2"/>
  <c r="AL131" i="2"/>
  <c r="AK131" i="2"/>
  <c r="AL130" i="2"/>
  <c r="AM130" i="2" s="1"/>
  <c r="AK130" i="2"/>
  <c r="AL129" i="2"/>
  <c r="AM129" i="2" s="1"/>
  <c r="AK129" i="2"/>
  <c r="AL128" i="2"/>
  <c r="AM128" i="2" s="1"/>
  <c r="AK128" i="2"/>
  <c r="AL127" i="2"/>
  <c r="AM127" i="2" s="1"/>
  <c r="AK127" i="2"/>
  <c r="AL126" i="2"/>
  <c r="AM126" i="2" s="1"/>
  <c r="AK126" i="2"/>
  <c r="AL125" i="2"/>
  <c r="AM125" i="2" s="1"/>
  <c r="AK125" i="2"/>
  <c r="AL124" i="2"/>
  <c r="AM124" i="2" s="1"/>
  <c r="AK124" i="2"/>
  <c r="AM123" i="2"/>
  <c r="AL123" i="2"/>
  <c r="AK123" i="2"/>
  <c r="AL122" i="2"/>
  <c r="AM122" i="2" s="1"/>
  <c r="AK122" i="2"/>
  <c r="AL121" i="2"/>
  <c r="AM121" i="2" s="1"/>
  <c r="AK121" i="2"/>
  <c r="AM120" i="2"/>
  <c r="AL120" i="2"/>
  <c r="AK120" i="2"/>
  <c r="AL119" i="2"/>
  <c r="AM119" i="2" s="1"/>
  <c r="AK119" i="2"/>
  <c r="AL118" i="2"/>
  <c r="AM118" i="2" s="1"/>
  <c r="AK118" i="2"/>
  <c r="AL117" i="2"/>
  <c r="AM117" i="2" s="1"/>
  <c r="AK117" i="2"/>
  <c r="AL116" i="2"/>
  <c r="AM116" i="2" s="1"/>
  <c r="AK116" i="2"/>
  <c r="AM115" i="2"/>
  <c r="AL115" i="2"/>
  <c r="AK115" i="2"/>
  <c r="AL114" i="2"/>
  <c r="AM114" i="2" s="1"/>
  <c r="AK114" i="2"/>
  <c r="AL113" i="2"/>
  <c r="AM113" i="2" s="1"/>
  <c r="AK113" i="2"/>
  <c r="AL112" i="2"/>
  <c r="AM112" i="2" s="1"/>
  <c r="AK112" i="2"/>
  <c r="AL111" i="2"/>
  <c r="AM111" i="2" s="1"/>
  <c r="AK111" i="2"/>
  <c r="AL110" i="2"/>
  <c r="AM110" i="2" s="1"/>
  <c r="AK110" i="2"/>
  <c r="AL109" i="2"/>
  <c r="AM109" i="2" s="1"/>
  <c r="AK109" i="2"/>
  <c r="AL108" i="2"/>
  <c r="AM108" i="2" s="1"/>
  <c r="AK108" i="2"/>
  <c r="AM107" i="2"/>
  <c r="AL107" i="2"/>
  <c r="AK107" i="2"/>
  <c r="AL106" i="2"/>
  <c r="AM106" i="2" s="1"/>
  <c r="AK106" i="2"/>
  <c r="AL105" i="2"/>
  <c r="AM105" i="2" s="1"/>
  <c r="AK105" i="2"/>
  <c r="AM104" i="2"/>
  <c r="AL104" i="2"/>
  <c r="AK104" i="2"/>
  <c r="AL103" i="2"/>
  <c r="AM103" i="2" s="1"/>
  <c r="AK103" i="2"/>
  <c r="AL102" i="2"/>
  <c r="AM102" i="2" s="1"/>
  <c r="AK102" i="2"/>
  <c r="AL101" i="2"/>
  <c r="AM101" i="2" s="1"/>
  <c r="AK101" i="2"/>
  <c r="AL100" i="2"/>
  <c r="AM100" i="2" s="1"/>
  <c r="AK100" i="2"/>
  <c r="AM99" i="2"/>
  <c r="AL99" i="2"/>
  <c r="AK99" i="2"/>
  <c r="AL98" i="2"/>
  <c r="AM98" i="2" s="1"/>
  <c r="AK98" i="2"/>
  <c r="AL97" i="2"/>
  <c r="AM97" i="2" s="1"/>
  <c r="AK97" i="2"/>
  <c r="AL96" i="2"/>
  <c r="AM96" i="2" s="1"/>
  <c r="AK96" i="2"/>
  <c r="AL95" i="2"/>
  <c r="AM95" i="2" s="1"/>
  <c r="AK95" i="2"/>
  <c r="AL94" i="2"/>
  <c r="AM94" i="2" s="1"/>
  <c r="AK94" i="2"/>
  <c r="AL93" i="2"/>
  <c r="AM93" i="2" s="1"/>
  <c r="AK93" i="2"/>
  <c r="AL92" i="2"/>
  <c r="AM92" i="2" s="1"/>
  <c r="AK92" i="2"/>
  <c r="AM91" i="2"/>
  <c r="AL91" i="2"/>
  <c r="AK91" i="2"/>
  <c r="AL90" i="2"/>
  <c r="AK90" i="2"/>
  <c r="AM90" i="2" s="1"/>
  <c r="AL89" i="2"/>
  <c r="AM89" i="2" s="1"/>
  <c r="AK89" i="2"/>
  <c r="AM88" i="2"/>
  <c r="AL88" i="2"/>
  <c r="AK88" i="2"/>
  <c r="AL87" i="2"/>
  <c r="AM87" i="2" s="1"/>
  <c r="AK87" i="2"/>
  <c r="AL86" i="2"/>
  <c r="AM86" i="2" s="1"/>
  <c r="AK86" i="2"/>
  <c r="AL85" i="2"/>
  <c r="AM85" i="2" s="1"/>
  <c r="AK85" i="2"/>
  <c r="AL84" i="2"/>
  <c r="AM84" i="2" s="1"/>
  <c r="AK84" i="2"/>
  <c r="AM83" i="2"/>
  <c r="AL83" i="2"/>
  <c r="AK83" i="2"/>
  <c r="AL82" i="2"/>
  <c r="AM82" i="2" s="1"/>
  <c r="AK82" i="2"/>
  <c r="AL81" i="2"/>
  <c r="AM81" i="2" s="1"/>
  <c r="AK81" i="2"/>
  <c r="AL80" i="2"/>
  <c r="AM80" i="2" s="1"/>
  <c r="AK80" i="2"/>
  <c r="AL79" i="2"/>
  <c r="AM79" i="2" s="1"/>
  <c r="AK79" i="2"/>
  <c r="AL78" i="2"/>
  <c r="AM78" i="2" s="1"/>
  <c r="AK78" i="2"/>
  <c r="AL77" i="2"/>
  <c r="AM77" i="2" s="1"/>
  <c r="AK77" i="2"/>
  <c r="AL76" i="2"/>
  <c r="AM76" i="2" s="1"/>
  <c r="AK76" i="2"/>
  <c r="AM75" i="2"/>
  <c r="AL75" i="2"/>
  <c r="AK75" i="2"/>
  <c r="AL74" i="2"/>
  <c r="AM74" i="2" s="1"/>
  <c r="AK74" i="2"/>
  <c r="AL73" i="2"/>
  <c r="AM73" i="2" s="1"/>
  <c r="AK73" i="2"/>
  <c r="AM72" i="2"/>
  <c r="AL72" i="2"/>
  <c r="AK72" i="2"/>
  <c r="AL71" i="2"/>
  <c r="AM71" i="2" s="1"/>
  <c r="AK71" i="2"/>
  <c r="AL70" i="2"/>
  <c r="AM70" i="2" s="1"/>
  <c r="AK70" i="2"/>
  <c r="AL69" i="2"/>
  <c r="AM69" i="2" s="1"/>
  <c r="AK69" i="2"/>
  <c r="AL68" i="2"/>
  <c r="AM68" i="2" s="1"/>
  <c r="AK68" i="2"/>
  <c r="AM67" i="2"/>
  <c r="AL67" i="2"/>
  <c r="AK67" i="2"/>
  <c r="AL66" i="2"/>
  <c r="AM66" i="2" s="1"/>
  <c r="AK66" i="2"/>
  <c r="AL65" i="2"/>
  <c r="AM65" i="2" s="1"/>
  <c r="AK65" i="2"/>
  <c r="AL64" i="2"/>
  <c r="AM64" i="2" s="1"/>
  <c r="AK64" i="2"/>
  <c r="AL63" i="2"/>
  <c r="AM63" i="2" s="1"/>
  <c r="AK63" i="2"/>
  <c r="AL62" i="2"/>
  <c r="AM62" i="2" s="1"/>
  <c r="AK62" i="2"/>
  <c r="AL61" i="2"/>
  <c r="AM61" i="2" s="1"/>
  <c r="AK61" i="2"/>
  <c r="AL60" i="2"/>
  <c r="AM60" i="2" s="1"/>
  <c r="AK60" i="2"/>
  <c r="AM59" i="2"/>
  <c r="AL59" i="2"/>
  <c r="AK59" i="2"/>
  <c r="AL58" i="2"/>
  <c r="AM58" i="2" s="1"/>
  <c r="AK58" i="2"/>
  <c r="AL57" i="2"/>
  <c r="AM57" i="2" s="1"/>
  <c r="AK57" i="2"/>
  <c r="AM56" i="2"/>
  <c r="AL56" i="2"/>
  <c r="AK56" i="2"/>
  <c r="AL55" i="2"/>
  <c r="AM55" i="2" s="1"/>
  <c r="AK55" i="2"/>
  <c r="AL54" i="2"/>
  <c r="AM54" i="2" s="1"/>
  <c r="AK54" i="2"/>
  <c r="AL53" i="2"/>
  <c r="AM53" i="2" s="1"/>
  <c r="AK53" i="2"/>
  <c r="AL52" i="2"/>
  <c r="AK52" i="2"/>
  <c r="AM52" i="2" s="1"/>
  <c r="AM51" i="2"/>
  <c r="AL51" i="2"/>
  <c r="AK51" i="2"/>
  <c r="AL50" i="2"/>
  <c r="AM50" i="2" s="1"/>
  <c r="AK50" i="2"/>
  <c r="AL49" i="2"/>
  <c r="AM49" i="2" s="1"/>
  <c r="AK49" i="2"/>
  <c r="AL48" i="2"/>
  <c r="AM48" i="2" s="1"/>
  <c r="AK48" i="2"/>
  <c r="AL47" i="2"/>
  <c r="AM47" i="2" s="1"/>
  <c r="AK47" i="2"/>
  <c r="AL46" i="2"/>
  <c r="AM46" i="2" s="1"/>
  <c r="AK46" i="2"/>
  <c r="AL45" i="2"/>
  <c r="AM45" i="2" s="1"/>
  <c r="AK45" i="2"/>
  <c r="AL44" i="2"/>
  <c r="AM44" i="2" s="1"/>
  <c r="AK44" i="2"/>
  <c r="AM43" i="2"/>
  <c r="AL43" i="2"/>
  <c r="AK43" i="2"/>
  <c r="AL42" i="2"/>
  <c r="AM42" i="2" s="1"/>
  <c r="AK42" i="2"/>
  <c r="AL41" i="2"/>
  <c r="AM41" i="2" s="1"/>
  <c r="AK41" i="2"/>
  <c r="AM40" i="2"/>
  <c r="AL40" i="2"/>
  <c r="AK40" i="2"/>
  <c r="AL39" i="2"/>
  <c r="AM39" i="2" s="1"/>
  <c r="AK39" i="2"/>
  <c r="AL38" i="2"/>
  <c r="AM38" i="2" s="1"/>
  <c r="AK38" i="2"/>
  <c r="AL37" i="2"/>
  <c r="AM37" i="2" s="1"/>
  <c r="AK37" i="2"/>
  <c r="AL36" i="2"/>
  <c r="AM36" i="2" s="1"/>
  <c r="AK36" i="2"/>
  <c r="AM35" i="2"/>
  <c r="AL35" i="2"/>
  <c r="AK35" i="2"/>
  <c r="AL34" i="2"/>
  <c r="AM34" i="2" s="1"/>
  <c r="AK34" i="2"/>
  <c r="AL33" i="2"/>
  <c r="AM33" i="2" s="1"/>
  <c r="AK33" i="2"/>
  <c r="AL32" i="2"/>
  <c r="AM32" i="2" s="1"/>
  <c r="AK32" i="2"/>
  <c r="AL31" i="2"/>
  <c r="AM31" i="2" s="1"/>
  <c r="AK31" i="2"/>
  <c r="AL30" i="2"/>
  <c r="AM30" i="2" s="1"/>
  <c r="AK30" i="2"/>
  <c r="AL29" i="2"/>
  <c r="AM29" i="2" s="1"/>
  <c r="AK29" i="2"/>
  <c r="AL28" i="2"/>
  <c r="AM28" i="2" s="1"/>
  <c r="AK28" i="2"/>
  <c r="AM27" i="2"/>
  <c r="AL27" i="2"/>
  <c r="AK27" i="2"/>
  <c r="AL26" i="2"/>
  <c r="AK26" i="2"/>
  <c r="AM26" i="2" s="1"/>
  <c r="AL25" i="2"/>
  <c r="AM25" i="2" s="1"/>
  <c r="AK25" i="2"/>
  <c r="AM24" i="2"/>
  <c r="AL24" i="2"/>
  <c r="AK24" i="2"/>
  <c r="AL23" i="2"/>
  <c r="AM23" i="2" s="1"/>
  <c r="AK23" i="2"/>
  <c r="AL22" i="2"/>
  <c r="AM22" i="2" s="1"/>
  <c r="AK22" i="2"/>
  <c r="AL21" i="2"/>
  <c r="AM21" i="2" s="1"/>
  <c r="AK21" i="2"/>
  <c r="AL20" i="2"/>
  <c r="AM20" i="2" s="1"/>
  <c r="AK20" i="2"/>
  <c r="AM19" i="2"/>
  <c r="AL19" i="2"/>
  <c r="AK19" i="2"/>
  <c r="AM18" i="2"/>
  <c r="AL18" i="2"/>
  <c r="AK18" i="2"/>
  <c r="AL17" i="2"/>
  <c r="AM17" i="2" s="1"/>
  <c r="AK17" i="2"/>
  <c r="AL16" i="2"/>
  <c r="AM16" i="2" s="1"/>
  <c r="AK16" i="2"/>
  <c r="AL15" i="2"/>
  <c r="AM15" i="2" s="1"/>
  <c r="AK15" i="2"/>
  <c r="AL14" i="2"/>
  <c r="AM14" i="2" s="1"/>
  <c r="AK14" i="2"/>
  <c r="AL13" i="2"/>
  <c r="AM13" i="2" s="1"/>
  <c r="AK13" i="2"/>
  <c r="AL12" i="2"/>
  <c r="AM12" i="2" s="1"/>
  <c r="AK12" i="2"/>
  <c r="AM11" i="2"/>
  <c r="AL11" i="2"/>
  <c r="AK11" i="2"/>
  <c r="AL10" i="2"/>
  <c r="AM10" i="2" s="1"/>
  <c r="AK10" i="2"/>
  <c r="AL9" i="2"/>
  <c r="AM9" i="2" s="1"/>
  <c r="AK9" i="2"/>
  <c r="AM8" i="2"/>
  <c r="AL8" i="2"/>
  <c r="AK8" i="2"/>
  <c r="AL7" i="2"/>
  <c r="AM7" i="2" s="1"/>
  <c r="AK7" i="2"/>
  <c r="AH336" i="2"/>
  <c r="AG336" i="2"/>
  <c r="AF336" i="2"/>
  <c r="AG335" i="2"/>
  <c r="AF335" i="2"/>
  <c r="AH335" i="2" s="1"/>
  <c r="AH334" i="2"/>
  <c r="AG334" i="2"/>
  <c r="AF334" i="2"/>
  <c r="AG333" i="2"/>
  <c r="AH333" i="2" s="1"/>
  <c r="AF333" i="2"/>
  <c r="AH332" i="2"/>
  <c r="AG332" i="2"/>
  <c r="AF332" i="2"/>
  <c r="AH331" i="2"/>
  <c r="AG331" i="2"/>
  <c r="AF331" i="2"/>
  <c r="AG330" i="2"/>
  <c r="AH330" i="2" s="1"/>
  <c r="AF330" i="2"/>
  <c r="AH329" i="2"/>
  <c r="AG329" i="2"/>
  <c r="AF329" i="2"/>
  <c r="AG328" i="2"/>
  <c r="AH328" i="2" s="1"/>
  <c r="AF328" i="2"/>
  <c r="AG327" i="2"/>
  <c r="AH327" i="2" s="1"/>
  <c r="AF327" i="2"/>
  <c r="AG326" i="2"/>
  <c r="AH326" i="2" s="1"/>
  <c r="AF326" i="2"/>
  <c r="AG325" i="2"/>
  <c r="AH325" i="2" s="1"/>
  <c r="AF325" i="2"/>
  <c r="AG324" i="2"/>
  <c r="AH324" i="2" s="1"/>
  <c r="AF324" i="2"/>
  <c r="AG323" i="2"/>
  <c r="AF323" i="2"/>
  <c r="AH323" i="2" s="1"/>
  <c r="AG322" i="2"/>
  <c r="AH322" i="2" s="1"/>
  <c r="AF322" i="2"/>
  <c r="AG321" i="2"/>
  <c r="AH321" i="2" s="1"/>
  <c r="AF321" i="2"/>
  <c r="AH320" i="2"/>
  <c r="AG320" i="2"/>
  <c r="AF320" i="2"/>
  <c r="AG319" i="2"/>
  <c r="AF319" i="2"/>
  <c r="AH319" i="2" s="1"/>
  <c r="AH318" i="2"/>
  <c r="AG318" i="2"/>
  <c r="AF318" i="2"/>
  <c r="AG317" i="2"/>
  <c r="AH317" i="2" s="1"/>
  <c r="AF317" i="2"/>
  <c r="AH316" i="2"/>
  <c r="AG316" i="2"/>
  <c r="AF316" i="2"/>
  <c r="AH315" i="2"/>
  <c r="AG315" i="2"/>
  <c r="AF315" i="2"/>
  <c r="AG314" i="2"/>
  <c r="AH314" i="2" s="1"/>
  <c r="AF314" i="2"/>
  <c r="AH313" i="2"/>
  <c r="AG313" i="2"/>
  <c r="AF313" i="2"/>
  <c r="AG312" i="2"/>
  <c r="AH312" i="2" s="1"/>
  <c r="AF312" i="2"/>
  <c r="AG311" i="2"/>
  <c r="AH311" i="2" s="1"/>
  <c r="AF311" i="2"/>
  <c r="AG310" i="2"/>
  <c r="AH310" i="2" s="1"/>
  <c r="AF310" i="2"/>
  <c r="AG309" i="2"/>
  <c r="AH309" i="2" s="1"/>
  <c r="AF309" i="2"/>
  <c r="AG308" i="2"/>
  <c r="AH308" i="2" s="1"/>
  <c r="AF308" i="2"/>
  <c r="AH307" i="2"/>
  <c r="AG307" i="2"/>
  <c r="AF307" i="2"/>
  <c r="AG306" i="2"/>
  <c r="AH306" i="2" s="1"/>
  <c r="AF306" i="2"/>
  <c r="AG305" i="2"/>
  <c r="AH305" i="2" s="1"/>
  <c r="AF305" i="2"/>
  <c r="AH304" i="2"/>
  <c r="AG304" i="2"/>
  <c r="AF304" i="2"/>
  <c r="AG303" i="2"/>
  <c r="AF303" i="2"/>
  <c r="AH303" i="2" s="1"/>
  <c r="AH302" i="2"/>
  <c r="AG302" i="2"/>
  <c r="AF302" i="2"/>
  <c r="AG301" i="2"/>
  <c r="AH301" i="2" s="1"/>
  <c r="AF301" i="2"/>
  <c r="AH300" i="2"/>
  <c r="AG300" i="2"/>
  <c r="AF300" i="2"/>
  <c r="AH299" i="2"/>
  <c r="AG299" i="2"/>
  <c r="AF299" i="2"/>
  <c r="AG298" i="2"/>
  <c r="AH298" i="2" s="1"/>
  <c r="AF298" i="2"/>
  <c r="AH297" i="2"/>
  <c r="AG297" i="2"/>
  <c r="AF297" i="2"/>
  <c r="AG296" i="2"/>
  <c r="AH296" i="2" s="1"/>
  <c r="AF296" i="2"/>
  <c r="AG295" i="2"/>
  <c r="AH295" i="2" s="1"/>
  <c r="AF295" i="2"/>
  <c r="AG294" i="2"/>
  <c r="AH294" i="2" s="1"/>
  <c r="AF294" i="2"/>
  <c r="AG293" i="2"/>
  <c r="AF293" i="2"/>
  <c r="AH293" i="2" s="1"/>
  <c r="AG292" i="2"/>
  <c r="AH292" i="2" s="1"/>
  <c r="AF292" i="2"/>
  <c r="AH291" i="2"/>
  <c r="AG291" i="2"/>
  <c r="AF291" i="2"/>
  <c r="AG290" i="2"/>
  <c r="AH290" i="2" s="1"/>
  <c r="AF290" i="2"/>
  <c r="AG289" i="2"/>
  <c r="AH289" i="2" s="1"/>
  <c r="AF289" i="2"/>
  <c r="AH288" i="2"/>
  <c r="AG288" i="2"/>
  <c r="AF288" i="2"/>
  <c r="AG287" i="2"/>
  <c r="AF287" i="2"/>
  <c r="AH287" i="2" s="1"/>
  <c r="AH286" i="2"/>
  <c r="AG286" i="2"/>
  <c r="AF286" i="2"/>
  <c r="AG285" i="2"/>
  <c r="AH285" i="2" s="1"/>
  <c r="AF285" i="2"/>
  <c r="AH284" i="2"/>
  <c r="AG284" i="2"/>
  <c r="AF284" i="2"/>
  <c r="AH283" i="2"/>
  <c r="AG283" i="2"/>
  <c r="AF283" i="2"/>
  <c r="AG282" i="2"/>
  <c r="AH282" i="2" s="1"/>
  <c r="AF282" i="2"/>
  <c r="AH281" i="2"/>
  <c r="AG281" i="2"/>
  <c r="AF281" i="2"/>
  <c r="AG280" i="2"/>
  <c r="AH280" i="2" s="1"/>
  <c r="AF280" i="2"/>
  <c r="AG279" i="2"/>
  <c r="AH279" i="2" s="1"/>
  <c r="AF279" i="2"/>
  <c r="AG278" i="2"/>
  <c r="AH278" i="2" s="1"/>
  <c r="AF278" i="2"/>
  <c r="AG277" i="2"/>
  <c r="AH277" i="2" s="1"/>
  <c r="AF277" i="2"/>
  <c r="AG276" i="2"/>
  <c r="AH276" i="2" s="1"/>
  <c r="AF276" i="2"/>
  <c r="AH275" i="2"/>
  <c r="AG275" i="2"/>
  <c r="AF275" i="2"/>
  <c r="AG274" i="2"/>
  <c r="AH274" i="2" s="1"/>
  <c r="AF274" i="2"/>
  <c r="AG273" i="2"/>
  <c r="AH273" i="2" s="1"/>
  <c r="AF273" i="2"/>
  <c r="AH272" i="2"/>
  <c r="AG272" i="2"/>
  <c r="AF272" i="2"/>
  <c r="AG271" i="2"/>
  <c r="AF271" i="2"/>
  <c r="AH271" i="2" s="1"/>
  <c r="AH270" i="2"/>
  <c r="AG270" i="2"/>
  <c r="AF270" i="2"/>
  <c r="AG269" i="2"/>
  <c r="AH269" i="2" s="1"/>
  <c r="AF269" i="2"/>
  <c r="AH268" i="2"/>
  <c r="AG268" i="2"/>
  <c r="AF268" i="2"/>
  <c r="AH267" i="2"/>
  <c r="AG267" i="2"/>
  <c r="AF267" i="2"/>
  <c r="AG266" i="2"/>
  <c r="AH266" i="2" s="1"/>
  <c r="AF266" i="2"/>
  <c r="AH265" i="2"/>
  <c r="AG265" i="2"/>
  <c r="AF265" i="2"/>
  <c r="AG264" i="2"/>
  <c r="AH264" i="2" s="1"/>
  <c r="AF264" i="2"/>
  <c r="AG263" i="2"/>
  <c r="AH263" i="2" s="1"/>
  <c r="AF263" i="2"/>
  <c r="AG262" i="2"/>
  <c r="AH262" i="2" s="1"/>
  <c r="AF262" i="2"/>
  <c r="AG261" i="2"/>
  <c r="AH261" i="2" s="1"/>
  <c r="AF261" i="2"/>
  <c r="AG260" i="2"/>
  <c r="AH260" i="2" s="1"/>
  <c r="AF260" i="2"/>
  <c r="AH259" i="2"/>
  <c r="AG259" i="2"/>
  <c r="AF259" i="2"/>
  <c r="AG258" i="2"/>
  <c r="AH258" i="2" s="1"/>
  <c r="AF258" i="2"/>
  <c r="AG257" i="2"/>
  <c r="AH257" i="2" s="1"/>
  <c r="AF257" i="2"/>
  <c r="AH256" i="2"/>
  <c r="AG256" i="2"/>
  <c r="AF256" i="2"/>
  <c r="AG255" i="2"/>
  <c r="AF255" i="2"/>
  <c r="AH255" i="2" s="1"/>
  <c r="AH254" i="2"/>
  <c r="AG254" i="2"/>
  <c r="AF254" i="2"/>
  <c r="AG253" i="2"/>
  <c r="AH253" i="2" s="1"/>
  <c r="AF253" i="2"/>
  <c r="AH252" i="2"/>
  <c r="AG252" i="2"/>
  <c r="AF252" i="2"/>
  <c r="AH251" i="2"/>
  <c r="AG251" i="2"/>
  <c r="AF251" i="2"/>
  <c r="AG250" i="2"/>
  <c r="AH250" i="2" s="1"/>
  <c r="AF250" i="2"/>
  <c r="AH249" i="2"/>
  <c r="AG249" i="2"/>
  <c r="AF249" i="2"/>
  <c r="AG248" i="2"/>
  <c r="AH248" i="2" s="1"/>
  <c r="AF248" i="2"/>
  <c r="AG247" i="2"/>
  <c r="AH247" i="2" s="1"/>
  <c r="AF247" i="2"/>
  <c r="AG246" i="2"/>
  <c r="AH246" i="2" s="1"/>
  <c r="AF246" i="2"/>
  <c r="AG245" i="2"/>
  <c r="AH245" i="2" s="1"/>
  <c r="AF245" i="2"/>
  <c r="AG244" i="2"/>
  <c r="AH244" i="2" s="1"/>
  <c r="AF244" i="2"/>
  <c r="AH243" i="2"/>
  <c r="AG243" i="2"/>
  <c r="AF243" i="2"/>
  <c r="AG242" i="2"/>
  <c r="AH242" i="2" s="1"/>
  <c r="AF242" i="2"/>
  <c r="AG241" i="2"/>
  <c r="AH241" i="2" s="1"/>
  <c r="AF241" i="2"/>
  <c r="AH240" i="2"/>
  <c r="AG240" i="2"/>
  <c r="AF240" i="2"/>
  <c r="AG239" i="2"/>
  <c r="AF239" i="2"/>
  <c r="AH239" i="2" s="1"/>
  <c r="AH238" i="2"/>
  <c r="AG238" i="2"/>
  <c r="AF238" i="2"/>
  <c r="AG237" i="2"/>
  <c r="AH237" i="2" s="1"/>
  <c r="AF237" i="2"/>
  <c r="AH236" i="2"/>
  <c r="AG236" i="2"/>
  <c r="AF236" i="2"/>
  <c r="AH235" i="2"/>
  <c r="AG235" i="2"/>
  <c r="AF235" i="2"/>
  <c r="AG234" i="2"/>
  <c r="AH234" i="2" s="1"/>
  <c r="AF234" i="2"/>
  <c r="AH233" i="2"/>
  <c r="AG233" i="2"/>
  <c r="AF233" i="2"/>
  <c r="AG232" i="2"/>
  <c r="AH232" i="2" s="1"/>
  <c r="AF232" i="2"/>
  <c r="AG231" i="2"/>
  <c r="AH231" i="2" s="1"/>
  <c r="AF231" i="2"/>
  <c r="AG230" i="2"/>
  <c r="AH230" i="2" s="1"/>
  <c r="AF230" i="2"/>
  <c r="AG229" i="2"/>
  <c r="AH229" i="2" s="1"/>
  <c r="AF229" i="2"/>
  <c r="AG228" i="2"/>
  <c r="AH228" i="2" s="1"/>
  <c r="AF228" i="2"/>
  <c r="AH227" i="2"/>
  <c r="AG227" i="2"/>
  <c r="AF227" i="2"/>
  <c r="AG226" i="2"/>
  <c r="AH226" i="2" s="1"/>
  <c r="AF226" i="2"/>
  <c r="AG225" i="2"/>
  <c r="AH225" i="2" s="1"/>
  <c r="AF225" i="2"/>
  <c r="AH224" i="2"/>
  <c r="AG224" i="2"/>
  <c r="AF224" i="2"/>
  <c r="AG223" i="2"/>
  <c r="AF223" i="2"/>
  <c r="AH223" i="2" s="1"/>
  <c r="AH222" i="2"/>
  <c r="AG222" i="2"/>
  <c r="AF222" i="2"/>
  <c r="AG221" i="2"/>
  <c r="AH221" i="2" s="1"/>
  <c r="AF221" i="2"/>
  <c r="AH220" i="2"/>
  <c r="AG220" i="2"/>
  <c r="AF220" i="2"/>
  <c r="AH219" i="2"/>
  <c r="AG219" i="2"/>
  <c r="AF219" i="2"/>
  <c r="AG218" i="2"/>
  <c r="AH218" i="2" s="1"/>
  <c r="AF218" i="2"/>
  <c r="AH217" i="2"/>
  <c r="AG217" i="2"/>
  <c r="AF217" i="2"/>
  <c r="AG216" i="2"/>
  <c r="AH216" i="2" s="1"/>
  <c r="AF216" i="2"/>
  <c r="AG215" i="2"/>
  <c r="AH215" i="2" s="1"/>
  <c r="AF215" i="2"/>
  <c r="AG214" i="2"/>
  <c r="AH214" i="2" s="1"/>
  <c r="AF214" i="2"/>
  <c r="AG213" i="2"/>
  <c r="AH213" i="2" s="1"/>
  <c r="AF213" i="2"/>
  <c r="AG212" i="2"/>
  <c r="AH212" i="2" s="1"/>
  <c r="AF212" i="2"/>
  <c r="AH211" i="2"/>
  <c r="AG211" i="2"/>
  <c r="AF211" i="2"/>
  <c r="AG210" i="2"/>
  <c r="AH210" i="2" s="1"/>
  <c r="AF210" i="2"/>
  <c r="AG209" i="2"/>
  <c r="AH209" i="2" s="1"/>
  <c r="AF209" i="2"/>
  <c r="AH208" i="2"/>
  <c r="AG208" i="2"/>
  <c r="AF208" i="2"/>
  <c r="AG207" i="2"/>
  <c r="AF207" i="2"/>
  <c r="AH207" i="2" s="1"/>
  <c r="AH206" i="2"/>
  <c r="AG206" i="2"/>
  <c r="AF206" i="2"/>
  <c r="AG205" i="2"/>
  <c r="AH205" i="2" s="1"/>
  <c r="AF205" i="2"/>
  <c r="AH204" i="2"/>
  <c r="AG204" i="2"/>
  <c r="AF204" i="2"/>
  <c r="AH203" i="2"/>
  <c r="AG203" i="2"/>
  <c r="AF203" i="2"/>
  <c r="AG202" i="2"/>
  <c r="AH202" i="2" s="1"/>
  <c r="AF202" i="2"/>
  <c r="AH201" i="2"/>
  <c r="AG201" i="2"/>
  <c r="AF201" i="2"/>
  <c r="AG200" i="2"/>
  <c r="AH200" i="2" s="1"/>
  <c r="AF200" i="2"/>
  <c r="AG199" i="2"/>
  <c r="AH199" i="2" s="1"/>
  <c r="AF199" i="2"/>
  <c r="AG198" i="2"/>
  <c r="AH198" i="2" s="1"/>
  <c r="AF198" i="2"/>
  <c r="AG197" i="2"/>
  <c r="AH197" i="2" s="1"/>
  <c r="AF197" i="2"/>
  <c r="AG196" i="2"/>
  <c r="AH196" i="2" s="1"/>
  <c r="AF196" i="2"/>
  <c r="AH195" i="2"/>
  <c r="AG195" i="2"/>
  <c r="AF195" i="2"/>
  <c r="AG194" i="2"/>
  <c r="AH194" i="2" s="1"/>
  <c r="AF194" i="2"/>
  <c r="AG193" i="2"/>
  <c r="AH193" i="2" s="1"/>
  <c r="AF193" i="2"/>
  <c r="AH192" i="2"/>
  <c r="AG192" i="2"/>
  <c r="AF192" i="2"/>
  <c r="AG191" i="2"/>
  <c r="AF191" i="2"/>
  <c r="AH191" i="2" s="1"/>
  <c r="AH190" i="2"/>
  <c r="AG190" i="2"/>
  <c r="AF190" i="2"/>
  <c r="AG189" i="2"/>
  <c r="AH189" i="2" s="1"/>
  <c r="AF189" i="2"/>
  <c r="AH188" i="2"/>
  <c r="AG188" i="2"/>
  <c r="AF188" i="2"/>
  <c r="AH187" i="2"/>
  <c r="AG187" i="2"/>
  <c r="AF187" i="2"/>
  <c r="AG186" i="2"/>
  <c r="AH186" i="2" s="1"/>
  <c r="AF186" i="2"/>
  <c r="AH185" i="2"/>
  <c r="AG185" i="2"/>
  <c r="AF185" i="2"/>
  <c r="AG184" i="2"/>
  <c r="AH184" i="2" s="1"/>
  <c r="AF184" i="2"/>
  <c r="AG183" i="2"/>
  <c r="AH183" i="2" s="1"/>
  <c r="AF183" i="2"/>
  <c r="AG182" i="2"/>
  <c r="AH182" i="2" s="1"/>
  <c r="AF182" i="2"/>
  <c r="AG181" i="2"/>
  <c r="AH181" i="2" s="1"/>
  <c r="AF181" i="2"/>
  <c r="AG180" i="2"/>
  <c r="AH180" i="2" s="1"/>
  <c r="AF180" i="2"/>
  <c r="AH179" i="2"/>
  <c r="AG179" i="2"/>
  <c r="AF179" i="2"/>
  <c r="AG178" i="2"/>
  <c r="AH178" i="2" s="1"/>
  <c r="AF178" i="2"/>
  <c r="AG177" i="2"/>
  <c r="AH177" i="2" s="1"/>
  <c r="AF177" i="2"/>
  <c r="AH176" i="2"/>
  <c r="AG176" i="2"/>
  <c r="AF176" i="2"/>
  <c r="AG175" i="2"/>
  <c r="AF175" i="2"/>
  <c r="AH175" i="2" s="1"/>
  <c r="AH174" i="2"/>
  <c r="AG174" i="2"/>
  <c r="AF174" i="2"/>
  <c r="AG173" i="2"/>
  <c r="AH173" i="2" s="1"/>
  <c r="AF173" i="2"/>
  <c r="AH172" i="2"/>
  <c r="AG172" i="2"/>
  <c r="AF172" i="2"/>
  <c r="AH171" i="2"/>
  <c r="AG171" i="2"/>
  <c r="AF171" i="2"/>
  <c r="AG170" i="2"/>
  <c r="AH170" i="2" s="1"/>
  <c r="AF170" i="2"/>
  <c r="AH169" i="2"/>
  <c r="AG169" i="2"/>
  <c r="AF169" i="2"/>
  <c r="AG168" i="2"/>
  <c r="AH168" i="2" s="1"/>
  <c r="AF168" i="2"/>
  <c r="AG167" i="2"/>
  <c r="AH167" i="2" s="1"/>
  <c r="AF167" i="2"/>
  <c r="AG166" i="2"/>
  <c r="AH166" i="2" s="1"/>
  <c r="AF166" i="2"/>
  <c r="AG165" i="2"/>
  <c r="AH165" i="2" s="1"/>
  <c r="AF165" i="2"/>
  <c r="AG164" i="2"/>
  <c r="AH164" i="2" s="1"/>
  <c r="AF164" i="2"/>
  <c r="AH163" i="2"/>
  <c r="AG163" i="2"/>
  <c r="AF163" i="2"/>
  <c r="AG162" i="2"/>
  <c r="AH162" i="2" s="1"/>
  <c r="AF162" i="2"/>
  <c r="AG161" i="2"/>
  <c r="AH161" i="2" s="1"/>
  <c r="AF161" i="2"/>
  <c r="AH160" i="2"/>
  <c r="AG160" i="2"/>
  <c r="AF160" i="2"/>
  <c r="AG159" i="2"/>
  <c r="AF159" i="2"/>
  <c r="AH159" i="2" s="1"/>
  <c r="AH158" i="2"/>
  <c r="AG158" i="2"/>
  <c r="AF158" i="2"/>
  <c r="AG157" i="2"/>
  <c r="AH157" i="2" s="1"/>
  <c r="AF157" i="2"/>
  <c r="AH156" i="2"/>
  <c r="AG156" i="2"/>
  <c r="AF156" i="2"/>
  <c r="AH155" i="2"/>
  <c r="AG155" i="2"/>
  <c r="AF155" i="2"/>
  <c r="AG154" i="2"/>
  <c r="AH154" i="2" s="1"/>
  <c r="AF154" i="2"/>
  <c r="AH153" i="2"/>
  <c r="AG153" i="2"/>
  <c r="AF153" i="2"/>
  <c r="AG152" i="2"/>
  <c r="AH152" i="2" s="1"/>
  <c r="AF152" i="2"/>
  <c r="AG151" i="2"/>
  <c r="AH151" i="2" s="1"/>
  <c r="AF151" i="2"/>
  <c r="AG150" i="2"/>
  <c r="AH150" i="2" s="1"/>
  <c r="AF150" i="2"/>
  <c r="AG149" i="2"/>
  <c r="AH149" i="2" s="1"/>
  <c r="AF149" i="2"/>
  <c r="AG148" i="2"/>
  <c r="AH148" i="2" s="1"/>
  <c r="AF148" i="2"/>
  <c r="AH147" i="2"/>
  <c r="AG147" i="2"/>
  <c r="AF147" i="2"/>
  <c r="AG146" i="2"/>
  <c r="AH146" i="2" s="1"/>
  <c r="AF146" i="2"/>
  <c r="AG145" i="2"/>
  <c r="AF145" i="2"/>
  <c r="AH145" i="2" s="1"/>
  <c r="AH144" i="2"/>
  <c r="AG144" i="2"/>
  <c r="AF144" i="2"/>
  <c r="AG143" i="2"/>
  <c r="AF143" i="2"/>
  <c r="AH143" i="2" s="1"/>
  <c r="AH142" i="2"/>
  <c r="AG142" i="2"/>
  <c r="AF142" i="2"/>
  <c r="AG141" i="2"/>
  <c r="AH141" i="2" s="1"/>
  <c r="AF141" i="2"/>
  <c r="AH140" i="2"/>
  <c r="AG140" i="2"/>
  <c r="AF140" i="2"/>
  <c r="AH139" i="2"/>
  <c r="AG139" i="2"/>
  <c r="AF139" i="2"/>
  <c r="AG138" i="2"/>
  <c r="AH138" i="2" s="1"/>
  <c r="AF138" i="2"/>
  <c r="AH137" i="2"/>
  <c r="AG137" i="2"/>
  <c r="AF137" i="2"/>
  <c r="AG136" i="2"/>
  <c r="AH136" i="2" s="1"/>
  <c r="AF136" i="2"/>
  <c r="AG135" i="2"/>
  <c r="AH135" i="2" s="1"/>
  <c r="AF135" i="2"/>
  <c r="AG134" i="2"/>
  <c r="AH134" i="2" s="1"/>
  <c r="AF134" i="2"/>
  <c r="AG133" i="2"/>
  <c r="AH133" i="2" s="1"/>
  <c r="AF133" i="2"/>
  <c r="AG132" i="2"/>
  <c r="AH132" i="2" s="1"/>
  <c r="AF132" i="2"/>
  <c r="AH131" i="2"/>
  <c r="AG131" i="2"/>
  <c r="AF131" i="2"/>
  <c r="AG130" i="2"/>
  <c r="AH130" i="2" s="1"/>
  <c r="AF130" i="2"/>
  <c r="AG129" i="2"/>
  <c r="AF129" i="2"/>
  <c r="AH129" i="2" s="1"/>
  <c r="AH128" i="2"/>
  <c r="AG128" i="2"/>
  <c r="AF128" i="2"/>
  <c r="AG127" i="2"/>
  <c r="AF127" i="2"/>
  <c r="AH127" i="2" s="1"/>
  <c r="AH126" i="2"/>
  <c r="AG126" i="2"/>
  <c r="AF126" i="2"/>
  <c r="AG125" i="2"/>
  <c r="AH125" i="2" s="1"/>
  <c r="AF125" i="2"/>
  <c r="AH124" i="2"/>
  <c r="AG124" i="2"/>
  <c r="AF124" i="2"/>
  <c r="AH123" i="2"/>
  <c r="AG123" i="2"/>
  <c r="AF123" i="2"/>
  <c r="AG122" i="2"/>
  <c r="AH122" i="2" s="1"/>
  <c r="AF122" i="2"/>
  <c r="AH121" i="2"/>
  <c r="AG121" i="2"/>
  <c r="AF121" i="2"/>
  <c r="AG120" i="2"/>
  <c r="AH120" i="2" s="1"/>
  <c r="AF120" i="2"/>
  <c r="AG119" i="2"/>
  <c r="AH119" i="2" s="1"/>
  <c r="AF119" i="2"/>
  <c r="AG118" i="2"/>
  <c r="AH118" i="2" s="1"/>
  <c r="AF118" i="2"/>
  <c r="AG117" i="2"/>
  <c r="AH117" i="2" s="1"/>
  <c r="AF117" i="2"/>
  <c r="AG116" i="2"/>
  <c r="AH116" i="2" s="1"/>
  <c r="AF116" i="2"/>
  <c r="AH115" i="2"/>
  <c r="AG115" i="2"/>
  <c r="AF115" i="2"/>
  <c r="AG114" i="2"/>
  <c r="AH114" i="2" s="1"/>
  <c r="AF114" i="2"/>
  <c r="AG113" i="2"/>
  <c r="AF113" i="2"/>
  <c r="AH113" i="2" s="1"/>
  <c r="AH112" i="2"/>
  <c r="AG112" i="2"/>
  <c r="AF112" i="2"/>
  <c r="AG111" i="2"/>
  <c r="AF111" i="2"/>
  <c r="AH111" i="2" s="1"/>
  <c r="AH110" i="2"/>
  <c r="AG110" i="2"/>
  <c r="AF110" i="2"/>
  <c r="AG109" i="2"/>
  <c r="AH109" i="2" s="1"/>
  <c r="AF109" i="2"/>
  <c r="AH108" i="2"/>
  <c r="AG108" i="2"/>
  <c r="AF108" i="2"/>
  <c r="AH107" i="2"/>
  <c r="AG107" i="2"/>
  <c r="AF107" i="2"/>
  <c r="AG106" i="2"/>
  <c r="AH106" i="2" s="1"/>
  <c r="AF106" i="2"/>
  <c r="AH105" i="2"/>
  <c r="AG105" i="2"/>
  <c r="AF105" i="2"/>
  <c r="AG104" i="2"/>
  <c r="AH104" i="2" s="1"/>
  <c r="AF104" i="2"/>
  <c r="AG103" i="2"/>
  <c r="AH103" i="2" s="1"/>
  <c r="AF103" i="2"/>
  <c r="AG102" i="2"/>
  <c r="AH102" i="2" s="1"/>
  <c r="AF102" i="2"/>
  <c r="AG101" i="2"/>
  <c r="AH101" i="2" s="1"/>
  <c r="AF101" i="2"/>
  <c r="AG100" i="2"/>
  <c r="AH100" i="2" s="1"/>
  <c r="AF100" i="2"/>
  <c r="AH99" i="2"/>
  <c r="AG99" i="2"/>
  <c r="AF99" i="2"/>
  <c r="AG98" i="2"/>
  <c r="AH98" i="2" s="1"/>
  <c r="AF98" i="2"/>
  <c r="AG97" i="2"/>
  <c r="AF97" i="2"/>
  <c r="AH97" i="2" s="1"/>
  <c r="AH96" i="2"/>
  <c r="AG96" i="2"/>
  <c r="AF96" i="2"/>
  <c r="AG95" i="2"/>
  <c r="AF95" i="2"/>
  <c r="AH95" i="2" s="1"/>
  <c r="AH94" i="2"/>
  <c r="AG94" i="2"/>
  <c r="AF94" i="2"/>
  <c r="AG93" i="2"/>
  <c r="AH93" i="2" s="1"/>
  <c r="AF93" i="2"/>
  <c r="AH92" i="2"/>
  <c r="AG92" i="2"/>
  <c r="AF92" i="2"/>
  <c r="AH91" i="2"/>
  <c r="AG91" i="2"/>
  <c r="AF91" i="2"/>
  <c r="AG90" i="2"/>
  <c r="AH90" i="2" s="1"/>
  <c r="AF90" i="2"/>
  <c r="AH89" i="2"/>
  <c r="AG89" i="2"/>
  <c r="AF89" i="2"/>
  <c r="AG88" i="2"/>
  <c r="AH88" i="2" s="1"/>
  <c r="AF88" i="2"/>
  <c r="AG87" i="2"/>
  <c r="AH87" i="2" s="1"/>
  <c r="AF87" i="2"/>
  <c r="AG86" i="2"/>
  <c r="AH86" i="2" s="1"/>
  <c r="AF86" i="2"/>
  <c r="AG85" i="2"/>
  <c r="AH85" i="2" s="1"/>
  <c r="AF85" i="2"/>
  <c r="AG84" i="2"/>
  <c r="AH84" i="2" s="1"/>
  <c r="AF84" i="2"/>
  <c r="AH83" i="2"/>
  <c r="AG83" i="2"/>
  <c r="AF83" i="2"/>
  <c r="AG82" i="2"/>
  <c r="AH82" i="2" s="1"/>
  <c r="AF82" i="2"/>
  <c r="AG81" i="2"/>
  <c r="AF81" i="2"/>
  <c r="AH81" i="2" s="1"/>
  <c r="AH80" i="2"/>
  <c r="AG80" i="2"/>
  <c r="AF80" i="2"/>
  <c r="AG79" i="2"/>
  <c r="AF79" i="2"/>
  <c r="AH79" i="2" s="1"/>
  <c r="AH78" i="2"/>
  <c r="AG78" i="2"/>
  <c r="AF78" i="2"/>
  <c r="AG77" i="2"/>
  <c r="AH77" i="2" s="1"/>
  <c r="AF77" i="2"/>
  <c r="AH76" i="2"/>
  <c r="AG76" i="2"/>
  <c r="AF76" i="2"/>
  <c r="AH75" i="2"/>
  <c r="AG75" i="2"/>
  <c r="AF75" i="2"/>
  <c r="AG74" i="2"/>
  <c r="AH74" i="2" s="1"/>
  <c r="AF74" i="2"/>
  <c r="AH73" i="2"/>
  <c r="AG73" i="2"/>
  <c r="AF73" i="2"/>
  <c r="AG72" i="2"/>
  <c r="AF72" i="2"/>
  <c r="AH72" i="2" s="1"/>
  <c r="AG71" i="2"/>
  <c r="AH71" i="2" s="1"/>
  <c r="AF71" i="2"/>
  <c r="AG70" i="2"/>
  <c r="AH70" i="2" s="1"/>
  <c r="AF70" i="2"/>
  <c r="AG69" i="2"/>
  <c r="AH69" i="2" s="1"/>
  <c r="AF69" i="2"/>
  <c r="AG68" i="2"/>
  <c r="AH68" i="2" s="1"/>
  <c r="AF68" i="2"/>
  <c r="AH67" i="2"/>
  <c r="AG67" i="2"/>
  <c r="AF67" i="2"/>
  <c r="AG66" i="2"/>
  <c r="AH66" i="2" s="1"/>
  <c r="AF66" i="2"/>
  <c r="AG65" i="2"/>
  <c r="AF65" i="2"/>
  <c r="AH65" i="2" s="1"/>
  <c r="AH64" i="2"/>
  <c r="AG64" i="2"/>
  <c r="AF64" i="2"/>
  <c r="AG63" i="2"/>
  <c r="AF63" i="2"/>
  <c r="AH63" i="2" s="1"/>
  <c r="AH62" i="2"/>
  <c r="AG62" i="2"/>
  <c r="AF62" i="2"/>
  <c r="AG61" i="2"/>
  <c r="AH61" i="2" s="1"/>
  <c r="AF61" i="2"/>
  <c r="AH60" i="2"/>
  <c r="AG60" i="2"/>
  <c r="AF60" i="2"/>
  <c r="AH59" i="2"/>
  <c r="AG59" i="2"/>
  <c r="AF59" i="2"/>
  <c r="AG58" i="2"/>
  <c r="AH58" i="2" s="1"/>
  <c r="AF58" i="2"/>
  <c r="AH57" i="2"/>
  <c r="AG57" i="2"/>
  <c r="AF57" i="2"/>
  <c r="AG56" i="2"/>
  <c r="AH56" i="2" s="1"/>
  <c r="AF56" i="2"/>
  <c r="AG55" i="2"/>
  <c r="AH55" i="2" s="1"/>
  <c r="AF55" i="2"/>
  <c r="AG54" i="2"/>
  <c r="AH54" i="2" s="1"/>
  <c r="AF54" i="2"/>
  <c r="AG53" i="2"/>
  <c r="AH53" i="2" s="1"/>
  <c r="AF53" i="2"/>
  <c r="AG52" i="2"/>
  <c r="AH52" i="2" s="1"/>
  <c r="AF52" i="2"/>
  <c r="AH51" i="2"/>
  <c r="AG51" i="2"/>
  <c r="AF51" i="2"/>
  <c r="AG50" i="2"/>
  <c r="AH50" i="2" s="1"/>
  <c r="AF50" i="2"/>
  <c r="AG49" i="2"/>
  <c r="AF49" i="2"/>
  <c r="AH49" i="2" s="1"/>
  <c r="AH48" i="2"/>
  <c r="AG48" i="2"/>
  <c r="AF48" i="2"/>
  <c r="AG47" i="2"/>
  <c r="AF47" i="2"/>
  <c r="AH47" i="2" s="1"/>
  <c r="AH46" i="2"/>
  <c r="AG46" i="2"/>
  <c r="AF46" i="2"/>
  <c r="AG45" i="2"/>
  <c r="AH45" i="2" s="1"/>
  <c r="AF45" i="2"/>
  <c r="AH44" i="2"/>
  <c r="AG44" i="2"/>
  <c r="AF44" i="2"/>
  <c r="AH43" i="2"/>
  <c r="AG43" i="2"/>
  <c r="AF43" i="2"/>
  <c r="AG42" i="2"/>
  <c r="AH42" i="2" s="1"/>
  <c r="AF42" i="2"/>
  <c r="AH41" i="2"/>
  <c r="AG41" i="2"/>
  <c r="AF41" i="2"/>
  <c r="AG40" i="2"/>
  <c r="AH40" i="2" s="1"/>
  <c r="AF40" i="2"/>
  <c r="AG39" i="2"/>
  <c r="AH39" i="2" s="1"/>
  <c r="AF39" i="2"/>
  <c r="AG38" i="2"/>
  <c r="AH38" i="2" s="1"/>
  <c r="AF38" i="2"/>
  <c r="AG37" i="2"/>
  <c r="AH37" i="2" s="1"/>
  <c r="AF37" i="2"/>
  <c r="AG36" i="2"/>
  <c r="AH36" i="2" s="1"/>
  <c r="AF36" i="2"/>
  <c r="AH35" i="2"/>
  <c r="AG35" i="2"/>
  <c r="AF35" i="2"/>
  <c r="AG34" i="2"/>
  <c r="AH34" i="2" s="1"/>
  <c r="AF34" i="2"/>
  <c r="AG33" i="2"/>
  <c r="AH33" i="2" s="1"/>
  <c r="AF33" i="2"/>
  <c r="AH32" i="2"/>
  <c r="AG32" i="2"/>
  <c r="AF32" i="2"/>
  <c r="AG31" i="2"/>
  <c r="AF31" i="2"/>
  <c r="AH31" i="2" s="1"/>
  <c r="AH30" i="2"/>
  <c r="AG30" i="2"/>
  <c r="AF30" i="2"/>
  <c r="AG29" i="2"/>
  <c r="AH29" i="2" s="1"/>
  <c r="AF29" i="2"/>
  <c r="AH28" i="2"/>
  <c r="AG28" i="2"/>
  <c r="AF28" i="2"/>
  <c r="AH27" i="2"/>
  <c r="AG27" i="2"/>
  <c r="AF27" i="2"/>
  <c r="AG26" i="2"/>
  <c r="AH26" i="2" s="1"/>
  <c r="AF26" i="2"/>
  <c r="AH25" i="2"/>
  <c r="AG25" i="2"/>
  <c r="AF25" i="2"/>
  <c r="AG24" i="2"/>
  <c r="AH24" i="2" s="1"/>
  <c r="AF24" i="2"/>
  <c r="AG23" i="2"/>
  <c r="AH23" i="2" s="1"/>
  <c r="AF23" i="2"/>
  <c r="AG22" i="2"/>
  <c r="AH22" i="2" s="1"/>
  <c r="AF22" i="2"/>
  <c r="AG21" i="2"/>
  <c r="AH21" i="2" s="1"/>
  <c r="AF21" i="2"/>
  <c r="AG20" i="2"/>
  <c r="AH20" i="2" s="1"/>
  <c r="AF20" i="2"/>
  <c r="AH19" i="2"/>
  <c r="AG19" i="2"/>
  <c r="AF19" i="2"/>
  <c r="AG18" i="2"/>
  <c r="AH18" i="2" s="1"/>
  <c r="AF18" i="2"/>
  <c r="AG17" i="2"/>
  <c r="AH17" i="2" s="1"/>
  <c r="AF17" i="2"/>
  <c r="AH16" i="2"/>
  <c r="AG16" i="2"/>
  <c r="AF16" i="2"/>
  <c r="AG15" i="2"/>
  <c r="AF15" i="2"/>
  <c r="AH15" i="2" s="1"/>
  <c r="AH14" i="2"/>
  <c r="AG14" i="2"/>
  <c r="AF14" i="2"/>
  <c r="AG13" i="2"/>
  <c r="AH13" i="2" s="1"/>
  <c r="AF13" i="2"/>
  <c r="AH12" i="2"/>
  <c r="AG12" i="2"/>
  <c r="AF12" i="2"/>
  <c r="AH11" i="2"/>
  <c r="AG11" i="2"/>
  <c r="AF11" i="2"/>
  <c r="AG10" i="2"/>
  <c r="AH10" i="2" s="1"/>
  <c r="AF10" i="2"/>
  <c r="AH9" i="2"/>
  <c r="AG9" i="2"/>
  <c r="AF9" i="2"/>
  <c r="AG8" i="2"/>
  <c r="AH8" i="2" s="1"/>
  <c r="AF8" i="2"/>
  <c r="AG7" i="2"/>
  <c r="AH7" i="2" s="1"/>
  <c r="AF7" i="2"/>
  <c r="AL6" i="2" l="1"/>
  <c r="P6" i="2" l="1"/>
  <c r="S6" i="2"/>
  <c r="V6" i="2"/>
  <c r="Y6" i="2"/>
  <c r="Z6" i="2"/>
  <c r="AA6" i="2"/>
  <c r="AB6" i="2"/>
  <c r="AC6" i="2"/>
  <c r="AD6" i="2"/>
  <c r="AE6" i="2"/>
  <c r="AI6" i="2"/>
  <c r="AJ6" i="2"/>
  <c r="A4" i="2"/>
  <c r="K6" i="2" l="1"/>
  <c r="L6" i="2"/>
  <c r="J6" i="2"/>
  <c r="D6" i="2"/>
  <c r="I6" i="2"/>
  <c r="M6" i="2"/>
  <c r="H6" i="2"/>
  <c r="G6" i="2"/>
  <c r="F6" i="2"/>
  <c r="E6" i="2"/>
  <c r="AF6" i="2"/>
  <c r="AG6" i="2"/>
  <c r="AN6" i="2" l="1"/>
  <c r="AO6" i="2"/>
  <c r="AK6" i="2" l="1"/>
  <c r="B84" i="1"/>
  <c r="B75" i="1"/>
  <c r="F65" i="1"/>
  <c r="B65" i="1"/>
  <c r="F50" i="1"/>
  <c r="B50" i="1"/>
  <c r="B36" i="1"/>
  <c r="F97" i="1" l="1"/>
  <c r="F94" i="1"/>
  <c r="C1" i="2" l="1"/>
  <c r="D1" i="2" s="1"/>
  <c r="E1" i="2" s="1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AI1" i="2" s="1"/>
  <c r="AJ1" i="2" s="1"/>
  <c r="AK1" i="2" s="1"/>
  <c r="AL1" i="2" s="1"/>
  <c r="AM1" i="2" s="1"/>
  <c r="AN1" i="2" s="1"/>
  <c r="AO1" i="2" s="1"/>
  <c r="B54" i="1" l="1"/>
  <c r="A3" i="1" l="1"/>
  <c r="B34" i="1" s="1"/>
  <c r="F95" i="1" l="1"/>
  <c r="F96" i="1" s="1"/>
  <c r="F98" i="1" s="1"/>
  <c r="E27" i="1"/>
  <c r="F27" i="1" s="1"/>
  <c r="E24" i="1"/>
  <c r="F56" i="1"/>
  <c r="B55" i="1"/>
  <c r="F49" i="1"/>
  <c r="B82" i="1"/>
  <c r="F76" i="1"/>
  <c r="B38" i="1"/>
  <c r="B63" i="1"/>
  <c r="F64" i="1"/>
  <c r="B64" i="1"/>
  <c r="F55" i="1"/>
  <c r="B49" i="1"/>
  <c r="F82" i="1"/>
  <c r="B66" i="1"/>
  <c r="B74" i="1"/>
  <c r="B48" i="1"/>
  <c r="E28" i="1"/>
  <c r="F28" i="1" s="1"/>
  <c r="B76" i="1"/>
  <c r="F93" i="1"/>
  <c r="F63" i="1"/>
  <c r="B56" i="1"/>
  <c r="F48" i="1"/>
  <c r="B93" i="1"/>
  <c r="F66" i="1"/>
  <c r="F67" i="1" s="1"/>
  <c r="F74" i="1"/>
  <c r="B37" i="1"/>
  <c r="B26" i="1"/>
  <c r="B25" i="1"/>
  <c r="E26" i="1"/>
  <c r="E25" i="1"/>
  <c r="B8" i="1"/>
  <c r="B58" i="1" l="1"/>
  <c r="F58" i="1"/>
  <c r="B57" i="1"/>
  <c r="F99" i="1"/>
  <c r="F100" i="1" s="1"/>
  <c r="E19" i="1" s="1"/>
  <c r="F57" i="1"/>
  <c r="F68" i="1"/>
  <c r="F70" i="1" s="1"/>
  <c r="F16" i="1" s="1"/>
  <c r="F13" i="1"/>
  <c r="B35" i="1"/>
  <c r="B67" i="1"/>
  <c r="B68" i="1" s="1"/>
  <c r="F24" i="1"/>
  <c r="F25" i="1"/>
  <c r="F26" i="1"/>
  <c r="B59" i="1" l="1"/>
  <c r="F59" i="1"/>
  <c r="F71" i="1"/>
  <c r="E16" i="1" s="1"/>
  <c r="B70" i="1"/>
  <c r="B40" i="1" l="1"/>
  <c r="F54" i="1"/>
  <c r="F75" i="1"/>
  <c r="F84" i="1"/>
  <c r="B95" i="1"/>
  <c r="F52" i="1" l="1"/>
  <c r="A92" i="1"/>
  <c r="A22" i="1"/>
  <c r="F53" i="1" l="1"/>
  <c r="F60" i="1" s="1"/>
  <c r="F77" i="1"/>
  <c r="F78" i="1" s="1"/>
  <c r="B77" i="1"/>
  <c r="B78" i="1" s="1"/>
  <c r="A21" i="1"/>
  <c r="B39" i="1" l="1"/>
  <c r="B41" i="1" s="1"/>
  <c r="B42" i="1" s="1"/>
  <c r="B79" i="1"/>
  <c r="E17" i="1" s="1"/>
  <c r="E81" i="1"/>
  <c r="F79" i="1" l="1"/>
  <c r="E18" i="1" s="1"/>
  <c r="F15" i="1"/>
  <c r="B71" i="1"/>
  <c r="E15" i="1" s="1"/>
  <c r="F14" i="1" l="1"/>
  <c r="E14" i="1" l="1"/>
  <c r="B52" i="1" l="1"/>
  <c r="B53" i="1" s="1"/>
  <c r="B60" i="1" l="1"/>
  <c r="E13" i="1" s="1"/>
  <c r="B44" i="1"/>
  <c r="F12" i="1" s="1"/>
  <c r="B45" i="1" l="1"/>
  <c r="E12" i="1" s="1"/>
  <c r="Q6" i="2" l="1"/>
  <c r="X6" i="2"/>
  <c r="W6" i="2"/>
  <c r="R6" i="2"/>
  <c r="B96" i="1"/>
  <c r="B97" i="1" s="1"/>
  <c r="B94" i="1"/>
  <c r="B85" i="1" l="1"/>
  <c r="B86" i="1" s="1"/>
  <c r="B83" i="1"/>
  <c r="B98" i="1"/>
  <c r="B87" i="1" l="1"/>
  <c r="B89" i="1" s="1"/>
  <c r="F20" i="1" s="1"/>
  <c r="B100" i="1"/>
  <c r="F22" i="1" s="1"/>
  <c r="B90" i="1" l="1"/>
  <c r="E20" i="1" s="1"/>
  <c r="B101" i="1"/>
  <c r="E22" i="1" s="1"/>
  <c r="F83" i="1" l="1"/>
  <c r="AH6" i="2" l="1"/>
  <c r="U6" i="2"/>
  <c r="AM6" i="2"/>
  <c r="T6" i="2"/>
  <c r="F85" i="1" l="1"/>
  <c r="F86" i="1" s="1"/>
  <c r="F87" i="1" s="1"/>
  <c r="F89" i="1" s="1"/>
  <c r="F21" i="1" s="1"/>
  <c r="F90" i="1" l="1"/>
  <c r="E21" i="1" s="1"/>
</calcChain>
</file>

<file path=xl/sharedStrings.xml><?xml version="1.0" encoding="utf-8"?>
<sst xmlns="http://schemas.openxmlformats.org/spreadsheetml/2006/main" count="1227" uniqueCount="1158">
  <si>
    <t>CARRYOVER</t>
  </si>
  <si>
    <t>4121</t>
  </si>
  <si>
    <t>4155</t>
  </si>
  <si>
    <t>4165</t>
  </si>
  <si>
    <t>4174</t>
  </si>
  <si>
    <t>4199</t>
  </si>
  <si>
    <t>STATE</t>
  </si>
  <si>
    <t>INST INDIRECT</t>
  </si>
  <si>
    <t>INST. 26</t>
  </si>
  <si>
    <t>FIRE DIST</t>
  </si>
  <si>
    <t>EXPEND</t>
  </si>
  <si>
    <t>PAY</t>
  </si>
  <si>
    <t>01109</t>
  </si>
  <si>
    <t>01122</t>
  </si>
  <si>
    <t>01147</t>
  </si>
  <si>
    <t>01158</t>
  </si>
  <si>
    <t>01160</t>
  </si>
  <si>
    <t>02250</t>
  </si>
  <si>
    <t>02420</t>
  </si>
  <si>
    <t>03017</t>
  </si>
  <si>
    <t>03050</t>
  </si>
  <si>
    <t>03052</t>
  </si>
  <si>
    <t>03053</t>
  </si>
  <si>
    <t>03116</t>
  </si>
  <si>
    <t>03400</t>
  </si>
  <si>
    <t>04019</t>
  </si>
  <si>
    <t>04069</t>
  </si>
  <si>
    <t>04127</t>
  </si>
  <si>
    <t>04129</t>
  </si>
  <si>
    <t>04222</t>
  </si>
  <si>
    <t>04228</t>
  </si>
  <si>
    <t>04246</t>
  </si>
  <si>
    <t>05121</t>
  </si>
  <si>
    <t>05313</t>
  </si>
  <si>
    <t>05323</t>
  </si>
  <si>
    <t>05401</t>
  </si>
  <si>
    <t>05402</t>
  </si>
  <si>
    <t>06037</t>
  </si>
  <si>
    <t>06098</t>
  </si>
  <si>
    <t>06101</t>
  </si>
  <si>
    <t>06103</t>
  </si>
  <si>
    <t>06112</t>
  </si>
  <si>
    <t>06114</t>
  </si>
  <si>
    <t>06117</t>
  </si>
  <si>
    <t>06119</t>
  </si>
  <si>
    <t>06122</t>
  </si>
  <si>
    <t>07002</t>
  </si>
  <si>
    <t>07035</t>
  </si>
  <si>
    <t>08122</t>
  </si>
  <si>
    <t>08130</t>
  </si>
  <si>
    <t>08401</t>
  </si>
  <si>
    <t>08402</t>
  </si>
  <si>
    <t>08404</t>
  </si>
  <si>
    <t>08458</t>
  </si>
  <si>
    <t>09013</t>
  </si>
  <si>
    <t>09075</t>
  </si>
  <si>
    <t>09102</t>
  </si>
  <si>
    <t>09206</t>
  </si>
  <si>
    <t>09207</t>
  </si>
  <si>
    <t>09209</t>
  </si>
  <si>
    <t>10003</t>
  </si>
  <si>
    <t>10050</t>
  </si>
  <si>
    <t>10065</t>
  </si>
  <si>
    <t>10070</t>
  </si>
  <si>
    <t>10309</t>
  </si>
  <si>
    <t>11001</t>
  </si>
  <si>
    <t>11051</t>
  </si>
  <si>
    <t>11054</t>
  </si>
  <si>
    <t>11056</t>
  </si>
  <si>
    <t>12110</t>
  </si>
  <si>
    <t>13073</t>
  </si>
  <si>
    <t>13144</t>
  </si>
  <si>
    <t>13146</t>
  </si>
  <si>
    <t>13151</t>
  </si>
  <si>
    <t>13156</t>
  </si>
  <si>
    <t>13160</t>
  </si>
  <si>
    <t>13161</t>
  </si>
  <si>
    <t>13165</t>
  </si>
  <si>
    <t>13167</t>
  </si>
  <si>
    <t>13301</t>
  </si>
  <si>
    <t>14005</t>
  </si>
  <si>
    <t>14028</t>
  </si>
  <si>
    <t>14064</t>
  </si>
  <si>
    <t>14065</t>
  </si>
  <si>
    <t>14066</t>
  </si>
  <si>
    <t>14068</t>
  </si>
  <si>
    <t>14077</t>
  </si>
  <si>
    <t>14097</t>
  </si>
  <si>
    <t>14099</t>
  </si>
  <si>
    <t>14104</t>
  </si>
  <si>
    <t>14117</t>
  </si>
  <si>
    <t>14172</t>
  </si>
  <si>
    <t>14400</t>
  </si>
  <si>
    <t>15201</t>
  </si>
  <si>
    <t>15204</t>
  </si>
  <si>
    <t>15206</t>
  </si>
  <si>
    <t>16020</t>
  </si>
  <si>
    <t>16046</t>
  </si>
  <si>
    <t>16048</t>
  </si>
  <si>
    <t>16049</t>
  </si>
  <si>
    <t>16050</t>
  </si>
  <si>
    <t>17001</t>
  </si>
  <si>
    <t>17210</t>
  </si>
  <si>
    <t>17216</t>
  </si>
  <si>
    <t>17400</t>
  </si>
  <si>
    <t>17401</t>
  </si>
  <si>
    <t>17402</t>
  </si>
  <si>
    <t>17403</t>
  </si>
  <si>
    <t>17404</t>
  </si>
  <si>
    <t>17405</t>
  </si>
  <si>
    <t>17406</t>
  </si>
  <si>
    <t>17407</t>
  </si>
  <si>
    <t>17408</t>
  </si>
  <si>
    <t>17409</t>
  </si>
  <si>
    <t>17410</t>
  </si>
  <si>
    <t>17411</t>
  </si>
  <si>
    <t>17412</t>
  </si>
  <si>
    <t>17414</t>
  </si>
  <si>
    <t>17415</t>
  </si>
  <si>
    <t>17417</t>
  </si>
  <si>
    <t>18100</t>
  </si>
  <si>
    <t>18303</t>
  </si>
  <si>
    <t>18400</t>
  </si>
  <si>
    <t>18401</t>
  </si>
  <si>
    <t>18402</t>
  </si>
  <si>
    <t>19007</t>
  </si>
  <si>
    <t>19028</t>
  </si>
  <si>
    <t>19400</t>
  </si>
  <si>
    <t>19401</t>
  </si>
  <si>
    <t>19403</t>
  </si>
  <si>
    <t>19404</t>
  </si>
  <si>
    <t>20094</t>
  </si>
  <si>
    <t>20203</t>
  </si>
  <si>
    <t>20215</t>
  </si>
  <si>
    <t>20400</t>
  </si>
  <si>
    <t>20401</t>
  </si>
  <si>
    <t>20402</t>
  </si>
  <si>
    <t>20403</t>
  </si>
  <si>
    <t>20404</t>
  </si>
  <si>
    <t>20405</t>
  </si>
  <si>
    <t>20406</t>
  </si>
  <si>
    <t>21014</t>
  </si>
  <si>
    <t>21036</t>
  </si>
  <si>
    <t>21206</t>
  </si>
  <si>
    <t>21214</t>
  </si>
  <si>
    <t>21226</t>
  </si>
  <si>
    <t>21232</t>
  </si>
  <si>
    <t>21234</t>
  </si>
  <si>
    <t>21237</t>
  </si>
  <si>
    <t>21300</t>
  </si>
  <si>
    <t>21301</t>
  </si>
  <si>
    <t>21302</t>
  </si>
  <si>
    <t>21303</t>
  </si>
  <si>
    <t>21401</t>
  </si>
  <si>
    <t>22008</t>
  </si>
  <si>
    <t>22009</t>
  </si>
  <si>
    <t>22017</t>
  </si>
  <si>
    <t>22073</t>
  </si>
  <si>
    <t>22105</t>
  </si>
  <si>
    <t>22200</t>
  </si>
  <si>
    <t>22204</t>
  </si>
  <si>
    <t>22207</t>
  </si>
  <si>
    <t>23042</t>
  </si>
  <si>
    <t>23054</t>
  </si>
  <si>
    <t>23309</t>
  </si>
  <si>
    <t>23311</t>
  </si>
  <si>
    <t>23402</t>
  </si>
  <si>
    <t>23403</t>
  </si>
  <si>
    <t>23404</t>
  </si>
  <si>
    <t>24014</t>
  </si>
  <si>
    <t>24019</t>
  </si>
  <si>
    <t>24105</t>
  </si>
  <si>
    <t>24111</t>
  </si>
  <si>
    <t>24122</t>
  </si>
  <si>
    <t>24350</t>
  </si>
  <si>
    <t>24404</t>
  </si>
  <si>
    <t>24410</t>
  </si>
  <si>
    <t>25101</t>
  </si>
  <si>
    <t>25116</t>
  </si>
  <si>
    <t>25118</t>
  </si>
  <si>
    <t>25155</t>
  </si>
  <si>
    <t>25160</t>
  </si>
  <si>
    <t>25200</t>
  </si>
  <si>
    <t>26056</t>
  </si>
  <si>
    <t>26059</t>
  </si>
  <si>
    <t>26070</t>
  </si>
  <si>
    <t>27001</t>
  </si>
  <si>
    <t>27003</t>
  </si>
  <si>
    <t>27010</t>
  </si>
  <si>
    <t>27019</t>
  </si>
  <si>
    <t>27083</t>
  </si>
  <si>
    <t>27320</t>
  </si>
  <si>
    <t>27343</t>
  </si>
  <si>
    <t>27344</t>
  </si>
  <si>
    <t>27400</t>
  </si>
  <si>
    <t>27401</t>
  </si>
  <si>
    <t>27402</t>
  </si>
  <si>
    <t>27403</t>
  </si>
  <si>
    <t>27404</t>
  </si>
  <si>
    <t>27416</t>
  </si>
  <si>
    <t>27417</t>
  </si>
  <si>
    <t>28010</t>
  </si>
  <si>
    <t>28137</t>
  </si>
  <si>
    <t>28144</t>
  </si>
  <si>
    <t>28149</t>
  </si>
  <si>
    <t>29011</t>
  </si>
  <si>
    <t>29100</t>
  </si>
  <si>
    <t>29101</t>
  </si>
  <si>
    <t>29103</t>
  </si>
  <si>
    <t>29311</t>
  </si>
  <si>
    <t>29317</t>
  </si>
  <si>
    <t>29320</t>
  </si>
  <si>
    <t>30002</t>
  </si>
  <si>
    <t>30029</t>
  </si>
  <si>
    <t>30031</t>
  </si>
  <si>
    <t>30303</t>
  </si>
  <si>
    <t>31002</t>
  </si>
  <si>
    <t>31004</t>
  </si>
  <si>
    <t>31006</t>
  </si>
  <si>
    <t>31015</t>
  </si>
  <si>
    <t>31016</t>
  </si>
  <si>
    <t>31025</t>
  </si>
  <si>
    <t>31063</t>
  </si>
  <si>
    <t>31103</t>
  </si>
  <si>
    <t>31201</t>
  </si>
  <si>
    <t>31306</t>
  </si>
  <si>
    <t>31311</t>
  </si>
  <si>
    <t>31330</t>
  </si>
  <si>
    <t>31332</t>
  </si>
  <si>
    <t>31401</t>
  </si>
  <si>
    <t>32081</t>
  </si>
  <si>
    <t>32123</t>
  </si>
  <si>
    <t>32312</t>
  </si>
  <si>
    <t>32325</t>
  </si>
  <si>
    <t>32326</t>
  </si>
  <si>
    <t>32354</t>
  </si>
  <si>
    <t>32356</t>
  </si>
  <si>
    <t>32358</t>
  </si>
  <si>
    <t>32360</t>
  </si>
  <si>
    <t>32361</t>
  </si>
  <si>
    <t>32362</t>
  </si>
  <si>
    <t>32363</t>
  </si>
  <si>
    <t>32414</t>
  </si>
  <si>
    <t>32416</t>
  </si>
  <si>
    <t>33030</t>
  </si>
  <si>
    <t>33036</t>
  </si>
  <si>
    <t>33049</t>
  </si>
  <si>
    <t>33070</t>
  </si>
  <si>
    <t>33115</t>
  </si>
  <si>
    <t>33183</t>
  </si>
  <si>
    <t>33202</t>
  </si>
  <si>
    <t>33205</t>
  </si>
  <si>
    <t>33206</t>
  </si>
  <si>
    <t>33207</t>
  </si>
  <si>
    <t>33211</t>
  </si>
  <si>
    <t>33212</t>
  </si>
  <si>
    <t>34002</t>
  </si>
  <si>
    <t>34003</t>
  </si>
  <si>
    <t>34033</t>
  </si>
  <si>
    <t>34111</t>
  </si>
  <si>
    <t>34307</t>
  </si>
  <si>
    <t>34324</t>
  </si>
  <si>
    <t>34401</t>
  </si>
  <si>
    <t>34402</t>
  </si>
  <si>
    <t>35200</t>
  </si>
  <si>
    <t>36101</t>
  </si>
  <si>
    <t>36140</t>
  </si>
  <si>
    <t>36250</t>
  </si>
  <si>
    <t>36300</t>
  </si>
  <si>
    <t>36400</t>
  </si>
  <si>
    <t>36401</t>
  </si>
  <si>
    <t>36402</t>
  </si>
  <si>
    <t>37501</t>
  </si>
  <si>
    <t>37502</t>
  </si>
  <si>
    <t>37503</t>
  </si>
  <si>
    <t>37504</t>
  </si>
  <si>
    <t>37505</t>
  </si>
  <si>
    <t>37506</t>
  </si>
  <si>
    <t>37507</t>
  </si>
  <si>
    <t>38126</t>
  </si>
  <si>
    <t>38264</t>
  </si>
  <si>
    <t>38265</t>
  </si>
  <si>
    <t>38267</t>
  </si>
  <si>
    <t>38300</t>
  </si>
  <si>
    <t>38301</t>
  </si>
  <si>
    <t>38302</t>
  </si>
  <si>
    <t>38304</t>
  </si>
  <si>
    <t>38306</t>
  </si>
  <si>
    <t>38308</t>
  </si>
  <si>
    <t>38320</t>
  </si>
  <si>
    <t>38322</t>
  </si>
  <si>
    <t>38324</t>
  </si>
  <si>
    <t>39002</t>
  </si>
  <si>
    <t>39003</t>
  </si>
  <si>
    <t>39007</t>
  </si>
  <si>
    <t>39090</t>
  </si>
  <si>
    <t>39119</t>
  </si>
  <si>
    <t>39120</t>
  </si>
  <si>
    <t>39200</t>
  </si>
  <si>
    <t>39201</t>
  </si>
  <si>
    <t>39202</t>
  </si>
  <si>
    <t>39203</t>
  </si>
  <si>
    <t>39204</t>
  </si>
  <si>
    <t>39205</t>
  </si>
  <si>
    <t>39207</t>
  </si>
  <si>
    <t>39208</t>
  </si>
  <si>
    <t>39209</t>
  </si>
  <si>
    <t>Direct Expenditures:</t>
  </si>
  <si>
    <t xml:space="preserve">  Program 21 Special Ed</t>
  </si>
  <si>
    <t xml:space="preserve">  Program 65 Bilingual</t>
  </si>
  <si>
    <t xml:space="preserve">  Program 74 Highly Capable</t>
  </si>
  <si>
    <t xml:space="preserve">  Program 99 Transportation</t>
  </si>
  <si>
    <t xml:space="preserve">  Program 26 State Institution.</t>
  </si>
  <si>
    <t>SPECIAL EDUCATION PROGRAM 21</t>
  </si>
  <si>
    <t>LAP PROGRAM 55</t>
  </si>
  <si>
    <t>B. Prior Year Carryover</t>
  </si>
  <si>
    <t>C. Direct Expenditures</t>
  </si>
  <si>
    <t>E. (C * (1 + D))</t>
  </si>
  <si>
    <t>F. Lesser of A or (E - B)</t>
  </si>
  <si>
    <t>G. Carryover :</t>
  </si>
  <si>
    <t xml:space="preserve">    (A - F, max. A * .1)</t>
  </si>
  <si>
    <t>BILINGUAL PROGRAM 65</t>
  </si>
  <si>
    <t>HIGHLY CAPABLE PROGRAM 74</t>
  </si>
  <si>
    <t>B. Direct Expenditures</t>
  </si>
  <si>
    <t>D. (B * (1 + C))</t>
  </si>
  <si>
    <t>E. Lesser of A or D</t>
  </si>
  <si>
    <t>TRANSPORTATION PROGRAM 99</t>
  </si>
  <si>
    <t>D. Indirect Allocation</t>
  </si>
  <si>
    <t>E. (C + D)</t>
  </si>
  <si>
    <t>H. Recovery (F + G - A)</t>
  </si>
  <si>
    <t>STATE INSTITUTIONS PROGRAM 26</t>
  </si>
  <si>
    <t>Select District =&gt;</t>
  </si>
  <si>
    <t>ccddd</t>
  </si>
  <si>
    <t>Recovery</t>
  </si>
  <si>
    <t>Carryover</t>
  </si>
  <si>
    <t>SUMMARY OF ESTIMATED AMOUNTS</t>
  </si>
  <si>
    <t xml:space="preserve">  Revenue 7121 Special Ed</t>
  </si>
  <si>
    <t xml:space="preserve">  Revenue 7199 Transportation</t>
  </si>
  <si>
    <t>Revenues from Other School Districts</t>
  </si>
  <si>
    <t>A.  Allocation</t>
  </si>
  <si>
    <t>A. Minimum Direct Expend.</t>
  </si>
  <si>
    <t>F. Recovery (E - A)</t>
  </si>
  <si>
    <t>ENTER DATA HERE</t>
  </si>
  <si>
    <t>04801</t>
  </si>
  <si>
    <t>06801</t>
  </si>
  <si>
    <t>11801</t>
  </si>
  <si>
    <t>17801</t>
  </si>
  <si>
    <t>18801</t>
  </si>
  <si>
    <t>29801</t>
  </si>
  <si>
    <t>32801</t>
  </si>
  <si>
    <t>34801</t>
  </si>
  <si>
    <t>39801</t>
  </si>
  <si>
    <t>Click Arrow &amp; Select District =&gt;</t>
  </si>
  <si>
    <t>Deductible Revenues</t>
  </si>
  <si>
    <t xml:space="preserve">  Revenue 1400 Local In-lieu of Taxes</t>
  </si>
  <si>
    <t xml:space="preserve">  Revenue 1600 County Admin Forests</t>
  </si>
  <si>
    <t xml:space="preserve">  Revenue 3600 State Forests</t>
  </si>
  <si>
    <t xml:space="preserve">  Revenue 5400 Federal In-lieu of Taxes</t>
  </si>
  <si>
    <t>Adjustment</t>
  </si>
  <si>
    <t>D. Account 3121 Allotment</t>
  </si>
  <si>
    <t>F. ((C - D) * (1 + E))</t>
  </si>
  <si>
    <t>G.  Revenue 7121</t>
  </si>
  <si>
    <t>H. (F - G)</t>
  </si>
  <si>
    <t>I. Lesser of A or (H - B)</t>
  </si>
  <si>
    <t xml:space="preserve">    (A - I, max. A * .1)</t>
  </si>
  <si>
    <t>J. Carryover :</t>
  </si>
  <si>
    <t>K. Recovery (I + J - A)</t>
  </si>
  <si>
    <t>Report 1191</t>
  </si>
  <si>
    <t>Note:  The allocations displayed may be over written to view the effect of anticipated changes.</t>
  </si>
  <si>
    <t xml:space="preserve">    (A + B - C, max. A * .1)</t>
  </si>
  <si>
    <t>F. Vocational FTE Enrollment</t>
  </si>
  <si>
    <t>FTE</t>
  </si>
  <si>
    <t>ENHANCE</t>
  </si>
  <si>
    <t>INST. 59</t>
  </si>
  <si>
    <t>ACCT. 4159</t>
  </si>
  <si>
    <t>198A</t>
  </si>
  <si>
    <t>200A</t>
  </si>
  <si>
    <t>Z266</t>
  </si>
  <si>
    <t>040A</t>
  </si>
  <si>
    <t>E54</t>
  </si>
  <si>
    <t>E55</t>
  </si>
  <si>
    <t>Z456</t>
  </si>
  <si>
    <t>136A</t>
  </si>
  <si>
    <t>076A</t>
  </si>
  <si>
    <t>RATE</t>
  </si>
  <si>
    <t>A24</t>
  </si>
  <si>
    <t>A27</t>
  </si>
  <si>
    <t>116A</t>
  </si>
  <si>
    <t>087A</t>
  </si>
  <si>
    <t>O7</t>
  </si>
  <si>
    <t>137A</t>
  </si>
  <si>
    <t>Z095</t>
  </si>
  <si>
    <t>Prog 21 Calc</t>
  </si>
  <si>
    <t>TBIP Total Alloc</t>
  </si>
  <si>
    <t>HiCap Total</t>
  </si>
  <si>
    <t>&amp; INST 34</t>
  </si>
  <si>
    <t>CTE MIN</t>
  </si>
  <si>
    <t>CTE</t>
  </si>
  <si>
    <t>MS CTE MIN</t>
  </si>
  <si>
    <t>CTE FTE</t>
  </si>
  <si>
    <t>CTE Enhance</t>
  </si>
  <si>
    <t>MS CTE</t>
  </si>
  <si>
    <t>SPECIAL ED</t>
  </si>
  <si>
    <t>CARRYOVER ACCT. 4121</t>
  </si>
  <si>
    <t>088A</t>
  </si>
  <si>
    <t>CARRYOVER ACCT. 4155</t>
  </si>
  <si>
    <t xml:space="preserve"> 075A</t>
  </si>
  <si>
    <t>CAREER &amp; TECH PROGRAM 31</t>
  </si>
  <si>
    <t>MIDDLE SCHOOL CAREER &amp; TECH PROGRAM 34</t>
  </si>
  <si>
    <t xml:space="preserve">  Program 31 Career &amp; Tech</t>
  </si>
  <si>
    <t xml:space="preserve">  Program 34 Middle School Career &amp; Tech</t>
  </si>
  <si>
    <t>17903</t>
  </si>
  <si>
    <t>18902</t>
  </si>
  <si>
    <t>37903</t>
  </si>
  <si>
    <t>17902</t>
  </si>
  <si>
    <t>17908</t>
  </si>
  <si>
    <t>27905</t>
  </si>
  <si>
    <t>32901</t>
  </si>
  <si>
    <t>32907</t>
  </si>
  <si>
    <t>WASHTUCNA</t>
  </si>
  <si>
    <t>BENGE</t>
  </si>
  <si>
    <t>OTHELLO</t>
  </si>
  <si>
    <t>LIND</t>
  </si>
  <si>
    <t>RITZVILLE</t>
  </si>
  <si>
    <t>CLARKSTON</t>
  </si>
  <si>
    <t>ASOTIN-ANATONE</t>
  </si>
  <si>
    <t>KENNEWICK</t>
  </si>
  <si>
    <t>PATERSON</t>
  </si>
  <si>
    <t>KIONA BENTON</t>
  </si>
  <si>
    <t>FINLEY</t>
  </si>
  <si>
    <t>PROSSER</t>
  </si>
  <si>
    <t>RICHLAND</t>
  </si>
  <si>
    <t>MANSON</t>
  </si>
  <si>
    <t>STEHEKIN</t>
  </si>
  <si>
    <t>ENTIAT</t>
  </si>
  <si>
    <t>LAKE CHELAN</t>
  </si>
  <si>
    <t>CASHMERE</t>
  </si>
  <si>
    <t>CASCADE</t>
  </si>
  <si>
    <t>WENATCHEE</t>
  </si>
  <si>
    <t>PORT ANGELES</t>
  </si>
  <si>
    <t>CRESCENT</t>
  </si>
  <si>
    <t>SEQUIM</t>
  </si>
  <si>
    <t>CAPE FLATTERY</t>
  </si>
  <si>
    <t>QUILLAYUTE VALLEY</t>
  </si>
  <si>
    <t>VANCOUVER</t>
  </si>
  <si>
    <t>HOCKINSON</t>
  </si>
  <si>
    <t>LACENTER</t>
  </si>
  <si>
    <t>GREEN MOUNTAIN</t>
  </si>
  <si>
    <t>WASHOUGAL</t>
  </si>
  <si>
    <t>EVERGREEN (CLARK)</t>
  </si>
  <si>
    <t>CAMAS</t>
  </si>
  <si>
    <t>BATTLE GROUND</t>
  </si>
  <si>
    <t>RIDGEFIELD</t>
  </si>
  <si>
    <t>DAYTON</t>
  </si>
  <si>
    <t>STARBUCK</t>
  </si>
  <si>
    <t>LONGVIEW</t>
  </si>
  <si>
    <t>TOUTLE LAKE</t>
  </si>
  <si>
    <t>CASTLE ROCK</t>
  </si>
  <si>
    <t>KALAMA</t>
  </si>
  <si>
    <t>WOODLAND</t>
  </si>
  <si>
    <t>KELSO</t>
  </si>
  <si>
    <t>ORONDO</t>
  </si>
  <si>
    <t>BRIDGEPORT</t>
  </si>
  <si>
    <t>PALISADES</t>
  </si>
  <si>
    <t>EASTMONT</t>
  </si>
  <si>
    <t>MANSFIELD</t>
  </si>
  <si>
    <t>WATERVILLE</t>
  </si>
  <si>
    <t>KELLER</t>
  </si>
  <si>
    <t>CURLEW</t>
  </si>
  <si>
    <t>ORIENT</t>
  </si>
  <si>
    <t>INCHELIUM</t>
  </si>
  <si>
    <t>REPUBLIC</t>
  </si>
  <si>
    <t>PASCO</t>
  </si>
  <si>
    <t>NORTH FRANKLIN</t>
  </si>
  <si>
    <t>STAR</t>
  </si>
  <si>
    <t>KAHLOTUS</t>
  </si>
  <si>
    <t>POMEROY</t>
  </si>
  <si>
    <t>WAHLUKE</t>
  </si>
  <si>
    <t>QUINCY</t>
  </si>
  <si>
    <t>WARDEN</t>
  </si>
  <si>
    <t>COULEE/HARTLINE</t>
  </si>
  <si>
    <t>SOAP LAKE</t>
  </si>
  <si>
    <t>ROYAL</t>
  </si>
  <si>
    <t>MOSES LAKE</t>
  </si>
  <si>
    <t>EPHRATA</t>
  </si>
  <si>
    <t>WILSON CREEK</t>
  </si>
  <si>
    <t>GRAND COULEE DAM</t>
  </si>
  <si>
    <t>ABERDEEN</t>
  </si>
  <si>
    <t>HOQUIAM</t>
  </si>
  <si>
    <t>NORTH BEACH</t>
  </si>
  <si>
    <t>MC CLEARY</t>
  </si>
  <si>
    <t>MONTESANO</t>
  </si>
  <si>
    <t>ELMA</t>
  </si>
  <si>
    <t>TAHOLAH</t>
  </si>
  <si>
    <t>QUINAULT</t>
  </si>
  <si>
    <t>COSMOPOLIS</t>
  </si>
  <si>
    <t>SATSOP</t>
  </si>
  <si>
    <t>WISHKAH VALLEY</t>
  </si>
  <si>
    <t>OCOSTA</t>
  </si>
  <si>
    <t>OAKVILLE</t>
  </si>
  <si>
    <t>OAK HARBOR</t>
  </si>
  <si>
    <t>COUPEVILLE</t>
  </si>
  <si>
    <t>SOUTH WHIDBEY</t>
  </si>
  <si>
    <t>QUEETS-CLEARWATER</t>
  </si>
  <si>
    <t>BRINNON</t>
  </si>
  <si>
    <t>QUILCENE</t>
  </si>
  <si>
    <t>CHIMACUM</t>
  </si>
  <si>
    <t>PORT TOWNSEND</t>
  </si>
  <si>
    <t>SEATTLE</t>
  </si>
  <si>
    <t>FEDERAL WAY</t>
  </si>
  <si>
    <t>ENUMCLAW</t>
  </si>
  <si>
    <t>MERCER ISLAND</t>
  </si>
  <si>
    <t>HIGHLINE</t>
  </si>
  <si>
    <t>VASHON ISLAND</t>
  </si>
  <si>
    <t>RENTON</t>
  </si>
  <si>
    <t>SKYKOMISH</t>
  </si>
  <si>
    <t>BELLEVUE</t>
  </si>
  <si>
    <t>TUKWILA</t>
  </si>
  <si>
    <t>RIVERVIEW</t>
  </si>
  <si>
    <t>AUBURN</t>
  </si>
  <si>
    <t>TAHOMA</t>
  </si>
  <si>
    <t>SNOQUALMIE VALLEY</t>
  </si>
  <si>
    <t>ISSAQUAH</t>
  </si>
  <si>
    <t>SHORELINE</t>
  </si>
  <si>
    <t>LAKE WASHINGTON</t>
  </si>
  <si>
    <t>KENT</t>
  </si>
  <si>
    <t>NORTHSHORE</t>
  </si>
  <si>
    <t>BREMERTON</t>
  </si>
  <si>
    <t>BAINBRIDGE</t>
  </si>
  <si>
    <t>NORTH KITSAP</t>
  </si>
  <si>
    <t>CENTRAL KITSAP</t>
  </si>
  <si>
    <t>SOUTH KITSAP</t>
  </si>
  <si>
    <t>DAMMAN</t>
  </si>
  <si>
    <t>EASTON</t>
  </si>
  <si>
    <t>THORP</t>
  </si>
  <si>
    <t>ELLENSBURG</t>
  </si>
  <si>
    <t>KITTITAS</t>
  </si>
  <si>
    <t>CLE ELUM-ROSLYN</t>
  </si>
  <si>
    <t>WISHRAM</t>
  </si>
  <si>
    <t>BICKLETON</t>
  </si>
  <si>
    <t>CENTERVILLE</t>
  </si>
  <si>
    <t>TROUT LAKE</t>
  </si>
  <si>
    <t>GLENWOOD</t>
  </si>
  <si>
    <t>KLICKITAT</t>
  </si>
  <si>
    <t>ROOSEVELT</t>
  </si>
  <si>
    <t>GOLDENDALE</t>
  </si>
  <si>
    <t>WHITE SALMON</t>
  </si>
  <si>
    <t>LYLE</t>
  </si>
  <si>
    <t>NAPAVINE</t>
  </si>
  <si>
    <t>EVALINE</t>
  </si>
  <si>
    <t>MOSSYROCK</t>
  </si>
  <si>
    <t>MORTON</t>
  </si>
  <si>
    <t>ADNA</t>
  </si>
  <si>
    <t>WINLOCK</t>
  </si>
  <si>
    <t>BOISTFORT</t>
  </si>
  <si>
    <t>TOLEDO</t>
  </si>
  <si>
    <t>ONALASKA</t>
  </si>
  <si>
    <t>PE ELL</t>
  </si>
  <si>
    <t>CHEHALIS</t>
  </si>
  <si>
    <t>WHITE PASS</t>
  </si>
  <si>
    <t>CENTRALIA</t>
  </si>
  <si>
    <t>SPRAGUE</t>
  </si>
  <si>
    <t>REARDAN</t>
  </si>
  <si>
    <t>ALMIRA</t>
  </si>
  <si>
    <t>CRESTON</t>
  </si>
  <si>
    <t>ODESSA</t>
  </si>
  <si>
    <t>WILBUR</t>
  </si>
  <si>
    <t>HARRINGTON</t>
  </si>
  <si>
    <t>DAVENPORT</t>
  </si>
  <si>
    <t>SOUTHSIDE</t>
  </si>
  <si>
    <t>GRAPEVIEW</t>
  </si>
  <si>
    <t>SHELTON</t>
  </si>
  <si>
    <t>MARY M KNIGHT</t>
  </si>
  <si>
    <t>PIONEER</t>
  </si>
  <si>
    <t>NORTH MASON</t>
  </si>
  <si>
    <t>HOOD CANAL</t>
  </si>
  <si>
    <t>NESPELEM</t>
  </si>
  <si>
    <t>OMAK</t>
  </si>
  <si>
    <t>OKANOGAN</t>
  </si>
  <si>
    <t>BREWSTER</t>
  </si>
  <si>
    <t>PATEROS</t>
  </si>
  <si>
    <t>METHOW VALLEY</t>
  </si>
  <si>
    <t>TONASKET</t>
  </si>
  <si>
    <t>OROVILLE</t>
  </si>
  <si>
    <t>OCEAN BEACH</t>
  </si>
  <si>
    <t>RAYMOND</t>
  </si>
  <si>
    <t>SOUTH BEND</t>
  </si>
  <si>
    <t>WILLAPA VALLEY</t>
  </si>
  <si>
    <t>NORTH RIVER</t>
  </si>
  <si>
    <t>NEWPORT</t>
  </si>
  <si>
    <t>CUSICK</t>
  </si>
  <si>
    <t>SELKIRK</t>
  </si>
  <si>
    <t>STEILACOOM HIST.</t>
  </si>
  <si>
    <t>PUYALLUP</t>
  </si>
  <si>
    <t>TACOMA</t>
  </si>
  <si>
    <t>CARBONADO</t>
  </si>
  <si>
    <t>UNIVERSITY PLACE</t>
  </si>
  <si>
    <t>SUMNER</t>
  </si>
  <si>
    <t>DIERINGER</t>
  </si>
  <si>
    <t>ORTING</t>
  </si>
  <si>
    <t>CLOVER PARK</t>
  </si>
  <si>
    <t>PENINSULA</t>
  </si>
  <si>
    <t>FRANKLIN PIERCE</t>
  </si>
  <si>
    <t>BETHEL</t>
  </si>
  <si>
    <t>EATONVILLE</t>
  </si>
  <si>
    <t>WHITE RIVER</t>
  </si>
  <si>
    <t>FIFE</t>
  </si>
  <si>
    <t>SHAW</t>
  </si>
  <si>
    <t>ORCAS</t>
  </si>
  <si>
    <t>LOPEZ</t>
  </si>
  <si>
    <t>SAN JUAN</t>
  </si>
  <si>
    <t>CONCRETE</t>
  </si>
  <si>
    <t>BURLINGTON EDISON</t>
  </si>
  <si>
    <t>SEDRO WOOLLEY</t>
  </si>
  <si>
    <t>ANACORTES</t>
  </si>
  <si>
    <t>LA CONNER</t>
  </si>
  <si>
    <t>CONWAY</t>
  </si>
  <si>
    <t>MT VERNON</t>
  </si>
  <si>
    <t>SKAMANIA</t>
  </si>
  <si>
    <t>MOUNT PLEASANT</t>
  </si>
  <si>
    <t>MILL A</t>
  </si>
  <si>
    <t>STEVENSON-CARSON</t>
  </si>
  <si>
    <t>EVERETT</t>
  </si>
  <si>
    <t>LAKE STEVENS</t>
  </si>
  <si>
    <t>MUKILTEO</t>
  </si>
  <si>
    <t>EDMONDS</t>
  </si>
  <si>
    <t>ARLINGTON</t>
  </si>
  <si>
    <t>MARYSVILLE</t>
  </si>
  <si>
    <t>INDEX</t>
  </si>
  <si>
    <t>MONROE</t>
  </si>
  <si>
    <t>SNOHOMISH</t>
  </si>
  <si>
    <t>LAKEWOOD</t>
  </si>
  <si>
    <t>SULTAN</t>
  </si>
  <si>
    <t>DARRINGTON</t>
  </si>
  <si>
    <t>GRANITE FALLS</t>
  </si>
  <si>
    <t>STANWOOD</t>
  </si>
  <si>
    <t>SPOKANE</t>
  </si>
  <si>
    <t>ORCHARD PRAIRIE</t>
  </si>
  <si>
    <t>GREAT NORTHERN</t>
  </si>
  <si>
    <t>NINE MILE FALLS</t>
  </si>
  <si>
    <t>MEDICAL LAKE</t>
  </si>
  <si>
    <t>MEAD</t>
  </si>
  <si>
    <t>CENTRAL VALLEY</t>
  </si>
  <si>
    <t>FREEMAN</t>
  </si>
  <si>
    <t>CHENEY</t>
  </si>
  <si>
    <t>EAST VALLEY</t>
  </si>
  <si>
    <t>LIBERTY</t>
  </si>
  <si>
    <t>DEER PARK</t>
  </si>
  <si>
    <t>RIVERSIDE</t>
  </si>
  <si>
    <t>ONION CREEK</t>
  </si>
  <si>
    <t>CHEWELAH</t>
  </si>
  <si>
    <t>WELLPINIT</t>
  </si>
  <si>
    <t>VALLEY</t>
  </si>
  <si>
    <t>COLVILLE</t>
  </si>
  <si>
    <t>LOON LAKE</t>
  </si>
  <si>
    <t>SUMMIT VALLEY</t>
  </si>
  <si>
    <t>MARY WALKER</t>
  </si>
  <si>
    <t>NORTHPORT</t>
  </si>
  <si>
    <t>KETTLE FALLS</t>
  </si>
  <si>
    <t>YELM</t>
  </si>
  <si>
    <t>NORTH THURSTON</t>
  </si>
  <si>
    <t>TUMWATER</t>
  </si>
  <si>
    <t>OLYMPIA</t>
  </si>
  <si>
    <t>RAINIER</t>
  </si>
  <si>
    <t>GRIFFIN</t>
  </si>
  <si>
    <t>ROCHESTER</t>
  </si>
  <si>
    <t>TENINO</t>
  </si>
  <si>
    <t>WAHKIAKUM</t>
  </si>
  <si>
    <t>DIXIE</t>
  </si>
  <si>
    <t>WALLA WALLA</t>
  </si>
  <si>
    <t>COLLEGE PLACE</t>
  </si>
  <si>
    <t>TOUCHET</t>
  </si>
  <si>
    <t>COLUMBIA (WALLA)</t>
  </si>
  <si>
    <t>WAITSBURG</t>
  </si>
  <si>
    <t>PRESCOTT</t>
  </si>
  <si>
    <t>BELLINGHAM</t>
  </si>
  <si>
    <t>FERNDALE</t>
  </si>
  <si>
    <t>BLAINE</t>
  </si>
  <si>
    <t>LYNDEN</t>
  </si>
  <si>
    <t>MERIDIAN</t>
  </si>
  <si>
    <t>NOOKSACK VALLEY</t>
  </si>
  <si>
    <t>MOUNT BAKER</t>
  </si>
  <si>
    <t>LACROSSE JOINT</t>
  </si>
  <si>
    <t>LAMONT</t>
  </si>
  <si>
    <t>TEKOA</t>
  </si>
  <si>
    <t>PULLMAN</t>
  </si>
  <si>
    <t>COLFAX</t>
  </si>
  <si>
    <t>PALOUSE</t>
  </si>
  <si>
    <t>GARFIELD</t>
  </si>
  <si>
    <t>STEPTOE</t>
  </si>
  <si>
    <t>COLTON</t>
  </si>
  <si>
    <t>ENDICOTT</t>
  </si>
  <si>
    <t>ROSALIA</t>
  </si>
  <si>
    <t>ST JOHN</t>
  </si>
  <si>
    <t>OAKESDALE</t>
  </si>
  <si>
    <t>UNION GAP</t>
  </si>
  <si>
    <t>NACHES VALLEY</t>
  </si>
  <si>
    <t>YAKIMA</t>
  </si>
  <si>
    <t>SELAH</t>
  </si>
  <si>
    <t>MABTON</t>
  </si>
  <si>
    <t>GRANDVIEW</t>
  </si>
  <si>
    <t>SUNNYSIDE</t>
  </si>
  <si>
    <t>TOPPENISH</t>
  </si>
  <si>
    <t>HIGHLAND</t>
  </si>
  <si>
    <t>GRANGER</t>
  </si>
  <si>
    <t>ZILLAH</t>
  </si>
  <si>
    <t>WAPATO</t>
  </si>
  <si>
    <t>MOUNT ADAMS</t>
  </si>
  <si>
    <t>ESD 105</t>
  </si>
  <si>
    <t>ESD 112</t>
  </si>
  <si>
    <t>ESD 123</t>
  </si>
  <si>
    <t>ESD 101</t>
  </si>
  <si>
    <t>ESD 113</t>
  </si>
  <si>
    <t>Sort</t>
  </si>
  <si>
    <t>D. Allowed Carryover :</t>
  </si>
  <si>
    <r>
      <t>D. Allowed Carryover :</t>
    </r>
    <r>
      <rPr>
        <b/>
        <sz val="10"/>
        <color rgb="FFFF0000"/>
        <rFont val="Calibri"/>
        <family val="2"/>
        <scheme val="minor"/>
      </rPr>
      <t xml:space="preserve"> </t>
    </r>
  </si>
  <si>
    <t>E. Unspent (C + D - A - B)</t>
  </si>
  <si>
    <t>05903</t>
  </si>
  <si>
    <t>ESA 112</t>
  </si>
  <si>
    <t>06701</t>
  </si>
  <si>
    <t>SUMMIT: ATLAS</t>
  </si>
  <si>
    <t>17905</t>
  </si>
  <si>
    <t>17910</t>
  </si>
  <si>
    <t>SUMMIT: OLYMPUS</t>
  </si>
  <si>
    <t>WA HE LUT</t>
  </si>
  <si>
    <t>34901</t>
  </si>
  <si>
    <t>O7HP</t>
  </si>
  <si>
    <t>HP LAP Total</t>
  </si>
  <si>
    <t>Regular LAP Total</t>
  </si>
  <si>
    <t>FED RESTRICTED</t>
  </si>
  <si>
    <t>A.  Regular Allocation</t>
  </si>
  <si>
    <t>A. High Poverty Allocation</t>
  </si>
  <si>
    <t>C. Direct Regular Expenditures</t>
  </si>
  <si>
    <t>C. Direct High Poverty Expenditures</t>
  </si>
  <si>
    <t xml:space="preserve">  Program 55 LAP Regular</t>
  </si>
  <si>
    <t xml:space="preserve">  Program 55 LAP High Poverty</t>
  </si>
  <si>
    <t>Fire District Payment (in July's Report 1191 line VI.10.)</t>
  </si>
  <si>
    <t>G. Carryover Regular:</t>
  </si>
  <si>
    <t>H. Recovery Regular (F + G - A)</t>
  </si>
  <si>
    <t>G. Carryover High Poverty:</t>
  </si>
  <si>
    <t>H. Recovery High Poverty (F + G - A)</t>
  </si>
  <si>
    <t>27901</t>
  </si>
  <si>
    <t>CHIEF LESCHI</t>
  </si>
  <si>
    <t>17911</t>
  </si>
  <si>
    <t>LAP Regular</t>
  </si>
  <si>
    <t xml:space="preserve"> 075Ahp</t>
  </si>
  <si>
    <t>LAP HiPov</t>
  </si>
  <si>
    <t>E. State Recovery Rate</t>
  </si>
  <si>
    <t>C. State Recovery Rate</t>
  </si>
  <si>
    <t>INST CARRYOVER</t>
  </si>
  <si>
    <t>ACCT. 4156 &amp; 34</t>
  </si>
  <si>
    <t>INST. 4156</t>
  </si>
  <si>
    <t>ACCT. 4126</t>
  </si>
  <si>
    <t>CTE 9-12 TOTAL</t>
  </si>
  <si>
    <t>BASIC ED</t>
  </si>
  <si>
    <t xml:space="preserve">Basic Ed </t>
  </si>
  <si>
    <t>Per Student</t>
  </si>
  <si>
    <t xml:space="preserve">Alloc </t>
  </si>
  <si>
    <t>per Student</t>
  </si>
  <si>
    <t>Z603</t>
  </si>
  <si>
    <t>Z583</t>
  </si>
  <si>
    <t>CTE 7-8 TOTAL</t>
  </si>
  <si>
    <t>YAKAMA</t>
  </si>
  <si>
    <t>39901</t>
  </si>
  <si>
    <t>D. Fed Restricted Recovery Rate</t>
  </si>
  <si>
    <t>F. Carryover (Lesser of D, A+B-C; 
if C greater than zero)</t>
  </si>
  <si>
    <t>4156 &amp; 34</t>
  </si>
  <si>
    <t>RAINIER VALLEY LEADERSHIP ACADEMY</t>
  </si>
  <si>
    <t>18901</t>
  </si>
  <si>
    <t>CATALYST</t>
  </si>
  <si>
    <t>IMPACT PUGET SOUND</t>
  </si>
  <si>
    <t>17916</t>
  </si>
  <si>
    <t>IMPACT SALISH SEA</t>
  </si>
  <si>
    <t>LUMEN</t>
  </si>
  <si>
    <t>32903</t>
  </si>
  <si>
    <t>WEST VALLEY (SPOKANE)</t>
  </si>
  <si>
    <t>WEST VALLEY (YAKIMA)</t>
  </si>
  <si>
    <t>SUMMIT: SIERRA</t>
  </si>
  <si>
    <t>SPOKANE INT'L</t>
  </si>
  <si>
    <t>RAINIER PREP</t>
  </si>
  <si>
    <t>PRIDE PREP</t>
  </si>
  <si>
    <t>NASELLE GRAYS RIVER</t>
  </si>
  <si>
    <t>EAST VALLEY (YAKIMA)</t>
  </si>
  <si>
    <t>EVERGREEN (STEVENS)</t>
  </si>
  <si>
    <t>COLUMBIA (STEVENS)</t>
  </si>
  <si>
    <t>157A</t>
  </si>
  <si>
    <t>TRN 4199 Total bfr Adjust</t>
  </si>
  <si>
    <t>C. Recovery Rate</t>
  </si>
  <si>
    <t>E.  Revenue 7199</t>
  </si>
  <si>
    <t>F. (D - E)</t>
  </si>
  <si>
    <t>G. Vocational Basic Ed</t>
  </si>
  <si>
    <t>H. Vocational Basic Ed per Student (G / F)</t>
  </si>
  <si>
    <t>I. Vocational Alloc per Student (A / F)</t>
  </si>
  <si>
    <t>J. Vocational Enhancement (I - H) * F</t>
  </si>
  <si>
    <t>K.  Recovery (Lesser of E or -J)</t>
  </si>
  <si>
    <t>G. Lesser of A or F</t>
  </si>
  <si>
    <t>I. Recovery (G - A)</t>
  </si>
  <si>
    <t>27902</t>
  </si>
  <si>
    <t>LUMMI</t>
  </si>
  <si>
    <t>MUCKLESHOOT</t>
  </si>
  <si>
    <t>ESD 171</t>
  </si>
  <si>
    <t>ESD 189</t>
  </si>
  <si>
    <t>ESD 114</t>
  </si>
  <si>
    <t>ESD 121</t>
  </si>
  <si>
    <t>QUILEUTE</t>
  </si>
  <si>
    <t>SUQUAMISH</t>
  </si>
  <si>
    <t>PINNACLES PREP</t>
  </si>
  <si>
    <t>37902</t>
  </si>
  <si>
    <t>WHATCOM INTERGENERATIONAL</t>
  </si>
  <si>
    <t>17917</t>
  </si>
  <si>
    <t>WHY NOT YOU</t>
  </si>
  <si>
    <t>IMPACT TACOMA</t>
  </si>
  <si>
    <t>04901</t>
  </si>
  <si>
    <t>IMPACT BLACK RIVER</t>
  </si>
  <si>
    <t>17919</t>
  </si>
  <si>
    <t>PASCHAL SHERMAN</t>
  </si>
  <si>
    <t>24915</t>
  </si>
  <si>
    <t>ROOTED VANCOUVER</t>
  </si>
  <si>
    <t>06901</t>
  </si>
  <si>
    <t>Select district, then enter amounts in cells B12 through B31 to calculate estimated recoveries.</t>
  </si>
  <si>
    <r>
      <t xml:space="preserve">B. Prior Year Carryover </t>
    </r>
    <r>
      <rPr>
        <sz val="10"/>
        <color rgb="FF0070C0"/>
        <rFont val="Calibri"/>
        <family val="2"/>
        <scheme val="minor"/>
      </rPr>
      <t>(only displayed on 1191SN)</t>
    </r>
  </si>
  <si>
    <r>
      <t xml:space="preserve">B. Prior Year Carryover </t>
    </r>
    <r>
      <rPr>
        <sz val="10"/>
        <color rgb="FF0070C0"/>
        <rFont val="Calibri"/>
        <family val="2"/>
        <scheme val="minor"/>
      </rPr>
      <t>(only displayed on 1191CTE)</t>
    </r>
  </si>
  <si>
    <r>
      <t xml:space="preserve">B. Prior Year Carryover </t>
    </r>
    <r>
      <rPr>
        <sz val="10"/>
        <color rgb="FF0070C0"/>
        <rFont val="Calibri"/>
        <family val="2"/>
        <scheme val="minor"/>
      </rPr>
      <t xml:space="preserve"> (only displayed on 1191MSCTE)</t>
    </r>
  </si>
  <si>
    <t>WAC 392-122-900: Indirect cost limitations</t>
  </si>
  <si>
    <t>WAC 392-121-578: Vocational Recovery</t>
  </si>
  <si>
    <r>
      <t xml:space="preserve">B. Prior Year Carryover </t>
    </r>
    <r>
      <rPr>
        <sz val="10"/>
        <color rgb="FF0070C0"/>
        <rFont val="Calibri"/>
        <family val="2"/>
        <scheme val="minor"/>
      </rPr>
      <t>(only displayed on 1191SE)</t>
    </r>
  </si>
  <si>
    <t>Worksheet for Estimating 2024-25 State Recoveries and Carryover</t>
  </si>
  <si>
    <t>2024-25 Estimated State Recoveries and Carryover using Allocations as of April 2025</t>
  </si>
  <si>
    <t>14005 ABERDEEN SCHOOL DISTRICT</t>
  </si>
  <si>
    <t>21226 ADNA SCHOOL DISTRICT</t>
  </si>
  <si>
    <t>22017 ALMIRA SCHOOL DISTRICT</t>
  </si>
  <si>
    <t>29103 ANACORTES SCHOOL DISTRICT</t>
  </si>
  <si>
    <t>31016 ARLINGTON SCHOOL DISTRICT</t>
  </si>
  <si>
    <t>02420 ASOTIN-ANATONE SCHOOL DISTRICT</t>
  </si>
  <si>
    <t>17408 AUBURN SCHOOL DISTRICT</t>
  </si>
  <si>
    <t>18303 BAINBRIDGE SCHOOL DISTRICT</t>
  </si>
  <si>
    <t>06119 BATTLE GROUND SCHOOL DISTRICT</t>
  </si>
  <si>
    <t>17405 BELLEVUE SCHOOL DISTRICT</t>
  </si>
  <si>
    <t>37501 BELLINGHAM SCHOOL DISTRICT</t>
  </si>
  <si>
    <t>01122 BENGE SCHOOL DISTRICT</t>
  </si>
  <si>
    <t>27403 BETHEL SCHOOL DISTRICT</t>
  </si>
  <si>
    <t>20203 BICKLETON SCHOOL DISTRICT</t>
  </si>
  <si>
    <t>37503 BLAINE SCHOOL DISTRICT</t>
  </si>
  <si>
    <t>21234 BOISTFORT SCHOOL DISTRICT</t>
  </si>
  <si>
    <t>18100 BREMERTON SCHOOL DISTRICT</t>
  </si>
  <si>
    <t>24111 BREWSTER SCHOOL DISTRICT</t>
  </si>
  <si>
    <t>09075 BRIDGEPORT SCHOOL DISTRICT</t>
  </si>
  <si>
    <t>16046 BRINNON SCHOOL DISTRICT</t>
  </si>
  <si>
    <t>29100 BURLINGTON EDISON SCHOOL DISTRICT</t>
  </si>
  <si>
    <t>06117 CAMAS SCHOOL DISTRICT</t>
  </si>
  <si>
    <t>05401 CAPE FLATTERY SCHOOL DISTRICT</t>
  </si>
  <si>
    <t>27019 CARBONADO SCHOOL DISTRICT</t>
  </si>
  <si>
    <t>04228 CASCADE SCHOOL DISTRICT</t>
  </si>
  <si>
    <t>04222 CASHMERE SCHOOL DISTRICT</t>
  </si>
  <si>
    <t>08401 CASTLE ROCK SCHOOL DISTRICT</t>
  </si>
  <si>
    <t>18901 CATALYST PUBLIC SCHOOLS CHARTER</t>
  </si>
  <si>
    <t>20215 CENTERVILLE SCHOOL DISTRICT</t>
  </si>
  <si>
    <t>18401 CENTRAL KITSAP SCHOOL DISTRICT</t>
  </si>
  <si>
    <t>32356 CENTRAL VALLEY SCHOOL DISTRICT</t>
  </si>
  <si>
    <t>21401 CENTRALIA SCHOOL DISTRICT</t>
  </si>
  <si>
    <t>21302 CHEHALIS SCHOOL DISTRICT</t>
  </si>
  <si>
    <t>32360 CHENEY SCHOOL DISTRICT</t>
  </si>
  <si>
    <t>33036 CHEWELAH SCHOOL DISTRICT</t>
  </si>
  <si>
    <t>27901 CHIEF LESCHI TRIBAL COMPACT</t>
  </si>
  <si>
    <t>16049 CHIMACUM SCHOOL DISTRICT</t>
  </si>
  <si>
    <t>02250 CLARKSTON SCHOOL DISTRICT</t>
  </si>
  <si>
    <t>19404 CLE ELUM-ROSLYN SCHOOL DISTRICT</t>
  </si>
  <si>
    <t>27400 CLOVER PARK SCHOOL DISTRICT</t>
  </si>
  <si>
    <t>38300 COLFAX SCHOOL DISTRICT</t>
  </si>
  <si>
    <t>36250 COLLEGE PLACE SCHOOL DISTRICT</t>
  </si>
  <si>
    <t>38306 COLTON SCHOOL DISTRICT</t>
  </si>
  <si>
    <t>33206 COLUMBIA (STEVENS) SCHOOL DISTRICT</t>
  </si>
  <si>
    <t>36400 COLUMBIA (WALLA) SCHOOL DISTRICT</t>
  </si>
  <si>
    <t>33115 COLVILLE SCHOOL DISTRICT</t>
  </si>
  <si>
    <t>29011 CONCRETE SCHOOL DISTRICT</t>
  </si>
  <si>
    <t>29317 CONWAY SCHOOL DISTRICT</t>
  </si>
  <si>
    <t>14099 COSMOPOLIS SCHOOL DISTRICT</t>
  </si>
  <si>
    <t>13151 COULEE/HARTLINE SCHOOL DISTRICT</t>
  </si>
  <si>
    <t>15204 COUPEVILLE SCHOOL DISTRICT</t>
  </si>
  <si>
    <t>05313 CRESCENT SCHOOL DISTRICT</t>
  </si>
  <si>
    <t>22073 CRESTON SCHOOL DISTRICT</t>
  </si>
  <si>
    <t>10050 CURLEW SCHOOL DISTRICT</t>
  </si>
  <si>
    <t>26059 CUSICK SCHOOL DISTRICT</t>
  </si>
  <si>
    <t>19007 DAMMAN SCHOOL DISTRICT</t>
  </si>
  <si>
    <t>31330 DARRINGTON SCHOOL DISTRICT</t>
  </si>
  <si>
    <t>22207 DAVENPORT SCHOOL DISTRICT</t>
  </si>
  <si>
    <t>07002 DAYTON SCHOOL DISTRICT</t>
  </si>
  <si>
    <t>32414 DEER PARK SCHOOL DISTRICT</t>
  </si>
  <si>
    <t>27343 DIERINGER SCHOOL DISTRICT</t>
  </si>
  <si>
    <t>36101 DIXIE SCHOOL DISTRICT</t>
  </si>
  <si>
    <t>32361 EAST VALLEY SCHOOL DISTRICT</t>
  </si>
  <si>
    <t>39090 EAST VALLEY (YAKIMA) SCHOOL DISTRICT</t>
  </si>
  <si>
    <t>09206 EASTMONT SCHOOL DISTRICT</t>
  </si>
  <si>
    <t>19028 EASTON SCHOOL DISTRICT</t>
  </si>
  <si>
    <t>27404 EATONVILLE SCHOOL DISTRICT</t>
  </si>
  <si>
    <t>31015 EDMONDS SCHOOL DISTRICT</t>
  </si>
  <si>
    <t>19401 ELLENSBURG SCHOOL DISTRICT</t>
  </si>
  <si>
    <t>14068 ELMA SCHOOL DISTRICT</t>
  </si>
  <si>
    <t>38308 ENDICOTT SCHOOL DISTRICT</t>
  </si>
  <si>
    <t>04127 ENTIAT SCHOOL DISTRICT</t>
  </si>
  <si>
    <t>17216 ENUMCLAW SCHOOL DISTRICT</t>
  </si>
  <si>
    <t>13165 EPHRATA SCHOOL DISTRICT</t>
  </si>
  <si>
    <t>06701 ESA 112</t>
  </si>
  <si>
    <t>32801 ESD 101</t>
  </si>
  <si>
    <t>39801 ESD 105</t>
  </si>
  <si>
    <t>06801 ESD 112</t>
  </si>
  <si>
    <t>34801 CAPITAL REGION ESD 113</t>
  </si>
  <si>
    <t>18801 OLYMPIC ESD 114</t>
  </si>
  <si>
    <t>17801 PUGET SOUND ESD 121</t>
  </si>
  <si>
    <t>11801 ESD 123</t>
  </si>
  <si>
    <t>04801 ESD 171</t>
  </si>
  <si>
    <t>29801 NORTHWEST ESD 189</t>
  </si>
  <si>
    <t>21036 EVALINE SCHOOL DISTRICT</t>
  </si>
  <si>
    <t>31002 EVERETT SCHOOL DISTRICT</t>
  </si>
  <si>
    <t>06114 EVERGREEN (CLARK) SCHOOL DISTRICT</t>
  </si>
  <si>
    <t>33205 EVERGREEN (STEVENS) SCHOOL DISTRICT</t>
  </si>
  <si>
    <t>17210 FEDERAL WAY SCHOOL DISTRICT</t>
  </si>
  <si>
    <t>37502 FERNDALE SCHOOL DISTRICT</t>
  </si>
  <si>
    <t>27417 FIFE SCHOOL DISTRICT</t>
  </si>
  <si>
    <t>03053 FINLEY SCHOOL DISTRICT</t>
  </si>
  <si>
    <t>27402 FRANKLIN PIERCE SCHOOL DISTRICT</t>
  </si>
  <si>
    <t>32358 FREEMAN SCHOOL DISTRICT</t>
  </si>
  <si>
    <t>38302 GARFIELD SCHOOL DISTRICT</t>
  </si>
  <si>
    <t>20401 GLENWOOD SCHOOL DISTRICT</t>
  </si>
  <si>
    <t>20404 GOLDENDALE SCHOOL DISTRICT</t>
  </si>
  <si>
    <t>13301 GRAND COULEE DAM SCHOOL DISTRICT</t>
  </si>
  <si>
    <t>39200 GRANDVIEW SCHOOL DISTRICT</t>
  </si>
  <si>
    <t>39204 GRANGER SCHOOL DISTRICT</t>
  </si>
  <si>
    <t>31332 GRANITE FALLS SCHOOL DISTRICT</t>
  </si>
  <si>
    <t>23054 GRAPEVIEW SCHOOL DISTRICT</t>
  </si>
  <si>
    <t>32312 GREAT NORTHERN SCHOOL DISTRICT</t>
  </si>
  <si>
    <t>06103 GREEN MOUNTAIN SCHOOL DISTRICT</t>
  </si>
  <si>
    <t>34324 GRIFFIN SCHOOL DISTRICT</t>
  </si>
  <si>
    <t>22204 HARRINGTON SCHOOL DISTRICT</t>
  </si>
  <si>
    <t>39203 HIGHLAND SCHOOL DISTRICT</t>
  </si>
  <si>
    <t>17401 HIGHLINE SCHOOL DISTRICT</t>
  </si>
  <si>
    <t>06098 HOCKINSON SCHOOL DISTRICT</t>
  </si>
  <si>
    <t>23404 HOOD CANAL SCHOOL DISTRICT</t>
  </si>
  <si>
    <t>14028 HOQUIAM SCHOOL DISTRICT</t>
  </si>
  <si>
    <t>17919 IMPACT BLACK RIVER SCHOOL DISTRICT</t>
  </si>
  <si>
    <t>17911 IMPACT PUGET SOUND CHARTER</t>
  </si>
  <si>
    <t>17916 IMPACT SALISH SEA CHARTER</t>
  </si>
  <si>
    <t>27902 IMPACT TACOMA CHARTER</t>
  </si>
  <si>
    <t>10070 INCHELIUM SCHOOL DISTRICT</t>
  </si>
  <si>
    <t>31063 INDEX SCHOOL DISTRICT</t>
  </si>
  <si>
    <t>17411 ISSAQUAH SCHOOL DISTRICT</t>
  </si>
  <si>
    <t>11056 KAHLOTUS SCHOOL DISTRICT</t>
  </si>
  <si>
    <t>08402 KALAMA SCHOOL DISTRICT</t>
  </si>
  <si>
    <t>10003 KELLER SCHOOL DISTRICT</t>
  </si>
  <si>
    <t>08458 KELSO SCHOOL DISTRICT</t>
  </si>
  <si>
    <t>03017 KENNEWICK SCHOOL DISTRICT</t>
  </si>
  <si>
    <t>17415 KENT SCHOOL DISTRICT</t>
  </si>
  <si>
    <t>33212 KETTLE FALLS SCHOOL DISTRICT</t>
  </si>
  <si>
    <t>03052 KIONA BENTON SCHOOL DISTRICT</t>
  </si>
  <si>
    <t>19403 KITTITAS SCHOOL DISTRICT</t>
  </si>
  <si>
    <t>20402 KLICKITAT SCHOOL DISTRICT</t>
  </si>
  <si>
    <t>29311 LA CONNER SCHOOL DISTRICT</t>
  </si>
  <si>
    <t>06101 LACENTER SCHOOL DISTRICT</t>
  </si>
  <si>
    <t>38126 LACROSSE JOINT SCHOOL DISTRICT</t>
  </si>
  <si>
    <t>04129 LAKE CHELAN SCHOOL DISTRICT</t>
  </si>
  <si>
    <t>31004 LAKE STEVENS SCHOOL DISTRICT</t>
  </si>
  <si>
    <t>17414 LAKE WASHINGTON SCHOOL DISTRICT</t>
  </si>
  <si>
    <t>31306 LAKEWOOD SCHOOL DISTRICT</t>
  </si>
  <si>
    <t>38264 LAMONT SCHOOL DISTRICT</t>
  </si>
  <si>
    <t>32362 LIBERTY SCHOOL DISTRICT</t>
  </si>
  <si>
    <t>01158 LIND SCHOOL DISTRICT</t>
  </si>
  <si>
    <t>08122 LONGVIEW SCHOOL DISTRICT</t>
  </si>
  <si>
    <t>33183 LOON LAKE SCHOOL DISTRICT</t>
  </si>
  <si>
    <t>28144 LOPEZ SCHOOL DISTRICT</t>
  </si>
  <si>
    <t>32903 LUMEN CHARTER</t>
  </si>
  <si>
    <t>37903 LUMMI TRIBAL COMPACT</t>
  </si>
  <si>
    <t>20406 LYLE SCHOOL DISTRICT</t>
  </si>
  <si>
    <t>37504 LYNDEN SCHOOL DISTRICT</t>
  </si>
  <si>
    <t>39120 MABTON SCHOOL DISTRICT</t>
  </si>
  <si>
    <t>09207 MANSFIELD SCHOOL DISTRICT</t>
  </si>
  <si>
    <t>04019 MANSON SCHOOL DISTRICT</t>
  </si>
  <si>
    <t>23311 MARY M KNIGHT SCHOOL DISTRICT</t>
  </si>
  <si>
    <t>33207 MARY WALKER SCHOOL DISTRICT</t>
  </si>
  <si>
    <t>31025 MARYSVILLE SCHOOL DISTRICT</t>
  </si>
  <si>
    <t>14065 MC CLEARY SCHOOL DISTRICT</t>
  </si>
  <si>
    <t>32354 MEAD SCHOOL DISTRICT</t>
  </si>
  <si>
    <t>32326 MEDICAL LAKE SCHOOL DISTRICT</t>
  </si>
  <si>
    <t>17400 MERCER ISLAND SCHOOL DISTRICT</t>
  </si>
  <si>
    <t>37505 MERIDIAN SCHOOL DISTRICT</t>
  </si>
  <si>
    <t>24350 METHOW VALLEY SCHOOL DISTRICT</t>
  </si>
  <si>
    <t>30031 MILL A SCHOOL DISTRICT</t>
  </si>
  <si>
    <t>31103 MONROE SCHOOL DISTRICT</t>
  </si>
  <si>
    <t>14066 MONTESANO SCHOOL DISTRICT</t>
  </si>
  <si>
    <t>21214 MORTON SCHOOL DISTRICT</t>
  </si>
  <si>
    <t>13161 MOSES LAKE SCHOOL DISTRICT</t>
  </si>
  <si>
    <t>21206 MOSSYROCK SCHOOL DISTRICT</t>
  </si>
  <si>
    <t>39209 MOUNT ADAMS SCHOOL DISTRICT</t>
  </si>
  <si>
    <t>37507 MOUNT BAKER SCHOOL DISTRICT</t>
  </si>
  <si>
    <t>30029 MOUNT PLEASANT SCHOOL DISTRICT</t>
  </si>
  <si>
    <t>29320 MT VERNON SCHOOL DISTRICT</t>
  </si>
  <si>
    <t>17903 MUCKLESHOOT TRIBAL COMPACT</t>
  </si>
  <si>
    <t>31006 MUKILTEO SCHOOL DISTRICT</t>
  </si>
  <si>
    <t>39003 NACHES VALLEY SCHOOL DISTRICT</t>
  </si>
  <si>
    <t>21014 NAPAVINE SCHOOL DISTRICT</t>
  </si>
  <si>
    <t>25155 NASELLE GRAYS RIVER SCHOOL DISTRICT</t>
  </si>
  <si>
    <t>24014 NESPELEM SCHOOL DISTRICT</t>
  </si>
  <si>
    <t>26056 NEWPORT SCHOOL DISTRICT</t>
  </si>
  <si>
    <t>32325 NINE MILE FALLS SCHOOL DISTRICT</t>
  </si>
  <si>
    <t>37506 NOOKSACK VALLEY SCHOOL DISTRICT</t>
  </si>
  <si>
    <t>14064 NORTH BEACH SCHOOL DISTRICT</t>
  </si>
  <si>
    <t>11051 NORTH FRANKLIN SCHOOL DISTRICT</t>
  </si>
  <si>
    <t>18400 NORTH KITSAP SCHOOL DISTRICT</t>
  </si>
  <si>
    <t>23403 NORTH MASON SCHOOL DISTRICT</t>
  </si>
  <si>
    <t>25200 NORTH RIVER SCHOOL DISTRICT</t>
  </si>
  <si>
    <t>34003 NORTH THURSTON SCHOOL DISTRICT</t>
  </si>
  <si>
    <t>33211 NORTHPORT SCHOOL DISTRICT</t>
  </si>
  <si>
    <t>17417 NORTHSHORE SCHOOL DISTRICT</t>
  </si>
  <si>
    <t>15201 OAK HARBOR SCHOOL DISTRICT</t>
  </si>
  <si>
    <t>38324 OAKESDALE SCHOOL DISTRICT</t>
  </si>
  <si>
    <t>14400 OAKVILLE SCHOOL DISTRICT</t>
  </si>
  <si>
    <t>25101 OCEAN BEACH SCHOOL DISTRICT</t>
  </si>
  <si>
    <t>14172 OCOSTA SCHOOL DISTRICT</t>
  </si>
  <si>
    <t>22105 ODESSA SCHOOL DISTRICT</t>
  </si>
  <si>
    <t>24105 OKANOGAN SCHOOL DISTRICT</t>
  </si>
  <si>
    <t>34111 OLYMPIA SCHOOL DISTRICT</t>
  </si>
  <si>
    <t>24019 OMAK SCHOOL DISTRICT</t>
  </si>
  <si>
    <t>21300 ONALASKA SCHOOL DISTRICT</t>
  </si>
  <si>
    <t>33030 ONION CREEK SCHOOL DISTRICT</t>
  </si>
  <si>
    <t>28137 ORCAS SCHOOL DISTRICT</t>
  </si>
  <si>
    <t>32123 ORCHARD PRAIRIE SCHOOL DISTRICT</t>
  </si>
  <si>
    <t>10065 ORIENT SCHOOL DISTRICT</t>
  </si>
  <si>
    <t>09013 ORONDO SCHOOL DISTRICT</t>
  </si>
  <si>
    <t>24410 OROVILLE SCHOOL DISTRICT</t>
  </si>
  <si>
    <t>27344 ORTING SCHOOL DISTRICT</t>
  </si>
  <si>
    <t>01147 OTHELLO SCHOOL DISTRICT</t>
  </si>
  <si>
    <t>09102 PALISADES SCHOOL DISTRICT</t>
  </si>
  <si>
    <t>38301 PALOUSE SCHOOL DISTRICT</t>
  </si>
  <si>
    <t>24915 PASCHAL SHERMAN SCHOOL DISTRICT</t>
  </si>
  <si>
    <t>11001 PASCO SCHOOL DISTRICT</t>
  </si>
  <si>
    <t>24122 PATEROS SCHOOL DISTRICT</t>
  </si>
  <si>
    <t>03050 PATERSON SCHOOL DISTRICT</t>
  </si>
  <si>
    <t>21301 PE ELL SCHOOL DISTRICT</t>
  </si>
  <si>
    <t>27401 PENINSULA SCHOOL DISTRICT</t>
  </si>
  <si>
    <t>04901 PINNACLES PREP CHARTER</t>
  </si>
  <si>
    <t>23402 PIONEER SCHOOL DISTRICT</t>
  </si>
  <si>
    <t>12110 POMEROY SCHOOL DISTRICT</t>
  </si>
  <si>
    <t>05121 PORT ANGELES SCHOOL DISTRICT</t>
  </si>
  <si>
    <t>16050 PORT TOWNSEND SCHOOL DISTRICT</t>
  </si>
  <si>
    <t>36402 PRESCOTT SCHOOL DISTRICT</t>
  </si>
  <si>
    <t>32907 PRIDE PREP SCHOOL DISTRICT</t>
  </si>
  <si>
    <t>03116 PROSSER SCHOOL DISTRICT</t>
  </si>
  <si>
    <t>38267 PULLMAN SCHOOL DISTRICT</t>
  </si>
  <si>
    <t>27003 PUYALLUP SCHOOL DISTRICT</t>
  </si>
  <si>
    <t>16020 QUEETS-CLEARWATER SCHOOL DISTRICT</t>
  </si>
  <si>
    <t>16048 QUILCENE SCHOOL DISTRICT</t>
  </si>
  <si>
    <t>05903 QUILEUTE TRIBAL COMPACT</t>
  </si>
  <si>
    <t>05402 QUILLAYUTE VALLEY SCHOOL DISTRICT</t>
  </si>
  <si>
    <t>14097 QUINAULT SCHOOL DISTRICT</t>
  </si>
  <si>
    <t>13144 QUINCY SCHOOL DISTRICT</t>
  </si>
  <si>
    <t>34307 RAINIER SCHOOL DISTRICT</t>
  </si>
  <si>
    <t>17908 RAINIER PREP CHARTER</t>
  </si>
  <si>
    <t>17910 RAINIER VALLEY LEADERSHIP ACADEMY CHARTER</t>
  </si>
  <si>
    <t>25116 RAYMOND SCHOOL DISTRICT</t>
  </si>
  <si>
    <t>22009 REARDAN SCHOOL DISTRICT</t>
  </si>
  <si>
    <t>17403 RENTON SCHOOL DISTRICT</t>
  </si>
  <si>
    <t>10309 REPUBLIC SCHOOL DISTRICT</t>
  </si>
  <si>
    <t>03400 RICHLAND SCHOOL DISTRICT</t>
  </si>
  <si>
    <t>06122 RIDGEFIELD SCHOOL DISTRICT</t>
  </si>
  <si>
    <t>01160 RITZVILLE SCHOOL DISTRICT</t>
  </si>
  <si>
    <t>32416 RIVERSIDE SCHOOL DISTRICT</t>
  </si>
  <si>
    <t>17407 RIVERVIEW SCHOOL DISTRICT</t>
  </si>
  <si>
    <t>34401 ROCHESTER SCHOOL DISTRICT</t>
  </si>
  <si>
    <t>20403 ROOSEVELT SCHOOL DISTRICT</t>
  </si>
  <si>
    <t>06901 ROOTED VANCOUVER SCHOOL DISTRICT</t>
  </si>
  <si>
    <t>38320 ROSALIA SCHOOL DISTRICT</t>
  </si>
  <si>
    <t>13160 ROYAL SCHOOL DISTRICT</t>
  </si>
  <si>
    <t>28149 SAN JUAN SCHOOL DISTRICT</t>
  </si>
  <si>
    <t>14104 SATSOP SCHOOL DISTRICT</t>
  </si>
  <si>
    <t>17001 SEATTLE SCHOOL DISTRICT</t>
  </si>
  <si>
    <t>29101 SEDRO WOOLLEY SCHOOL DISTRICT</t>
  </si>
  <si>
    <t>39119 SELAH SCHOOL DISTRICT</t>
  </si>
  <si>
    <t>26070 SELKIRK SCHOOL DISTRICT</t>
  </si>
  <si>
    <t>05323 SEQUIM SCHOOL DISTRICT</t>
  </si>
  <si>
    <t>28010 SHAW SCHOOL DISTRICT</t>
  </si>
  <si>
    <t>23309 SHELTON SCHOOL DISTRICT</t>
  </si>
  <si>
    <t>17412 SHORELINE SCHOOL DISTRICT</t>
  </si>
  <si>
    <t>30002 SKAMANIA SCHOOL DISTRICT</t>
  </si>
  <si>
    <t>17404 SKYKOMISH SCHOOL DISTRICT</t>
  </si>
  <si>
    <t>31201 SNOHOMISH SCHOOL DISTRICT</t>
  </si>
  <si>
    <t>17410 SNOQUALMIE VALLEY SCHOOL DISTRICT</t>
  </si>
  <si>
    <t>13156 SOAP LAKE SCHOOL DISTRICT</t>
  </si>
  <si>
    <t>25118 SOUTH BEND SCHOOL DISTRICT</t>
  </si>
  <si>
    <t>18402 SOUTH KITSAP SCHOOL DISTRICT</t>
  </si>
  <si>
    <t>15206 SOUTH WHIDBEY SCHOOL DISTRICT</t>
  </si>
  <si>
    <t>23042 SOUTHSIDE SCHOOL DISTRICT</t>
  </si>
  <si>
    <t>32081 SPOKANE SCHOOL DISTRICT</t>
  </si>
  <si>
    <t>32901 SPOKANE INT'L CHARTER</t>
  </si>
  <si>
    <t>22008 SPRAGUE SCHOOL DISTRICT</t>
  </si>
  <si>
    <t>38322 ST JOHN SCHOOL DISTRICT</t>
  </si>
  <si>
    <t>31401 STANWOOD SCHOOL DISTRICT</t>
  </si>
  <si>
    <t>11054 STAR SCHOOL DISTRICT</t>
  </si>
  <si>
    <t>07035 STARBUCK SCHOOL DISTRICT</t>
  </si>
  <si>
    <t>04069 STEHEKIN SCHOOL DISTRICT</t>
  </si>
  <si>
    <t>27001 STEILACOOM HIST. SCHOOL DISTRICT</t>
  </si>
  <si>
    <t>38304 STEPTOE SCHOOL DISTRICT</t>
  </si>
  <si>
    <t>30303 STEVENSON-CARSON SCHOOL DISTRICT</t>
  </si>
  <si>
    <t>31311 SULTAN SCHOOL DISTRICT</t>
  </si>
  <si>
    <t>33202 SUMMIT VALLEY SCHOOL DISTRICT</t>
  </si>
  <si>
    <t>17905 SUMMIT: ATLAS CHARTER</t>
  </si>
  <si>
    <t>27905 SUMMIT: OLYMPUS CHARTER</t>
  </si>
  <si>
    <t>17902 SUMMIT: SIERRA CHARTER</t>
  </si>
  <si>
    <t>27320 SUMNER SCHOOL DISTRICT</t>
  </si>
  <si>
    <t>39201 SUNNYSIDE SCHOOL DISTRICT</t>
  </si>
  <si>
    <t>18902 SUQUAMISH TRIBAL COMPACT</t>
  </si>
  <si>
    <t>27010 TACOMA SCHOOL DISTRICT</t>
  </si>
  <si>
    <t>14077 TAHOLAH SCHOOL DISTRICT</t>
  </si>
  <si>
    <t>17409 TAHOMA SCHOOL DISTRICT</t>
  </si>
  <si>
    <t>38265 TEKOA SCHOOL DISTRICT</t>
  </si>
  <si>
    <t>34402 TENINO SCHOOL DISTRICT</t>
  </si>
  <si>
    <t>19400 THORP SCHOOL DISTRICT</t>
  </si>
  <si>
    <t>21237 TOLEDO SCHOOL DISTRICT</t>
  </si>
  <si>
    <t>24404 TONASKET SCHOOL DISTRICT</t>
  </si>
  <si>
    <t>39202 TOPPENISH SCHOOL DISTRICT</t>
  </si>
  <si>
    <t>36300 TOUCHET SCHOOL DISTRICT</t>
  </si>
  <si>
    <t>08130 TOUTLE LAKE SCHOOL DISTRICT</t>
  </si>
  <si>
    <t>20400 TROUT LAKE SCHOOL DISTRICT</t>
  </si>
  <si>
    <t>17406 TUKWILA SCHOOL DISTRICT</t>
  </si>
  <si>
    <t>34033 TUMWATER SCHOOL DISTRICT</t>
  </si>
  <si>
    <t>39002 UNION GAP SCHOOL DISTRICT</t>
  </si>
  <si>
    <t>27083 UNIVERSITY PLACE SCHOOL DISTRICT</t>
  </si>
  <si>
    <t>33070 VALLEY SCHOOL DISTRICT</t>
  </si>
  <si>
    <t>06037 VANCOUVER SCHOOL DISTRICT</t>
  </si>
  <si>
    <t>17402 VASHON ISLAND SCHOOL DISTRICT</t>
  </si>
  <si>
    <t>34901 WA HE LUT TRIBAL COMPACT</t>
  </si>
  <si>
    <t>35200 WAHKIAKUM SCHOOL DISTRICT</t>
  </si>
  <si>
    <t>13073 WAHLUKE SCHOOL DISTRICT</t>
  </si>
  <si>
    <t>36401 WAITSBURG SCHOOL DISTRICT</t>
  </si>
  <si>
    <t>36140 WALLA WALLA SCHOOL DISTRICT</t>
  </si>
  <si>
    <t>39207 WAPATO SCHOOL DISTRICT</t>
  </si>
  <si>
    <t>13146 WARDEN SCHOOL DISTRICT</t>
  </si>
  <si>
    <t>06112 WASHOUGAL SCHOOL DISTRICT</t>
  </si>
  <si>
    <t>01109 WASHTUCNA SCHOOL DISTRICT</t>
  </si>
  <si>
    <t>09209 WATERVILLE SCHOOL DISTRICT</t>
  </si>
  <si>
    <t>33049 WELLPINIT SCHOOL DISTRICT</t>
  </si>
  <si>
    <t>04246 WENATCHEE SCHOOL DISTRICT</t>
  </si>
  <si>
    <t>32363 WEST VALLEY (SPOKANE) SCHOOL DISTRICT</t>
  </si>
  <si>
    <t>39208 WEST VALLEY (YAKIMA) SCHOOL DISTRICT</t>
  </si>
  <si>
    <t>37902 WHATCOM INTERGENERATIONAL CHARTER</t>
  </si>
  <si>
    <t>21303 WHITE PASS SCHOOL DISTRICT</t>
  </si>
  <si>
    <t>27416 WHITE RIVER SCHOOL DISTRICT</t>
  </si>
  <si>
    <t>20405 WHITE SALMON SCHOOL DISTRICT</t>
  </si>
  <si>
    <t>17917 WHY NOT YOU CHARTER</t>
  </si>
  <si>
    <t>22200 WILBUR SCHOOL DISTRICT</t>
  </si>
  <si>
    <t>25160 WILLAPA VALLEY SCHOOL DISTRICT</t>
  </si>
  <si>
    <t>13167 WILSON CREEK SCHOOL DISTRICT</t>
  </si>
  <si>
    <t>21232 WINLOCK SCHOOL DISTRICT</t>
  </si>
  <si>
    <t>14117 WISHKAH VALLEY SCHOOL DISTRICT</t>
  </si>
  <si>
    <t>20094 WISHRAM SCHOOL DISTRICT</t>
  </si>
  <si>
    <t>08404 WOODLAND SCHOOL DISTRICT</t>
  </si>
  <si>
    <t>39901 YAKAMA SCHOOL DISTRICT</t>
  </si>
  <si>
    <t>39007 YAKIMA SCHOOL DISTRICT</t>
  </si>
  <si>
    <t>34002 YELM SCHOOL DISTRICT</t>
  </si>
  <si>
    <t>39205 ZILLAH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</si>
</sst>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_(* #,##0.00_);_(* \(#,##0.00\);_(* &quot;-&quot;_);_(@_)"/>
    <numFmt numFmtId="166" formatCode="_(* #,##0_);_(* \(#,##0\);_(* &quot;-&quot;??_);_(@_)"/>
    <numFmt numFmtId="167" formatCode="_(* #,##0.0000_);_(* \(#,##0.0000\);_(* &quot;-&quot;_);_(@_)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MT"/>
    </font>
    <font>
      <sz val="8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color theme="8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70C0"/>
      <name val="Calibri"/>
      <family val="2"/>
      <scheme val="minor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3" fillId="0" borderId="0" applyNumberFormat="0" applyFill="0" applyBorder="0" applyAlignment="0" applyProtection="0"/>
  </cellStyleXfs>
  <cellXfs count="73">
    <xf numFmtId="0" fontId="0" fillId="0" borderId="0" xfId="0"/>
    <xf numFmtId="41" fontId="0" fillId="0" borderId="0" xfId="1" applyNumberFormat="1" applyFont="1"/>
    <xf numFmtId="0" fontId="13" fillId="0" borderId="0" xfId="0" applyFont="1"/>
    <xf numFmtId="0" fontId="14" fillId="0" borderId="0" xfId="0" applyFont="1"/>
    <xf numFmtId="0" fontId="14" fillId="2" borderId="0" xfId="0" applyFont="1" applyFill="1"/>
    <xf numFmtId="0" fontId="15" fillId="0" borderId="7" xfId="0" applyFont="1" applyBorder="1"/>
    <xf numFmtId="0" fontId="14" fillId="2" borderId="7" xfId="0" applyFont="1" applyFill="1" applyBorder="1"/>
    <xf numFmtId="164" fontId="15" fillId="0" borderId="0" xfId="4" quotePrefix="1" applyNumberFormat="1" applyFont="1" applyAlignment="1">
      <alignment horizontal="left"/>
    </xf>
    <xf numFmtId="0" fontId="15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0" fontId="14" fillId="0" borderId="3" xfId="0" quotePrefix="1" applyFont="1" applyBorder="1"/>
    <xf numFmtId="7" fontId="16" fillId="2" borderId="4" xfId="4" quotePrefix="1" applyNumberFormat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7" fontId="16" fillId="0" borderId="0" xfId="4" quotePrefix="1" applyNumberFormat="1" applyFont="1" applyAlignment="1">
      <alignment horizontal="right"/>
    </xf>
    <xf numFmtId="7" fontId="16" fillId="0" borderId="0" xfId="0" applyNumberFormat="1" applyFont="1"/>
    <xf numFmtId="0" fontId="16" fillId="0" borderId="0" xfId="0" applyFont="1"/>
    <xf numFmtId="0" fontId="14" fillId="0" borderId="6" xfId="0" applyFont="1" applyBorder="1"/>
    <xf numFmtId="7" fontId="16" fillId="2" borderId="5" xfId="4" quotePrefix="1" applyNumberFormat="1" applyFont="1" applyFill="1" applyBorder="1" applyAlignment="1">
      <alignment horizontal="right"/>
    </xf>
    <xf numFmtId="0" fontId="15" fillId="0" borderId="0" xfId="0" applyFont="1"/>
    <xf numFmtId="7" fontId="15" fillId="0" borderId="0" xfId="0" quotePrefix="1" applyNumberFormat="1" applyFont="1"/>
    <xf numFmtId="7" fontId="14" fillId="0" borderId="0" xfId="4" quotePrefix="1" applyNumberFormat="1" applyFont="1" applyAlignment="1">
      <alignment horizontal="right"/>
    </xf>
    <xf numFmtId="7" fontId="16" fillId="0" borderId="0" xfId="0" quotePrefix="1" applyNumberFormat="1" applyFont="1"/>
    <xf numFmtId="10" fontId="16" fillId="0" borderId="0" xfId="4" quotePrefix="1" applyNumberFormat="1" applyFont="1" applyAlignment="1">
      <alignment horizontal="right"/>
    </xf>
    <xf numFmtId="7" fontId="15" fillId="0" borderId="0" xfId="4" quotePrefix="1" applyNumberFormat="1" applyFont="1"/>
    <xf numFmtId="7" fontId="15" fillId="0" borderId="0" xfId="4" quotePrefix="1" applyNumberFormat="1" applyFont="1" applyAlignment="1">
      <alignment horizontal="right"/>
    </xf>
    <xf numFmtId="0" fontId="16" fillId="2" borderId="0" xfId="0" applyFont="1" applyFill="1"/>
    <xf numFmtId="0" fontId="17" fillId="0" borderId="0" xfId="6" applyFont="1"/>
    <xf numFmtId="0" fontId="14" fillId="3" borderId="0" xfId="0" quotePrefix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4" fillId="3" borderId="0" xfId="0" applyFont="1" applyFill="1"/>
    <xf numFmtId="43" fontId="14" fillId="0" borderId="0" xfId="0" applyNumberFormat="1" applyFont="1" applyAlignment="1">
      <alignment horizontal="center"/>
    </xf>
    <xf numFmtId="0" fontId="14" fillId="0" borderId="0" xfId="0" quotePrefix="1" applyFont="1" applyAlignment="1">
      <alignment horizontal="center"/>
    </xf>
    <xf numFmtId="41" fontId="14" fillId="0" borderId="0" xfId="0" applyNumberFormat="1" applyFont="1"/>
    <xf numFmtId="41" fontId="14" fillId="0" borderId="0" xfId="1" applyNumberFormat="1" applyFont="1"/>
    <xf numFmtId="165" fontId="14" fillId="0" borderId="0" xfId="1" applyNumberFormat="1" applyFont="1"/>
    <xf numFmtId="43" fontId="14" fillId="0" borderId="0" xfId="1" applyFont="1"/>
    <xf numFmtId="0" fontId="19" fillId="0" borderId="0" xfId="0" applyFont="1" applyAlignment="1">
      <alignment wrapText="1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166" fontId="14" fillId="0" borderId="0" xfId="1" applyNumberFormat="1" applyFont="1"/>
    <xf numFmtId="2" fontId="16" fillId="0" borderId="0" xfId="1" quotePrefix="1" applyNumberFormat="1" applyFont="1" applyFill="1" applyBorder="1" applyAlignment="1" applyProtection="1">
      <alignment horizontal="right"/>
    </xf>
    <xf numFmtId="0" fontId="15" fillId="0" borderId="8" xfId="0" applyFont="1" applyBorder="1"/>
    <xf numFmtId="0" fontId="14" fillId="0" borderId="10" xfId="0" applyFont="1" applyBorder="1"/>
    <xf numFmtId="0" fontId="14" fillId="5" borderId="0" xfId="0" applyFont="1" applyFill="1"/>
    <xf numFmtId="7" fontId="14" fillId="0" borderId="0" xfId="0" applyNumberFormat="1" applyFont="1"/>
    <xf numFmtId="0" fontId="16" fillId="7" borderId="0" xfId="0" applyFont="1" applyFill="1"/>
    <xf numFmtId="167" fontId="14" fillId="0" borderId="0" xfId="1" applyNumberFormat="1" applyFont="1"/>
    <xf numFmtId="2" fontId="14" fillId="0" borderId="0" xfId="0" applyNumberFormat="1" applyFont="1" applyAlignment="1">
      <alignment horizontal="right"/>
    </xf>
    <xf numFmtId="0" fontId="21" fillId="0" borderId="0" xfId="6" applyFont="1"/>
    <xf numFmtId="0" fontId="14" fillId="0" borderId="0" xfId="0" applyFont="1" applyAlignment="1">
      <alignment vertical="top"/>
    </xf>
    <xf numFmtId="41" fontId="14" fillId="0" borderId="0" xfId="0" applyNumberFormat="1" applyFont="1" applyAlignment="1">
      <alignment horizontal="left" vertical="top"/>
    </xf>
    <xf numFmtId="165" fontId="14" fillId="0" borderId="0" xfId="0" applyNumberFormat="1" applyFont="1" applyAlignment="1">
      <alignment horizontal="left" vertical="top"/>
    </xf>
    <xf numFmtId="0" fontId="14" fillId="0" borderId="0" xfId="8" applyFont="1"/>
    <xf numFmtId="0" fontId="14" fillId="4" borderId="0" xfId="8" applyFont="1" applyFill="1"/>
    <xf numFmtId="0" fontId="14" fillId="0" borderId="0" xfId="8" quotePrefix="1" applyFont="1"/>
    <xf numFmtId="0" fontId="14" fillId="8" borderId="0" xfId="8" applyFont="1" applyFill="1"/>
    <xf numFmtId="0" fontId="20" fillId="4" borderId="0" xfId="7" applyFont="1" applyFill="1"/>
    <xf numFmtId="0" fontId="14" fillId="4" borderId="0" xfId="8" quotePrefix="1" applyFont="1" applyFill="1"/>
    <xf numFmtId="43" fontId="21" fillId="0" borderId="0" xfId="6" applyNumberFormat="1" applyFont="1"/>
    <xf numFmtId="167" fontId="14" fillId="6" borderId="0" xfId="0" applyNumberFormat="1" applyFont="1" applyFill="1" applyAlignment="1">
      <alignment horizontal="left" vertical="top"/>
    </xf>
    <xf numFmtId="0" fontId="23" fillId="0" borderId="0" xfId="14"/>
    <xf numFmtId="167" fontId="20" fillId="0" borderId="0" xfId="9" applyNumberFormat="1" applyFont="1"/>
    <xf numFmtId="0" fontId="15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43" fontId="20" fillId="0" borderId="0" xfId="1" applyFont="1"/>
    <xf numFmtId="4" fontId="14" fillId="0" borderId="0" xfId="3" quotePrefix="1" applyNumberFormat="1" applyFont="1"/>
    <xf numFmtId="0" fontId="14" fillId="0" borderId="0" xfId="0" applyFont="1" applyFill="1" applyAlignment="1">
      <alignment horizontal="center"/>
    </xf>
    <xf numFmtId="165" fontId="14" fillId="0" borderId="0" xfId="0" applyNumberFormat="1" applyFont="1" applyFill="1" applyAlignment="1">
      <alignment horizontal="left" vertical="top"/>
    </xf>
  </cellXfs>
  <cellStyles count="15">
    <cellStyle name="Comma" xfId="1" builtinId="3"/>
    <cellStyle name="Comma 2" xfId="2" xr:uid="{00000000-0005-0000-0000-000001000000}"/>
    <cellStyle name="Hyperlink" xfId="14" builtinId="8"/>
    <cellStyle name="Normal" xfId="0" builtinId="0"/>
    <cellStyle name="Normal 2" xfId="3" xr:uid="{00000000-0005-0000-0000-000003000000}"/>
    <cellStyle name="Normal 2 2 2 2 2 2 3" xfId="12" xr:uid="{49DE3E28-E5F0-4037-B3AA-506E077195A0}"/>
    <cellStyle name="Normal 2 2 2 2 3" xfId="11" xr:uid="{978614EF-1EF3-48CE-9DAE-08877B80ACE4}"/>
    <cellStyle name="Normal 2 4" xfId="6" xr:uid="{00000000-0005-0000-0000-000004000000}"/>
    <cellStyle name="Normal 3" xfId="5" xr:uid="{00000000-0005-0000-0000-000005000000}"/>
    <cellStyle name="Normal 3 2" xfId="7" xr:uid="{00000000-0005-0000-0000-000006000000}"/>
    <cellStyle name="Normal 3 2 2" xfId="13" xr:uid="{AD85E7EE-5E3E-415B-B694-89D18CB28C04}"/>
    <cellStyle name="Normal 4" xfId="8" xr:uid="{00000000-0005-0000-0000-000007000000}"/>
    <cellStyle name="Normal 4 2" xfId="10" xr:uid="{2F4AECC7-33BE-4192-98A3-02260B40B092}"/>
    <cellStyle name="Normal 5" xfId="9" xr:uid="{92580912-5760-40EE-86DF-ADE25EC35E4A}"/>
    <cellStyle name="Normal_A" xfId="4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ses/by/4.0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15874</xdr:colOff>
      <xdr:row>105</xdr:row>
      <xdr:rowOff>47625</xdr:rowOff>
    </xdr:from>
    <xdr:ext cx="11191875" cy="42107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874" y="21764625"/>
          <a:ext cx="11191875" cy="421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Apportionment Reports by </a:t>
          </a:r>
          <a:r>
            <a:rPr lang="en-US" sz="1000" u="sng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Office of Superintendent of Public Instruction</a:t>
          </a:r>
          <a:r>
            <a:rPr 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is licensed under a </a:t>
          </a:r>
          <a:r>
            <a:rPr lang="en-US" sz="1000" u="sng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Creative Commons Attribution 4.0 International License</a:t>
          </a:r>
          <a:r>
            <a:rPr 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</a:p>
      </xdr:txBody>
    </xdr:sp>
    <xdr:clientData/>
  </xdr:oneCellAnchor>
  <xdr:twoCellAnchor editAs="oneCell">
    <xdr:from>
      <xdr:col>0</xdr:col>
      <xdr:colOff>47624</xdr:colOff>
      <xdr:row>105</xdr:row>
      <xdr:rowOff>111125</xdr:rowOff>
    </xdr:from>
    <xdr:to>
      <xdr:col>0</xdr:col>
      <xdr:colOff>817244</xdr:colOff>
      <xdr:row>106</xdr:row>
      <xdr:rowOff>96679</xdr:rowOff>
    </xdr:to>
    <xdr:pic>
      <xdr:nvPicPr>
        <xdr:cNvPr id="3" name="Picture 2" descr="Creative Commons Licen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21828125"/>
          <a:ext cx="762000" cy="140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pp.leg.wa.gov/WAC/default.aspx?cite=392-121-578" TargetMode="External"/><Relationship Id="rId1" Type="http://schemas.openxmlformats.org/officeDocument/2006/relationships/hyperlink" Target="https://app.leg.wa.gov/wac/default.aspx?cite=392-122-900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05"/>
  <sheetViews>
    <sheetView tabSelected="1" zoomScaleNormal="100" workbookViewId="0">
      <pane ySplit="8" topLeftCell="A9" activePane="bottomLeft" state="frozen"/>
      <selection pane="bottomLeft" activeCell="A3" sqref="A3"/>
    </sheetView>
  </sheetViews>
  <sheetFormatPr defaultColWidth="9.140625" defaultRowHeight="12.75"/>
  <cols>
    <col min="1" max="1" width="44.7109375" style="3" customWidth="1"/>
    <col min="2" max="2" width="19.7109375" style="3" customWidth="1"/>
    <col min="3" max="4" width="2.7109375" style="3" customWidth="1"/>
    <col min="5" max="5" width="47.5703125" style="3" bestFit="1" customWidth="1"/>
    <col min="6" max="6" width="18.140625" style="3" bestFit="1" customWidth="1"/>
    <col min="7" max="7" width="16.7109375" style="3" bestFit="1" customWidth="1"/>
    <col min="8" max="8" width="13.7109375" style="3" bestFit="1" customWidth="1"/>
    <col min="9" max="9" width="14.42578125" style="3" bestFit="1" customWidth="1"/>
    <col min="10" max="16384" width="9.140625" style="3"/>
  </cols>
  <sheetData>
    <row r="1" spans="1:6" ht="18.75">
      <c r="A1" s="2" t="s">
        <v>826</v>
      </c>
    </row>
    <row r="2" spans="1:6" ht="15.75">
      <c r="A2" s="27" t="s">
        <v>819</v>
      </c>
      <c r="B2" s="4"/>
      <c r="C2" s="4"/>
      <c r="D2" s="4"/>
      <c r="E2" s="4"/>
      <c r="F2" s="4"/>
    </row>
    <row r="3" spans="1:6">
      <c r="A3" s="3" t="str">
        <f>VLOOKUP($B$4,ALLOC!$A$7:$B$336,2,FALSE)</f>
        <v>14005</v>
      </c>
    </row>
    <row r="4" spans="1:6" ht="15.75">
      <c r="A4" s="5" t="s">
        <v>352</v>
      </c>
      <c r="B4" s="6" t="s">
        <v>487</v>
      </c>
    </row>
    <row r="6" spans="1:6" ht="15.75">
      <c r="A6" s="20" t="s">
        <v>827</v>
      </c>
    </row>
    <row r="7" spans="1:6" ht="10.5" customHeight="1">
      <c r="A7" s="2"/>
    </row>
    <row r="8" spans="1:6" ht="18.75">
      <c r="A8" s="2"/>
      <c r="B8" s="7" t="str">
        <f>VLOOKUP($A$3,Data,2,FALSE)</f>
        <v>14005 ABERDEEN SCHOOL DISTRICT</v>
      </c>
    </row>
    <row r="10" spans="1:6" ht="15.75">
      <c r="A10" s="8" t="s">
        <v>342</v>
      </c>
      <c r="B10" s="9"/>
      <c r="E10" s="65" t="s">
        <v>335</v>
      </c>
      <c r="F10" s="65"/>
    </row>
    <row r="11" spans="1:6" ht="15.75">
      <c r="A11" s="10" t="s">
        <v>307</v>
      </c>
      <c r="B11" s="11"/>
      <c r="E11" s="40" t="s">
        <v>333</v>
      </c>
      <c r="F11" s="14" t="s">
        <v>334</v>
      </c>
    </row>
    <row r="12" spans="1:6" ht="15.75">
      <c r="A12" s="12" t="s">
        <v>308</v>
      </c>
      <c r="B12" s="13">
        <v>0</v>
      </c>
      <c r="E12" s="15">
        <f>B45</f>
        <v>-6846489.6899999995</v>
      </c>
      <c r="F12" s="16">
        <f>B44</f>
        <v>591952.15</v>
      </c>
    </row>
    <row r="13" spans="1:6" ht="15.75">
      <c r="A13" s="10" t="s">
        <v>409</v>
      </c>
      <c r="B13" s="13">
        <v>0</v>
      </c>
      <c r="E13" s="15">
        <f>B60</f>
        <v>-170715.81</v>
      </c>
      <c r="F13" s="16">
        <f>B54</f>
        <v>0</v>
      </c>
    </row>
    <row r="14" spans="1:6" ht="15.75">
      <c r="A14" s="10" t="s">
        <v>410</v>
      </c>
      <c r="B14" s="13">
        <v>0</v>
      </c>
      <c r="E14" s="15">
        <f>F60</f>
        <v>-53199.19</v>
      </c>
      <c r="F14" s="16">
        <f>F54</f>
        <v>0</v>
      </c>
    </row>
    <row r="15" spans="1:6" ht="15.75">
      <c r="A15" s="10" t="s">
        <v>734</v>
      </c>
      <c r="B15" s="13">
        <v>0</v>
      </c>
      <c r="E15" s="15">
        <f>B71</f>
        <v>-1479543.76</v>
      </c>
      <c r="F15" s="16">
        <f>B70</f>
        <v>148657.41</v>
      </c>
    </row>
    <row r="16" spans="1:6" ht="15.75">
      <c r="A16" s="10" t="s">
        <v>735</v>
      </c>
      <c r="B16" s="13">
        <v>0</v>
      </c>
      <c r="E16" s="16">
        <f>F71</f>
        <v>-954113.77</v>
      </c>
      <c r="F16" s="16">
        <f>F70</f>
        <v>98223.94</v>
      </c>
    </row>
    <row r="17" spans="1:6" ht="15.75">
      <c r="A17" s="10" t="s">
        <v>309</v>
      </c>
      <c r="B17" s="13">
        <v>0</v>
      </c>
      <c r="E17" s="15">
        <f>B79</f>
        <v>-783007.63</v>
      </c>
      <c r="F17" s="48"/>
    </row>
    <row r="18" spans="1:6" ht="15.75">
      <c r="A18" s="12" t="s">
        <v>310</v>
      </c>
      <c r="B18" s="13">
        <v>0</v>
      </c>
      <c r="E18" s="15">
        <f>F79</f>
        <v>-95970.9</v>
      </c>
      <c r="F18" s="48"/>
    </row>
    <row r="19" spans="1:6" ht="15.75">
      <c r="A19" s="12" t="s">
        <v>311</v>
      </c>
      <c r="B19" s="13">
        <v>0</v>
      </c>
      <c r="E19" s="15">
        <f>F100</f>
        <v>-1817016.64</v>
      </c>
      <c r="F19" s="48"/>
    </row>
    <row r="20" spans="1:6" ht="15.75">
      <c r="A20" s="10" t="s">
        <v>312</v>
      </c>
      <c r="B20" s="13">
        <v>0</v>
      </c>
      <c r="E20" s="15">
        <f>B90</f>
        <v>0</v>
      </c>
      <c r="F20" s="16">
        <f>B89</f>
        <v>0</v>
      </c>
    </row>
    <row r="21" spans="1:6" ht="15.75">
      <c r="A21" s="10" t="str">
        <f>IF(MID(B8,3,1)="8","  Program 34 State Institution","  Program 56 State Institution")</f>
        <v xml:space="preserve">  Program 56 State Institution</v>
      </c>
      <c r="B21" s="13">
        <v>0</v>
      </c>
      <c r="E21" s="15">
        <f>F90</f>
        <v>-346767.29000000004</v>
      </c>
      <c r="F21" s="16">
        <f>F89</f>
        <v>36181.919999999998</v>
      </c>
    </row>
    <row r="22" spans="1:6" ht="15.75">
      <c r="A22" s="10" t="str">
        <f>IF(MID(B9,3,1)="8","  Program 34 State Institution","  Program 59 State Institution")</f>
        <v xml:space="preserve">  Program 59 State Institution</v>
      </c>
      <c r="B22" s="13">
        <v>0</v>
      </c>
      <c r="E22" s="15">
        <f>B101</f>
        <v>0</v>
      </c>
      <c r="F22" s="16">
        <f>B100</f>
        <v>0</v>
      </c>
    </row>
    <row r="23" spans="1:6" ht="15.75">
      <c r="A23" s="10" t="s">
        <v>353</v>
      </c>
      <c r="B23" s="11"/>
      <c r="E23" s="40" t="s">
        <v>367</v>
      </c>
      <c r="F23" s="14" t="s">
        <v>358</v>
      </c>
    </row>
    <row r="24" spans="1:6" ht="15.75">
      <c r="A24" s="10" t="s">
        <v>354</v>
      </c>
      <c r="B24" s="13">
        <v>0</v>
      </c>
      <c r="E24" s="15">
        <f>VLOOKUP($A$3,Data,39,FALSE)</f>
        <v>4000</v>
      </c>
      <c r="F24" s="15">
        <f>E24-B24</f>
        <v>4000</v>
      </c>
    </row>
    <row r="25" spans="1:6" ht="15.75" hidden="1">
      <c r="A25" s="10" t="s">
        <v>355</v>
      </c>
      <c r="B25" s="13" t="e">
        <f>VLOOKUP($A$3,Data,41)</f>
        <v>#REF!</v>
      </c>
      <c r="E25" s="15">
        <f>VLOOKUP($A$3,Data,29,FALSE)</f>
        <v>263.43</v>
      </c>
      <c r="F25" s="15" t="e">
        <f t="shared" ref="F25:F26" si="0">E25-B25</f>
        <v>#REF!</v>
      </c>
    </row>
    <row r="26" spans="1:6" ht="15.75" hidden="1">
      <c r="A26" s="10" t="s">
        <v>356</v>
      </c>
      <c r="B26" s="13" t="e">
        <f>VLOOKUP($A$3,Data,41)</f>
        <v>#REF!</v>
      </c>
      <c r="E26" s="15">
        <f>VLOOKUP($A$3,Data,30,FALSE)</f>
        <v>2440697.0299999998</v>
      </c>
      <c r="F26" s="15" t="e">
        <f t="shared" si="0"/>
        <v>#REF!</v>
      </c>
    </row>
    <row r="27" spans="1:6" ht="15.75">
      <c r="A27" s="10" t="s">
        <v>357</v>
      </c>
      <c r="B27" s="13">
        <v>0</v>
      </c>
      <c r="E27" s="15">
        <f>VLOOKUP($A$3,Data,40,FALSE)</f>
        <v>0</v>
      </c>
      <c r="F27" s="15">
        <f>E27-B27</f>
        <v>0</v>
      </c>
    </row>
    <row r="28" spans="1:6" ht="15.75">
      <c r="A28" s="10" t="s">
        <v>736</v>
      </c>
      <c r="B28" s="13">
        <v>0</v>
      </c>
      <c r="E28" s="15">
        <f>VLOOKUP($A$3,Data,24,FALSE)</f>
        <v>0</v>
      </c>
      <c r="F28" s="15">
        <f>E28-B28</f>
        <v>0</v>
      </c>
    </row>
    <row r="29" spans="1:6">
      <c r="A29" s="10" t="s">
        <v>338</v>
      </c>
      <c r="B29" s="11"/>
      <c r="E29" s="41"/>
    </row>
    <row r="30" spans="1:6" ht="15.75">
      <c r="A30" s="10" t="s">
        <v>336</v>
      </c>
      <c r="B30" s="13">
        <v>0</v>
      </c>
      <c r="E30" s="41"/>
    </row>
    <row r="31" spans="1:6" ht="15.75">
      <c r="A31" s="18" t="s">
        <v>337</v>
      </c>
      <c r="B31" s="19">
        <v>0</v>
      </c>
      <c r="E31" s="15"/>
    </row>
    <row r="32" spans="1:6" ht="10.5" customHeight="1">
      <c r="A32" s="20"/>
      <c r="B32" s="21"/>
      <c r="E32" s="20"/>
      <c r="F32" s="21"/>
    </row>
    <row r="33" spans="1:6" ht="15.75">
      <c r="A33" s="44" t="s">
        <v>313</v>
      </c>
      <c r="B33" s="45"/>
      <c r="E33" s="20"/>
      <c r="F33" s="21"/>
    </row>
    <row r="34" spans="1:6" ht="15.75">
      <c r="A34" s="3" t="s">
        <v>339</v>
      </c>
      <c r="B34" s="15">
        <f>VLOOKUP($A$3,Data,6,FALSE)</f>
        <v>5919521.5199999996</v>
      </c>
      <c r="E34" s="20"/>
      <c r="F34" s="21"/>
    </row>
    <row r="35" spans="1:6" ht="15.75">
      <c r="A35" s="3" t="s">
        <v>825</v>
      </c>
      <c r="B35" s="15">
        <f>VLOOKUP($A$3,Data,3,FALSE)</f>
        <v>0</v>
      </c>
      <c r="E35" s="20"/>
      <c r="F35" s="21"/>
    </row>
    <row r="36" spans="1:6" ht="15.75">
      <c r="A36" s="3" t="s">
        <v>316</v>
      </c>
      <c r="B36" s="15">
        <f>B12</f>
        <v>0</v>
      </c>
      <c r="E36" s="20"/>
      <c r="F36" s="21"/>
    </row>
    <row r="37" spans="1:6" ht="15.75">
      <c r="A37" s="3" t="s">
        <v>359</v>
      </c>
      <c r="B37" s="15">
        <f>VLOOKUP($A$3,Data,7,FALSE)</f>
        <v>1320800.28</v>
      </c>
      <c r="E37" s="20"/>
      <c r="F37" s="21"/>
    </row>
    <row r="38" spans="1:6" ht="15.75">
      <c r="A38" s="3" t="s">
        <v>747</v>
      </c>
      <c r="B38" s="24">
        <f>VLOOKUP($A$3,Data,14,FALSE)</f>
        <v>0.15</v>
      </c>
      <c r="E38" s="20"/>
      <c r="F38" s="21"/>
    </row>
    <row r="39" spans="1:6" ht="15.75">
      <c r="A39" s="3" t="s">
        <v>360</v>
      </c>
      <c r="B39" s="15">
        <f>ROUND((B36-B37)*(1+B38),2)</f>
        <v>-1518920.32</v>
      </c>
      <c r="E39" s="20"/>
      <c r="F39" s="21"/>
    </row>
    <row r="40" spans="1:6" ht="15.75">
      <c r="A40" s="3" t="s">
        <v>361</v>
      </c>
      <c r="B40" s="15">
        <f>B30</f>
        <v>0</v>
      </c>
      <c r="E40" s="20"/>
      <c r="F40" s="21"/>
    </row>
    <row r="41" spans="1:6" ht="15.75">
      <c r="A41" s="3" t="s">
        <v>362</v>
      </c>
      <c r="B41" s="15">
        <f>B39-B40</f>
        <v>-1518920.32</v>
      </c>
      <c r="E41" s="20"/>
      <c r="F41" s="21"/>
    </row>
    <row r="42" spans="1:6" ht="15.75">
      <c r="A42" s="3" t="s">
        <v>363</v>
      </c>
      <c r="B42" s="15">
        <f>MIN(B34,B41-B35)</f>
        <v>-1518920.32</v>
      </c>
      <c r="E42" s="20"/>
      <c r="F42" s="21"/>
    </row>
    <row r="43" spans="1:6" ht="15.75">
      <c r="A43" s="20" t="s">
        <v>365</v>
      </c>
      <c r="B43" s="15"/>
      <c r="E43" s="20"/>
      <c r="F43" s="21"/>
    </row>
    <row r="44" spans="1:6" ht="15.75">
      <c r="A44" s="3" t="s">
        <v>364</v>
      </c>
      <c r="B44" s="21">
        <f>ROUND(IF((B34*0.1)&lt;(B34-B42),(B34*0.1),(B34-B42)),2)</f>
        <v>591952.15</v>
      </c>
      <c r="E44" s="20"/>
      <c r="F44" s="21"/>
    </row>
    <row r="45" spans="1:6" ht="15.75">
      <c r="A45" s="20" t="s">
        <v>366</v>
      </c>
      <c r="B45" s="21">
        <f>(B34-B42-B44)*-1</f>
        <v>-6846489.6899999995</v>
      </c>
      <c r="E45" s="20"/>
      <c r="F45" s="21"/>
    </row>
    <row r="46" spans="1:6" ht="10.5" customHeight="1">
      <c r="A46" s="20"/>
      <c r="B46" s="21"/>
      <c r="E46" s="20"/>
      <c r="F46" s="21"/>
    </row>
    <row r="47" spans="1:6" ht="15.75">
      <c r="A47" s="44" t="s">
        <v>407</v>
      </c>
      <c r="B47" s="45"/>
      <c r="E47" s="44" t="s">
        <v>408</v>
      </c>
      <c r="F47" s="45"/>
    </row>
    <row r="48" spans="1:6" ht="15.75">
      <c r="A48" s="3" t="s">
        <v>340</v>
      </c>
      <c r="B48" s="15">
        <f>VLOOKUP($A$3,Data,28,FALSE)</f>
        <v>2611414.06</v>
      </c>
      <c r="E48" s="3" t="s">
        <v>340</v>
      </c>
      <c r="F48" s="15">
        <f>VLOOKUP($A$3,Data,27,FALSE)</f>
        <v>1093594.0900000001</v>
      </c>
    </row>
    <row r="49" spans="1:8" ht="15.75">
      <c r="A49" s="3" t="s">
        <v>821</v>
      </c>
      <c r="B49" s="15">
        <f>VLOOKUP($A$3,Data,26,FALSE)</f>
        <v>234222.92</v>
      </c>
      <c r="E49" s="3" t="s">
        <v>822</v>
      </c>
      <c r="F49" s="15">
        <f>VLOOKUP($A$3,Data,25,FALSE)</f>
        <v>86831.43</v>
      </c>
    </row>
    <row r="50" spans="1:8" ht="15.75">
      <c r="A50" s="3" t="s">
        <v>316</v>
      </c>
      <c r="B50" s="15">
        <f>B13</f>
        <v>0</v>
      </c>
      <c r="E50" s="3" t="s">
        <v>316</v>
      </c>
      <c r="F50" s="15">
        <f>B14</f>
        <v>0</v>
      </c>
      <c r="G50" s="42"/>
    </row>
    <row r="51" spans="1:8" ht="15.75">
      <c r="A51" s="3" t="s">
        <v>714</v>
      </c>
      <c r="B51" s="22"/>
      <c r="E51" s="3" t="s">
        <v>715</v>
      </c>
      <c r="F51" s="15"/>
    </row>
    <row r="52" spans="1:8" ht="15.75">
      <c r="A52" s="3" t="s">
        <v>369</v>
      </c>
      <c r="B52" s="15">
        <f>ROUND(MAX(MIN((B48*0.1),(B48+B49-B50)),0),2)</f>
        <v>261141.41</v>
      </c>
      <c r="E52" s="3" t="s">
        <v>369</v>
      </c>
      <c r="F52" s="23">
        <f>ROUND(MAX(MIN((F48*0.1),(F48+F49-F50)),0),2)</f>
        <v>109359.41</v>
      </c>
    </row>
    <row r="53" spans="1:8" ht="15.75">
      <c r="A53" s="3" t="s">
        <v>716</v>
      </c>
      <c r="B53" s="15">
        <f>ROUND(MIN(((B48+B49-B50-B52)*-1),0),2)</f>
        <v>-2584495.5699999998</v>
      </c>
      <c r="E53" s="3" t="s">
        <v>716</v>
      </c>
      <c r="F53" s="15">
        <f>ROUND(MIN(((F48+F49-F50-F52)*-1),0),2)</f>
        <v>-1071066.1100000001</v>
      </c>
    </row>
    <row r="54" spans="1:8" ht="26.25">
      <c r="A54" s="39" t="s">
        <v>765</v>
      </c>
      <c r="B54" s="26">
        <f>IF(B50=0,0,ROUND(MAX(MIN((B48*0.1),(B48+B49-B50)),0),2))</f>
        <v>0</v>
      </c>
      <c r="E54" s="39" t="s">
        <v>765</v>
      </c>
      <c r="F54" s="26">
        <f>IF(F50=0,0,ROUND(MAX(MIN((F48*0.1),(F48+F49-F50)),0),2))</f>
        <v>0</v>
      </c>
      <c r="G54" s="41"/>
      <c r="H54" s="38"/>
    </row>
    <row r="55" spans="1:8" ht="15.75">
      <c r="A55" s="3" t="s">
        <v>370</v>
      </c>
      <c r="B55" s="43">
        <f>VLOOKUP($A$3,Data,29,FALSE)</f>
        <v>263.43</v>
      </c>
      <c r="E55" s="3" t="s">
        <v>370</v>
      </c>
      <c r="F55" s="43">
        <f>VLOOKUP($A$3,Data,34,FALSE)</f>
        <v>114.53</v>
      </c>
      <c r="G55" s="50"/>
    </row>
    <row r="56" spans="1:8" ht="15.75">
      <c r="A56" s="3" t="s">
        <v>790</v>
      </c>
      <c r="B56" s="15">
        <f>VLOOKUP($A$3,Data,30,FALSE)</f>
        <v>2440697.0299999998</v>
      </c>
      <c r="E56" s="3" t="s">
        <v>790</v>
      </c>
      <c r="F56" s="15">
        <f>VLOOKUP($A$3,Data,35,FALSE)</f>
        <v>1040394.68</v>
      </c>
      <c r="G56" s="47"/>
    </row>
    <row r="57" spans="1:8" ht="15.75">
      <c r="A57" s="3" t="s">
        <v>791</v>
      </c>
      <c r="B57" s="15">
        <f>IFERROR(ROUND(B56/B55,2),0)</f>
        <v>9265.07</v>
      </c>
      <c r="E57" s="3" t="s">
        <v>791</v>
      </c>
      <c r="F57" s="15">
        <f>IFERROR(ROUND(F56/F55,2),0)</f>
        <v>9084.0400000000009</v>
      </c>
    </row>
    <row r="58" spans="1:8" ht="15.75">
      <c r="A58" s="3" t="s">
        <v>792</v>
      </c>
      <c r="B58" s="15">
        <f>IFERROR(ROUND(B48/B55,2),0)</f>
        <v>9913.1200000000008</v>
      </c>
      <c r="E58" s="3" t="s">
        <v>792</v>
      </c>
      <c r="F58" s="15">
        <f>IFERROR(ROUND(F48/F55,2),0)</f>
        <v>9548.5400000000009</v>
      </c>
      <c r="G58" s="47"/>
    </row>
    <row r="59" spans="1:8" ht="15.75">
      <c r="A59" s="3" t="s">
        <v>793</v>
      </c>
      <c r="B59" s="15">
        <f>ROUND((B58-B57)*B55,2)</f>
        <v>170715.81</v>
      </c>
      <c r="E59" s="3" t="s">
        <v>793</v>
      </c>
      <c r="F59" s="15">
        <f>ROUND((F58-F57)*F55,2)</f>
        <v>53199.19</v>
      </c>
      <c r="G59" s="15"/>
    </row>
    <row r="60" spans="1:8" ht="15.75">
      <c r="A60" s="20" t="s">
        <v>794</v>
      </c>
      <c r="B60" s="21">
        <f>MAX(B53,-B59)</f>
        <v>-170715.81</v>
      </c>
      <c r="E60" s="20" t="s">
        <v>794</v>
      </c>
      <c r="F60" s="21">
        <f>MAX(F53,-F59)</f>
        <v>-53199.19</v>
      </c>
    </row>
    <row r="61" spans="1:8" ht="10.5" customHeight="1">
      <c r="A61" s="20"/>
      <c r="B61" s="21"/>
      <c r="E61" s="20"/>
      <c r="F61" s="21"/>
    </row>
    <row r="62" spans="1:8" ht="15.75">
      <c r="A62" s="66" t="s">
        <v>314</v>
      </c>
      <c r="B62" s="67"/>
      <c r="C62" s="67"/>
      <c r="D62" s="67"/>
      <c r="E62" s="67"/>
      <c r="F62" s="68"/>
    </row>
    <row r="63" spans="1:8" ht="15.75">
      <c r="A63" s="3" t="s">
        <v>730</v>
      </c>
      <c r="B63" s="15">
        <f>VLOOKUP($A$3,Data,9,FALSE)</f>
        <v>1486574.06</v>
      </c>
      <c r="E63" s="3" t="s">
        <v>731</v>
      </c>
      <c r="F63" s="15">
        <f>VLOOKUP($A$3,Data,8,FALSE)</f>
        <v>982239.4</v>
      </c>
    </row>
    <row r="64" spans="1:8" ht="15.75">
      <c r="A64" s="3" t="s">
        <v>820</v>
      </c>
      <c r="B64" s="15">
        <f>VLOOKUP($A$3,Data,4,FALSE)</f>
        <v>141627.10999999999</v>
      </c>
      <c r="E64" s="3" t="s">
        <v>820</v>
      </c>
      <c r="F64" s="15">
        <f>VLOOKUP($A$3,Data,5,FALSE)</f>
        <v>70098.31</v>
      </c>
    </row>
    <row r="65" spans="1:6" ht="15.75">
      <c r="A65" s="3" t="s">
        <v>732</v>
      </c>
      <c r="B65" s="15">
        <f>B15</f>
        <v>0</v>
      </c>
      <c r="E65" s="3" t="s">
        <v>733</v>
      </c>
      <c r="F65" s="15">
        <f>B16</f>
        <v>0</v>
      </c>
    </row>
    <row r="66" spans="1:6" ht="15.75">
      <c r="A66" s="3" t="s">
        <v>764</v>
      </c>
      <c r="B66" s="24">
        <f>VLOOKUP($A$3,Data,13,FALSE)</f>
        <v>2.3900000000000001E-2</v>
      </c>
      <c r="E66" s="3" t="s">
        <v>764</v>
      </c>
      <c r="F66" s="24">
        <f>VLOOKUP($A$3,Data,13,FALSE)</f>
        <v>2.3900000000000001E-2</v>
      </c>
    </row>
    <row r="67" spans="1:6" ht="15.75">
      <c r="A67" s="3" t="s">
        <v>317</v>
      </c>
      <c r="B67" s="15">
        <f>ROUND(B65*(1+B66),2)</f>
        <v>0</v>
      </c>
      <c r="E67" s="3" t="s">
        <v>317</v>
      </c>
      <c r="F67" s="15">
        <f>ROUND(F65*(1+F66),2)</f>
        <v>0</v>
      </c>
    </row>
    <row r="68" spans="1:6" ht="15.75">
      <c r="A68" s="3" t="s">
        <v>318</v>
      </c>
      <c r="B68" s="15">
        <f>MIN(B63,B67-B64)</f>
        <v>-141627.10999999999</v>
      </c>
      <c r="E68" s="3" t="s">
        <v>318</v>
      </c>
      <c r="F68" s="15">
        <f>MIN(F63,F67-F64)</f>
        <v>-70098.31</v>
      </c>
    </row>
    <row r="69" spans="1:6" ht="15.75">
      <c r="A69" s="20" t="s">
        <v>737</v>
      </c>
      <c r="B69" s="15"/>
      <c r="E69" s="20" t="s">
        <v>739</v>
      </c>
      <c r="F69" s="15"/>
    </row>
    <row r="70" spans="1:6" ht="15.75">
      <c r="A70" s="3" t="s">
        <v>320</v>
      </c>
      <c r="B70" s="25">
        <f>ROUND(IF((B63*0.1)&lt;(B63-B68),(B63*0.1),(B63-B68)),2)</f>
        <v>148657.41</v>
      </c>
      <c r="E70" s="3" t="s">
        <v>320</v>
      </c>
      <c r="F70" s="25">
        <f>ROUND(IF((F63*0.1)&lt;(F63-F68),(F63*0.1),(F63-F68)),2)</f>
        <v>98223.94</v>
      </c>
    </row>
    <row r="71" spans="1:6" ht="15.75">
      <c r="A71" s="20" t="s">
        <v>738</v>
      </c>
      <c r="B71" s="25">
        <f>(B63-B68-B70)*-1</f>
        <v>-1479543.76</v>
      </c>
      <c r="E71" s="20" t="s">
        <v>740</v>
      </c>
      <c r="F71" s="25">
        <f>(F63-F68-F70)*-1</f>
        <v>-954113.77</v>
      </c>
    </row>
    <row r="72" spans="1:6" ht="10.5" customHeight="1">
      <c r="A72" s="20"/>
      <c r="B72" s="21"/>
      <c r="E72" s="20"/>
      <c r="F72" s="21"/>
    </row>
    <row r="73" spans="1:6" ht="15.75">
      <c r="A73" s="44" t="s">
        <v>321</v>
      </c>
      <c r="B73" s="45"/>
      <c r="E73" s="44" t="s">
        <v>322</v>
      </c>
      <c r="F73" s="45"/>
    </row>
    <row r="74" spans="1:6" ht="15.75">
      <c r="A74" s="3" t="s">
        <v>339</v>
      </c>
      <c r="B74" s="15">
        <f>VLOOKUP($A$3,Data,10,FALSE)</f>
        <v>783007.63</v>
      </c>
      <c r="E74" s="3" t="s">
        <v>339</v>
      </c>
      <c r="F74" s="15">
        <f>VLOOKUP($A$3,Data,11,FALSE)</f>
        <v>95970.9</v>
      </c>
    </row>
    <row r="75" spans="1:6" ht="15.75">
      <c r="A75" s="3" t="s">
        <v>323</v>
      </c>
      <c r="B75" s="15">
        <f>B17</f>
        <v>0</v>
      </c>
      <c r="E75" s="3" t="s">
        <v>323</v>
      </c>
      <c r="F75" s="15">
        <f>B18</f>
        <v>0</v>
      </c>
    </row>
    <row r="76" spans="1:6" ht="15.75">
      <c r="A76" s="3" t="s">
        <v>748</v>
      </c>
      <c r="B76" s="24">
        <f>VLOOKUP($A$3,Data,14,FALSE)</f>
        <v>0.15</v>
      </c>
      <c r="E76" s="3" t="s">
        <v>748</v>
      </c>
      <c r="F76" s="24">
        <f>VLOOKUP($A$3,Data,14,FALSE)</f>
        <v>0.15</v>
      </c>
    </row>
    <row r="77" spans="1:6" ht="15.75">
      <c r="A77" s="3" t="s">
        <v>324</v>
      </c>
      <c r="B77" s="15">
        <f>ROUND(B75*(1+B76),2)</f>
        <v>0</v>
      </c>
      <c r="E77" s="3" t="s">
        <v>324</v>
      </c>
      <c r="F77" s="15">
        <f>ROUND(F75*(1+F76),2)</f>
        <v>0</v>
      </c>
    </row>
    <row r="78" spans="1:6" ht="15.75">
      <c r="A78" s="3" t="s">
        <v>325</v>
      </c>
      <c r="B78" s="15">
        <f>MIN(B74,B77)</f>
        <v>0</v>
      </c>
      <c r="E78" s="3" t="s">
        <v>325</v>
      </c>
      <c r="F78" s="15">
        <f>MIN(F74,F77)</f>
        <v>0</v>
      </c>
    </row>
    <row r="79" spans="1:6" ht="15.75">
      <c r="A79" s="20" t="s">
        <v>341</v>
      </c>
      <c r="B79" s="21">
        <f>(B74-B78)*-1</f>
        <v>-783007.63</v>
      </c>
      <c r="E79" s="20" t="s">
        <v>341</v>
      </c>
      <c r="F79" s="21">
        <f>(F74-F78)*-1</f>
        <v>-95970.9</v>
      </c>
    </row>
    <row r="80" spans="1:6" ht="10.5" customHeight="1">
      <c r="A80" s="20"/>
      <c r="B80" s="21"/>
      <c r="E80" s="20"/>
      <c r="F80" s="21"/>
    </row>
    <row r="81" spans="1:6" ht="15.75">
      <c r="A81" s="44" t="s">
        <v>330</v>
      </c>
      <c r="B81" s="45"/>
      <c r="E81" s="44" t="str">
        <f>IF(MID(B8,3,1)="8","STATE INSTITUTIONS PROGRAM 34","STATE INSTITUTIONS PROGRAM 56")</f>
        <v>STATE INSTITUTIONS PROGRAM 56</v>
      </c>
      <c r="F81" s="45"/>
    </row>
    <row r="82" spans="1:6" ht="15.75">
      <c r="A82" s="3" t="s">
        <v>339</v>
      </c>
      <c r="B82" s="15">
        <f>VLOOKUP($A$3,Data,21,FALSE)</f>
        <v>0</v>
      </c>
      <c r="E82" s="3" t="s">
        <v>339</v>
      </c>
      <c r="F82" s="15">
        <f>VLOOKUP($A$3,Data,18,FALSE)</f>
        <v>361819.24</v>
      </c>
    </row>
    <row r="83" spans="1:6" ht="15.75">
      <c r="A83" s="3" t="s">
        <v>315</v>
      </c>
      <c r="B83" s="15">
        <f>VLOOKUP($A$3,Data,22,FALSE)</f>
        <v>0</v>
      </c>
      <c r="E83" s="3" t="s">
        <v>315</v>
      </c>
      <c r="F83" s="15">
        <f>VLOOKUP($A$3,Data,19,FALSE)</f>
        <v>32336.140000000014</v>
      </c>
    </row>
    <row r="84" spans="1:6" ht="15.75">
      <c r="A84" s="3" t="s">
        <v>316</v>
      </c>
      <c r="B84" s="15">
        <f>B20</f>
        <v>0</v>
      </c>
      <c r="E84" s="3" t="s">
        <v>316</v>
      </c>
      <c r="F84" s="15">
        <f>B21</f>
        <v>0</v>
      </c>
    </row>
    <row r="85" spans="1:6" ht="15.75">
      <c r="A85" s="3" t="s">
        <v>327</v>
      </c>
      <c r="B85" s="15">
        <f>VLOOKUP($A$3,Data,23,FALSE)</f>
        <v>0</v>
      </c>
      <c r="E85" s="3" t="s">
        <v>327</v>
      </c>
      <c r="F85" s="15">
        <f>VLOOKUP($A$3,Data,20,FALSE)</f>
        <v>11206.17</v>
      </c>
    </row>
    <row r="86" spans="1:6" ht="15.75">
      <c r="A86" s="3" t="s">
        <v>328</v>
      </c>
      <c r="B86" s="15">
        <f>B84+B85</f>
        <v>0</v>
      </c>
      <c r="E86" s="3" t="s">
        <v>328</v>
      </c>
      <c r="F86" s="15">
        <f>F84+F85</f>
        <v>11206.17</v>
      </c>
    </row>
    <row r="87" spans="1:6" ht="15.75">
      <c r="A87" s="3" t="s">
        <v>318</v>
      </c>
      <c r="B87" s="15">
        <f>MIN(B82,B86-B83)</f>
        <v>0</v>
      </c>
      <c r="E87" s="3" t="s">
        <v>318</v>
      </c>
      <c r="F87" s="15">
        <f>MIN(F82,F86-F83)</f>
        <v>-21129.970000000016</v>
      </c>
    </row>
    <row r="88" spans="1:6" ht="15.75">
      <c r="A88" s="20" t="s">
        <v>319</v>
      </c>
      <c r="B88" s="15"/>
      <c r="E88" s="20" t="s">
        <v>319</v>
      </c>
      <c r="F88" s="15"/>
    </row>
    <row r="89" spans="1:6" ht="15.75">
      <c r="A89" s="3" t="s">
        <v>320</v>
      </c>
      <c r="B89" s="21">
        <f>ROUND(IF((B82*0.1)&lt;(B82-B87),(B82*0.1),(B82-B87)),2)</f>
        <v>0</v>
      </c>
      <c r="E89" s="3" t="s">
        <v>320</v>
      </c>
      <c r="F89" s="21">
        <f>ROUND(IF((F82*0.1)&lt;(F82-F87),(F82*0.1),(F82-F87)),2)</f>
        <v>36181.919999999998</v>
      </c>
    </row>
    <row r="90" spans="1:6" ht="15.75">
      <c r="A90" s="20" t="s">
        <v>329</v>
      </c>
      <c r="B90" s="21">
        <f>(B82-B87-B89)*-1</f>
        <v>0</v>
      </c>
      <c r="E90" s="20" t="s">
        <v>329</v>
      </c>
      <c r="F90" s="21">
        <f>(F82-F87-F89)*-1</f>
        <v>-346767.29000000004</v>
      </c>
    </row>
    <row r="91" spans="1:6" ht="10.5" customHeight="1">
      <c r="A91" s="20"/>
      <c r="B91" s="21"/>
      <c r="E91" s="20"/>
      <c r="F91" s="21"/>
    </row>
    <row r="92" spans="1:6" ht="15.75">
      <c r="A92" s="44" t="str">
        <f>IF(MID(B20,3,1)="8","STATE INSTITUTIONS PROGRAM 34","STATE INSTITUTIONS PROGRAM 59")</f>
        <v>STATE INSTITUTIONS PROGRAM 59</v>
      </c>
      <c r="B92" s="45"/>
      <c r="E92" s="44" t="s">
        <v>326</v>
      </c>
      <c r="F92" s="45"/>
    </row>
    <row r="93" spans="1:6" ht="15.75">
      <c r="A93" s="3" t="s">
        <v>339</v>
      </c>
      <c r="B93" s="15">
        <f>VLOOKUP($A$3,Data,15,FALSE)</f>
        <v>0</v>
      </c>
      <c r="E93" s="3" t="s">
        <v>339</v>
      </c>
      <c r="F93" s="15">
        <f>VLOOKUP($A$3,Data,12,FALSE)</f>
        <v>1817016.64</v>
      </c>
    </row>
    <row r="94" spans="1:6" ht="15.75">
      <c r="A94" s="3" t="s">
        <v>315</v>
      </c>
      <c r="B94" s="15">
        <f>VLOOKUP($A$3,Data,16,FALSE)</f>
        <v>0</v>
      </c>
      <c r="E94" s="3" t="s">
        <v>323</v>
      </c>
      <c r="F94" s="15">
        <f>B19</f>
        <v>0</v>
      </c>
    </row>
    <row r="95" spans="1:6" ht="15.75">
      <c r="A95" s="3" t="s">
        <v>316</v>
      </c>
      <c r="B95" s="15">
        <f>B22</f>
        <v>0</v>
      </c>
      <c r="E95" s="3" t="s">
        <v>787</v>
      </c>
      <c r="F95" s="24">
        <f>VLOOKUP($A$3,Data,14,FALSE)</f>
        <v>0.15</v>
      </c>
    </row>
    <row r="96" spans="1:6" ht="15.75">
      <c r="A96" s="3" t="s">
        <v>327</v>
      </c>
      <c r="B96" s="15">
        <f>VLOOKUP($A$3,Data,17,FALSE)</f>
        <v>0</v>
      </c>
      <c r="E96" s="3" t="s">
        <v>324</v>
      </c>
      <c r="F96" s="15">
        <f>ROUND(F94*(1+F95),2)</f>
        <v>0</v>
      </c>
    </row>
    <row r="97" spans="1:7" ht="15.75">
      <c r="A97" s="3" t="s">
        <v>328</v>
      </c>
      <c r="B97" s="15">
        <f>B95+B96</f>
        <v>0</v>
      </c>
      <c r="E97" s="3" t="s">
        <v>788</v>
      </c>
      <c r="F97" s="15">
        <f>B31</f>
        <v>0</v>
      </c>
    </row>
    <row r="98" spans="1:7" ht="15.75">
      <c r="A98" s="3" t="s">
        <v>318</v>
      </c>
      <c r="B98" s="15">
        <f>MIN(B93,B97-B94)</f>
        <v>0</v>
      </c>
      <c r="E98" s="3" t="s">
        <v>789</v>
      </c>
      <c r="F98" s="15">
        <f>F96-F97</f>
        <v>0</v>
      </c>
    </row>
    <row r="99" spans="1:7" ht="15.75">
      <c r="A99" s="20" t="s">
        <v>319</v>
      </c>
      <c r="B99" s="15"/>
      <c r="E99" s="3" t="s">
        <v>795</v>
      </c>
      <c r="F99" s="15">
        <f>IF(F93&gt;F98,F98,F93)</f>
        <v>0</v>
      </c>
    </row>
    <row r="100" spans="1:7" ht="15.75">
      <c r="A100" s="3" t="s">
        <v>320</v>
      </c>
      <c r="B100" s="21">
        <f>ROUND(IF((B93*0.1)&lt;(B93-B98),(B93*0.1),(B93-B98)),2)</f>
        <v>0</v>
      </c>
      <c r="E100" s="20" t="s">
        <v>796</v>
      </c>
      <c r="F100" s="21">
        <f>(F93-F99)*-1</f>
        <v>-1817016.64</v>
      </c>
      <c r="G100" s="47"/>
    </row>
    <row r="101" spans="1:7" ht="15.75">
      <c r="A101" s="20" t="s">
        <v>329</v>
      </c>
      <c r="B101" s="21">
        <f>(B93-B98-B100)*-1</f>
        <v>0</v>
      </c>
    </row>
    <row r="102" spans="1:7" ht="15.75">
      <c r="A102" s="20"/>
      <c r="B102" s="21"/>
    </row>
    <row r="103" spans="1:7" ht="15.75">
      <c r="A103" s="17" t="s">
        <v>368</v>
      </c>
    </row>
    <row r="104" spans="1:7">
      <c r="A104" s="63" t="s">
        <v>823</v>
      </c>
    </row>
    <row r="105" spans="1:7">
      <c r="A105" s="63" t="s">
        <v>824</v>
      </c>
    </row>
  </sheetData>
  <mergeCells count="2">
    <mergeCell ref="E10:F10"/>
    <mergeCell ref="A62:F62"/>
  </mergeCells>
  <phoneticPr fontId="11" type="noConversion"/>
  <dataValidations count="1">
    <dataValidation type="list" allowBlank="1" showInputMessage="1" showErrorMessage="1" sqref="B4" xr:uid="{00000000-0002-0000-0000-000000000000}">
      <formula1>DISNAME</formula1>
    </dataValidation>
  </dataValidations>
  <hyperlinks>
    <hyperlink ref="A104" r:id="rId1" xr:uid="{A8A532AE-6765-44FF-8A21-5A510C4EEC6F}"/>
    <hyperlink ref="A105" r:id="rId2" xr:uid="{7F3CF756-77C1-45C0-88F8-2BB7EC917F60}"/>
  </hyperlinks>
  <pageMargins left="0.5" right="0.5" top="0.5" bottom="0.5" header="0.5" footer="0.5"/>
  <pageSetup scale="63" fitToHeight="3" orientation="landscape" r:id="rId3"/>
  <headerFooter alignWithMargins="0">
    <oddFooter>Page &amp;P of &amp;N</oddFooter>
  </headerFooter>
  <rowBreaks count="1" manualBreakCount="1">
    <brk id="60" max="6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O341"/>
  <sheetViews>
    <sheetView zoomScaleNormal="100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RowHeight="12.75"/>
  <cols>
    <col min="1" max="1" width="18.7109375" customWidth="1"/>
    <col min="2" max="2" width="7.7109375" customWidth="1"/>
    <col min="3" max="3" width="44" customWidth="1"/>
    <col min="4" max="6" width="19.42578125" customWidth="1"/>
    <col min="7" max="7" width="14.7109375" customWidth="1"/>
    <col min="8" max="8" width="13" customWidth="1"/>
    <col min="9" max="9" width="12.7109375" customWidth="1"/>
    <col min="10" max="10" width="13.140625" customWidth="1"/>
    <col min="11" max="11" width="13.42578125" customWidth="1"/>
    <col min="12" max="12" width="12" customWidth="1"/>
    <col min="13" max="13" width="12.85546875" customWidth="1"/>
    <col min="14" max="14" width="13" customWidth="1"/>
    <col min="15" max="15" width="8.42578125" customWidth="1"/>
    <col min="16" max="16" width="12" bestFit="1" customWidth="1"/>
    <col min="17" max="17" width="14" bestFit="1" customWidth="1"/>
    <col min="18" max="18" width="13.5703125" bestFit="1" customWidth="1"/>
    <col min="19" max="19" width="13.42578125" bestFit="1" customWidth="1"/>
    <col min="20" max="20" width="19.5703125" bestFit="1" customWidth="1"/>
    <col min="21" max="21" width="14.140625" bestFit="1" customWidth="1"/>
    <col min="22" max="22" width="12.42578125" bestFit="1" customWidth="1"/>
    <col min="23" max="23" width="14.140625" bestFit="1" customWidth="1"/>
    <col min="24" max="24" width="12.140625" bestFit="1" customWidth="1"/>
    <col min="25" max="25" width="13.28515625" bestFit="1" customWidth="1"/>
    <col min="26" max="26" width="12.5703125" customWidth="1"/>
    <col min="27" max="27" width="12" bestFit="1" customWidth="1"/>
    <col min="28" max="28" width="13.140625" customWidth="1"/>
    <col min="29" max="29" width="13" bestFit="1" customWidth="1"/>
    <col min="30" max="30" width="12.28515625" bestFit="1" customWidth="1"/>
    <col min="31" max="31" width="15.28515625" customWidth="1"/>
    <col min="32" max="32" width="14.7109375" bestFit="1" customWidth="1"/>
    <col min="33" max="34" width="12.85546875" bestFit="1" customWidth="1"/>
    <col min="35" max="35" width="10.5703125" customWidth="1"/>
    <col min="36" max="36" width="15.140625" customWidth="1"/>
    <col min="37" max="38" width="15" bestFit="1" customWidth="1"/>
    <col min="39" max="39" width="14.5703125" bestFit="1" customWidth="1"/>
    <col min="40" max="41" width="11.28515625" bestFit="1" customWidth="1"/>
  </cols>
  <sheetData>
    <row r="1" spans="1:41">
      <c r="A1" s="28"/>
      <c r="B1" s="28">
        <v>1</v>
      </c>
      <c r="C1" s="28">
        <f>1+B1</f>
        <v>2</v>
      </c>
      <c r="D1" s="28">
        <f t="shared" ref="D1" si="0">1+C1</f>
        <v>3</v>
      </c>
      <c r="E1" s="28">
        <f t="shared" ref="E1" si="1">1+D1</f>
        <v>4</v>
      </c>
      <c r="F1" s="28">
        <f t="shared" ref="F1" si="2">1+E1</f>
        <v>5</v>
      </c>
      <c r="G1" s="28">
        <f t="shared" ref="G1" si="3">1+F1</f>
        <v>6</v>
      </c>
      <c r="H1" s="28">
        <f t="shared" ref="H1" si="4">1+G1</f>
        <v>7</v>
      </c>
      <c r="I1" s="28">
        <f t="shared" ref="I1" si="5">1+H1</f>
        <v>8</v>
      </c>
      <c r="J1" s="28">
        <f t="shared" ref="J1" si="6">1+I1</f>
        <v>9</v>
      </c>
      <c r="K1" s="28">
        <f t="shared" ref="K1" si="7">1+J1</f>
        <v>10</v>
      </c>
      <c r="L1" s="28">
        <f t="shared" ref="L1" si="8">1+K1</f>
        <v>11</v>
      </c>
      <c r="M1" s="28">
        <f t="shared" ref="M1" si="9">1+L1</f>
        <v>12</v>
      </c>
      <c r="N1" s="28">
        <f t="shared" ref="N1" si="10">1+M1</f>
        <v>13</v>
      </c>
      <c r="O1" s="28">
        <f t="shared" ref="O1" si="11">1+N1</f>
        <v>14</v>
      </c>
      <c r="P1" s="28">
        <f t="shared" ref="P1" si="12">1+O1</f>
        <v>15</v>
      </c>
      <c r="Q1" s="28">
        <f t="shared" ref="Q1" si="13">1+P1</f>
        <v>16</v>
      </c>
      <c r="R1" s="28">
        <f t="shared" ref="R1" si="14">1+Q1</f>
        <v>17</v>
      </c>
      <c r="S1" s="28">
        <f t="shared" ref="S1" si="15">1+R1</f>
        <v>18</v>
      </c>
      <c r="T1" s="28">
        <f t="shared" ref="T1" si="16">1+S1</f>
        <v>19</v>
      </c>
      <c r="U1" s="28">
        <f t="shared" ref="U1" si="17">1+T1</f>
        <v>20</v>
      </c>
      <c r="V1" s="28">
        <f t="shared" ref="V1" si="18">1+U1</f>
        <v>21</v>
      </c>
      <c r="W1" s="28">
        <f t="shared" ref="W1" si="19">1+V1</f>
        <v>22</v>
      </c>
      <c r="X1" s="28">
        <f t="shared" ref="X1" si="20">1+W1</f>
        <v>23</v>
      </c>
      <c r="Y1" s="28">
        <f t="shared" ref="Y1" si="21">1+X1</f>
        <v>24</v>
      </c>
      <c r="Z1" s="28">
        <f t="shared" ref="Z1" si="22">1+Y1</f>
        <v>25</v>
      </c>
      <c r="AA1" s="28">
        <f t="shared" ref="AA1" si="23">1+Z1</f>
        <v>26</v>
      </c>
      <c r="AB1" s="28">
        <f t="shared" ref="AB1" si="24">1+AA1</f>
        <v>27</v>
      </c>
      <c r="AC1" s="28">
        <f t="shared" ref="AC1" si="25">1+AB1</f>
        <v>28</v>
      </c>
      <c r="AD1" s="28">
        <f t="shared" ref="AD1" si="26">1+AC1</f>
        <v>29</v>
      </c>
      <c r="AE1" s="28">
        <f t="shared" ref="AE1" si="27">1+AD1</f>
        <v>30</v>
      </c>
      <c r="AF1" s="28">
        <f t="shared" ref="AF1" si="28">1+AE1</f>
        <v>31</v>
      </c>
      <c r="AG1" s="28">
        <f t="shared" ref="AG1" si="29">1+AF1</f>
        <v>32</v>
      </c>
      <c r="AH1" s="28">
        <f t="shared" ref="AH1" si="30">1+AG1</f>
        <v>33</v>
      </c>
      <c r="AI1" s="28">
        <f t="shared" ref="AI1" si="31">1+AH1</f>
        <v>34</v>
      </c>
      <c r="AJ1" s="28">
        <f t="shared" ref="AJ1" si="32">1+AI1</f>
        <v>35</v>
      </c>
      <c r="AK1" s="28">
        <f t="shared" ref="AK1" si="33">1+AJ1</f>
        <v>36</v>
      </c>
      <c r="AL1" s="28">
        <f t="shared" ref="AL1" si="34">1+AK1</f>
        <v>37</v>
      </c>
      <c r="AM1" s="28">
        <f t="shared" ref="AM1" si="35">1+AL1</f>
        <v>38</v>
      </c>
      <c r="AN1" s="28">
        <f t="shared" ref="AN1" si="36">1+AM1</f>
        <v>39</v>
      </c>
      <c r="AO1" s="28">
        <f t="shared" ref="AO1" si="37">1+AN1</f>
        <v>40</v>
      </c>
    </row>
    <row r="2" spans="1:41" s="3" customFormat="1">
      <c r="B2" s="51"/>
      <c r="C2" s="5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</row>
    <row r="3" spans="1:41" s="3" customFormat="1">
      <c r="D3" s="29" t="s">
        <v>404</v>
      </c>
      <c r="E3" s="30" t="s">
        <v>406</v>
      </c>
      <c r="F3" s="30" t="s">
        <v>745</v>
      </c>
      <c r="G3" s="31" t="s">
        <v>388</v>
      </c>
      <c r="I3" s="31" t="s">
        <v>726</v>
      </c>
      <c r="J3" s="31" t="s">
        <v>389</v>
      </c>
      <c r="K3" s="31" t="s">
        <v>390</v>
      </c>
      <c r="L3" s="31" t="s">
        <v>391</v>
      </c>
      <c r="M3" s="31" t="s">
        <v>785</v>
      </c>
      <c r="N3" s="30" t="s">
        <v>383</v>
      </c>
      <c r="O3" s="30" t="s">
        <v>382</v>
      </c>
      <c r="P3" s="30">
        <v>4159</v>
      </c>
      <c r="S3" s="32" t="s">
        <v>766</v>
      </c>
      <c r="V3" s="30">
        <v>4126</v>
      </c>
      <c r="Y3" s="30" t="s">
        <v>381</v>
      </c>
      <c r="Z3" s="30" t="s">
        <v>375</v>
      </c>
      <c r="AA3" s="30" t="s">
        <v>378</v>
      </c>
      <c r="AB3" s="30" t="s">
        <v>376</v>
      </c>
      <c r="AC3" s="30" t="s">
        <v>377</v>
      </c>
      <c r="AD3" s="30" t="s">
        <v>380</v>
      </c>
      <c r="AE3" s="30" t="s">
        <v>759</v>
      </c>
      <c r="AF3" s="46"/>
      <c r="AG3" s="46"/>
      <c r="AH3" s="46"/>
      <c r="AI3" s="30" t="s">
        <v>379</v>
      </c>
      <c r="AJ3" s="30" t="s">
        <v>760</v>
      </c>
      <c r="AK3" s="46"/>
      <c r="AL3" s="46"/>
      <c r="AM3" s="46"/>
      <c r="AN3" s="30" t="s">
        <v>385</v>
      </c>
      <c r="AO3" s="30" t="s">
        <v>386</v>
      </c>
    </row>
    <row r="4" spans="1:41" s="3" customFormat="1">
      <c r="A4" s="3">
        <f>COUNTA(DISNAME)</f>
        <v>330</v>
      </c>
      <c r="D4" s="31" t="s">
        <v>403</v>
      </c>
      <c r="E4" s="31" t="s">
        <v>405</v>
      </c>
      <c r="F4" s="31" t="s">
        <v>405</v>
      </c>
      <c r="G4" s="32" t="s">
        <v>392</v>
      </c>
      <c r="H4" s="30" t="s">
        <v>387</v>
      </c>
      <c r="I4" s="32" t="s">
        <v>727</v>
      </c>
      <c r="J4" s="32" t="s">
        <v>728</v>
      </c>
      <c r="K4" s="32" t="s">
        <v>393</v>
      </c>
      <c r="L4" s="32" t="s">
        <v>394</v>
      </c>
      <c r="M4" s="32" t="s">
        <v>786</v>
      </c>
      <c r="N4" s="3" t="s">
        <v>729</v>
      </c>
      <c r="O4" s="31" t="s">
        <v>6</v>
      </c>
      <c r="P4" s="31" t="s">
        <v>373</v>
      </c>
      <c r="Q4" s="31" t="s">
        <v>749</v>
      </c>
      <c r="R4" s="31" t="s">
        <v>7</v>
      </c>
      <c r="S4" s="31" t="s">
        <v>751</v>
      </c>
      <c r="T4" s="31" t="s">
        <v>749</v>
      </c>
      <c r="U4" s="31" t="s">
        <v>7</v>
      </c>
      <c r="V4" s="31" t="s">
        <v>8</v>
      </c>
      <c r="W4" s="31" t="s">
        <v>749</v>
      </c>
      <c r="X4" s="31" t="s">
        <v>7</v>
      </c>
      <c r="Y4" s="31" t="s">
        <v>9</v>
      </c>
      <c r="Z4" s="31" t="s">
        <v>401</v>
      </c>
      <c r="AA4" s="31" t="s">
        <v>397</v>
      </c>
      <c r="AB4" s="31" t="s">
        <v>398</v>
      </c>
      <c r="AC4" s="31" t="s">
        <v>396</v>
      </c>
      <c r="AD4" s="31" t="s">
        <v>399</v>
      </c>
      <c r="AE4" s="31" t="s">
        <v>753</v>
      </c>
      <c r="AF4" s="31" t="s">
        <v>755</v>
      </c>
      <c r="AG4" s="31" t="s">
        <v>757</v>
      </c>
      <c r="AH4" s="71" t="s">
        <v>400</v>
      </c>
      <c r="AI4" s="31" t="s">
        <v>401</v>
      </c>
      <c r="AJ4" s="31" t="s">
        <v>761</v>
      </c>
      <c r="AK4" s="31" t="s">
        <v>755</v>
      </c>
      <c r="AL4" s="31" t="s">
        <v>757</v>
      </c>
      <c r="AM4" s="71" t="s">
        <v>401</v>
      </c>
      <c r="AN4" s="3">
        <v>1400</v>
      </c>
      <c r="AO4" s="3">
        <v>5400</v>
      </c>
    </row>
    <row r="5" spans="1:41" s="3" customFormat="1">
      <c r="D5" s="33" t="s">
        <v>402</v>
      </c>
      <c r="E5" s="33" t="s">
        <v>744</v>
      </c>
      <c r="F5" s="33" t="s">
        <v>746</v>
      </c>
      <c r="G5" s="34" t="s">
        <v>1</v>
      </c>
      <c r="H5" s="31">
        <v>3121</v>
      </c>
      <c r="I5" s="34" t="s">
        <v>2</v>
      </c>
      <c r="J5" s="34" t="s">
        <v>2</v>
      </c>
      <c r="K5" s="34" t="s">
        <v>3</v>
      </c>
      <c r="L5" s="34" t="s">
        <v>4</v>
      </c>
      <c r="M5" s="34" t="s">
        <v>5</v>
      </c>
      <c r="N5" s="31" t="s">
        <v>384</v>
      </c>
      <c r="O5" s="31" t="s">
        <v>384</v>
      </c>
      <c r="Q5" s="31" t="s">
        <v>374</v>
      </c>
      <c r="R5" s="31" t="s">
        <v>374</v>
      </c>
      <c r="S5" s="31" t="s">
        <v>395</v>
      </c>
      <c r="T5" s="31" t="s">
        <v>750</v>
      </c>
      <c r="U5" s="31" t="s">
        <v>750</v>
      </c>
      <c r="W5" s="31" t="s">
        <v>752</v>
      </c>
      <c r="X5" s="31" t="s">
        <v>752</v>
      </c>
      <c r="Y5" s="31" t="s">
        <v>11</v>
      </c>
      <c r="Z5" s="31" t="s">
        <v>0</v>
      </c>
      <c r="AA5" s="31" t="s">
        <v>0</v>
      </c>
      <c r="AB5" s="31" t="s">
        <v>10</v>
      </c>
      <c r="AC5" s="31" t="s">
        <v>10</v>
      </c>
      <c r="AD5" s="34"/>
      <c r="AE5" s="34" t="s">
        <v>754</v>
      </c>
      <c r="AF5" s="34" t="s">
        <v>756</v>
      </c>
      <c r="AG5" s="34" t="s">
        <v>758</v>
      </c>
      <c r="AH5" s="34"/>
      <c r="AI5" s="31" t="s">
        <v>371</v>
      </c>
      <c r="AJ5" s="34" t="s">
        <v>754</v>
      </c>
      <c r="AK5" s="34" t="s">
        <v>756</v>
      </c>
      <c r="AL5" s="34" t="s">
        <v>758</v>
      </c>
      <c r="AM5" s="3" t="s">
        <v>372</v>
      </c>
    </row>
    <row r="6" spans="1:41" s="52" customFormat="1" ht="25.15" customHeight="1">
      <c r="A6" s="52" t="s">
        <v>713</v>
      </c>
      <c r="B6" s="52" t="s">
        <v>332</v>
      </c>
      <c r="C6" s="52" t="s">
        <v>331</v>
      </c>
      <c r="D6" s="53">
        <f t="shared" ref="D6:M6" si="38">SUM(D7:D336)</f>
        <v>1810379.17</v>
      </c>
      <c r="E6" s="53">
        <f t="shared" si="38"/>
        <v>19305019.550000001</v>
      </c>
      <c r="F6" s="53">
        <f t="shared" si="38"/>
        <v>7085620.5199999986</v>
      </c>
      <c r="G6" s="53">
        <f t="shared" si="38"/>
        <v>1943764729.3200004</v>
      </c>
      <c r="H6" s="53">
        <f t="shared" si="38"/>
        <v>360473650.48999995</v>
      </c>
      <c r="I6" s="53">
        <f t="shared" si="38"/>
        <v>162108689.08000007</v>
      </c>
      <c r="J6" s="53">
        <f t="shared" si="38"/>
        <v>377944587.33000016</v>
      </c>
      <c r="K6" s="53">
        <f t="shared" si="38"/>
        <v>292189430.26999992</v>
      </c>
      <c r="L6" s="53">
        <f t="shared" si="38"/>
        <v>34438688.55999998</v>
      </c>
      <c r="M6" s="53">
        <f t="shared" si="38"/>
        <v>780015309.89000022</v>
      </c>
      <c r="N6" s="62">
        <v>3.7100000000000001E-2</v>
      </c>
      <c r="O6" s="62">
        <v>0.14399999999999999</v>
      </c>
      <c r="P6" s="53">
        <f t="shared" ref="P6:AO6" si="39">SUM(P7:P336)</f>
        <v>178460.44</v>
      </c>
      <c r="Q6" s="53">
        <f t="shared" si="39"/>
        <v>36559.040000000001</v>
      </c>
      <c r="R6" s="53">
        <f t="shared" si="39"/>
        <v>6948.01</v>
      </c>
      <c r="S6" s="53">
        <f t="shared" si="39"/>
        <v>14450588.049999997</v>
      </c>
      <c r="T6" s="53">
        <f t="shared" si="39"/>
        <v>656469.57699999947</v>
      </c>
      <c r="U6" s="53">
        <f t="shared" si="39"/>
        <v>463136.98000000004</v>
      </c>
      <c r="V6" s="53">
        <f t="shared" si="39"/>
        <v>3770336.84</v>
      </c>
      <c r="W6" s="53">
        <f t="shared" si="39"/>
        <v>288389.02699999925</v>
      </c>
      <c r="X6" s="53">
        <f t="shared" si="39"/>
        <v>142223.72999999998</v>
      </c>
      <c r="Y6" s="53">
        <f t="shared" si="39"/>
        <v>0</v>
      </c>
      <c r="Z6" s="53">
        <f t="shared" si="39"/>
        <v>6150104.2799999975</v>
      </c>
      <c r="AA6" s="53">
        <f t="shared" si="39"/>
        <v>24128931.240000017</v>
      </c>
      <c r="AB6" s="53">
        <f t="shared" si="39"/>
        <v>143177461.3000001</v>
      </c>
      <c r="AC6" s="53">
        <f t="shared" si="39"/>
        <v>675932705.80000019</v>
      </c>
      <c r="AD6" s="54">
        <f t="shared" si="39"/>
        <v>64224.769999999931</v>
      </c>
      <c r="AE6" s="53">
        <f t="shared" si="39"/>
        <v>631888413.28999996</v>
      </c>
      <c r="AF6" s="53">
        <f t="shared" si="39"/>
        <v>2422311.4999999981</v>
      </c>
      <c r="AG6" s="53">
        <f t="shared" si="39"/>
        <v>2624097.1299999994</v>
      </c>
      <c r="AH6" s="53">
        <f t="shared" si="39"/>
        <v>201785.62999999986</v>
      </c>
      <c r="AI6" s="54">
        <f t="shared" si="39"/>
        <v>14196.039999999995</v>
      </c>
      <c r="AJ6" s="53">
        <f t="shared" si="39"/>
        <v>136237422.28999993</v>
      </c>
      <c r="AK6" s="72">
        <f t="shared" si="39"/>
        <v>1986330.6099999989</v>
      </c>
      <c r="AL6" s="72">
        <f t="shared" si="39"/>
        <v>2087718.08</v>
      </c>
      <c r="AM6" s="54">
        <f t="shared" si="39"/>
        <v>101387.47000000002</v>
      </c>
      <c r="AN6" s="54">
        <f t="shared" si="39"/>
        <v>283578.81</v>
      </c>
      <c r="AO6" s="54">
        <f t="shared" si="39"/>
        <v>645507.62</v>
      </c>
    </row>
    <row r="7" spans="1:41" s="3" customFormat="1">
      <c r="A7" s="55" t="s">
        <v>487</v>
      </c>
      <c r="B7" s="55" t="s">
        <v>80</v>
      </c>
      <c r="C7" s="55" t="s">
        <v>828</v>
      </c>
      <c r="D7" s="36">
        <v>0</v>
      </c>
      <c r="E7" s="36">
        <v>141627.10999999999</v>
      </c>
      <c r="F7" s="36">
        <v>70098.31</v>
      </c>
      <c r="G7" s="36">
        <v>5919521.5199999996</v>
      </c>
      <c r="H7" s="36">
        <v>1320800.28</v>
      </c>
      <c r="I7" s="36">
        <v>982239.4</v>
      </c>
      <c r="J7" s="36">
        <v>1486574.06</v>
      </c>
      <c r="K7" s="36">
        <v>783007.63</v>
      </c>
      <c r="L7" s="36">
        <v>95970.9</v>
      </c>
      <c r="M7" s="36">
        <v>1817016.64</v>
      </c>
      <c r="N7" s="49">
        <v>2.3900000000000001E-2</v>
      </c>
      <c r="O7" s="64">
        <v>0.15</v>
      </c>
      <c r="P7" s="36">
        <v>0</v>
      </c>
      <c r="Q7" s="36">
        <v>0</v>
      </c>
      <c r="R7" s="36">
        <v>0</v>
      </c>
      <c r="S7" s="36">
        <v>361819.24</v>
      </c>
      <c r="T7" s="36">
        <v>32336.140000000014</v>
      </c>
      <c r="U7" s="36">
        <v>11206.17</v>
      </c>
      <c r="V7" s="36">
        <v>0</v>
      </c>
      <c r="W7" s="36">
        <v>0</v>
      </c>
      <c r="X7" s="36">
        <v>0</v>
      </c>
      <c r="Y7" s="36">
        <v>0</v>
      </c>
      <c r="Z7" s="36">
        <v>86831.43</v>
      </c>
      <c r="AA7" s="36">
        <v>234222.92</v>
      </c>
      <c r="AB7" s="36">
        <v>1093594.0900000001</v>
      </c>
      <c r="AC7" s="36">
        <v>2611414.06</v>
      </c>
      <c r="AD7" s="37">
        <v>263.43</v>
      </c>
      <c r="AE7" s="36">
        <v>2440697.0299999998</v>
      </c>
      <c r="AF7" s="69">
        <f>IFERROR(ROUND(AE7/AD7,2),0)</f>
        <v>9265.07</v>
      </c>
      <c r="AG7" s="69">
        <f>IFERROR(ROUND(AC7/AD7,2),0)</f>
        <v>9913.1200000000008</v>
      </c>
      <c r="AH7" s="70">
        <f t="shared" ref="AH7:AH70" si="40">ROUND(AG7-AF7,2)</f>
        <v>648.04999999999995</v>
      </c>
      <c r="AI7" s="37">
        <v>114.53</v>
      </c>
      <c r="AJ7" s="36">
        <v>1040394.68</v>
      </c>
      <c r="AK7" s="69">
        <f>IFERROR(ROUND(AJ7/AI7,2),0)</f>
        <v>9084.0400000000009</v>
      </c>
      <c r="AL7" s="69">
        <f>IFERROR(ROUND(AB7/AI7,2),0)</f>
        <v>9548.5400000000009</v>
      </c>
      <c r="AM7" s="70">
        <f t="shared" ref="AM7:AM70" si="41">ROUND(AL7-AK7,2)</f>
        <v>464.5</v>
      </c>
      <c r="AN7" s="36">
        <v>4000</v>
      </c>
      <c r="AO7" s="36">
        <v>0</v>
      </c>
    </row>
    <row r="8" spans="1:41" s="3" customFormat="1">
      <c r="A8" s="55" t="s">
        <v>552</v>
      </c>
      <c r="B8" s="55" t="s">
        <v>145</v>
      </c>
      <c r="C8" s="55" t="s">
        <v>829</v>
      </c>
      <c r="D8" s="36">
        <v>0</v>
      </c>
      <c r="E8" s="36">
        <v>0</v>
      </c>
      <c r="F8" s="36">
        <v>0</v>
      </c>
      <c r="G8" s="36">
        <v>788415.58</v>
      </c>
      <c r="H8" s="36">
        <v>105340.73</v>
      </c>
      <c r="I8" s="36">
        <v>0</v>
      </c>
      <c r="J8" s="36">
        <v>123262.38</v>
      </c>
      <c r="K8" s="36">
        <v>0</v>
      </c>
      <c r="L8" s="36">
        <v>20058.150000000001</v>
      </c>
      <c r="M8" s="36">
        <v>434880.22</v>
      </c>
      <c r="N8" s="49">
        <v>4.4600000000000001E-2</v>
      </c>
      <c r="O8" s="64">
        <v>0.217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63062.8</v>
      </c>
      <c r="AB8" s="36">
        <v>93695.35</v>
      </c>
      <c r="AC8" s="36">
        <v>655939.1</v>
      </c>
      <c r="AD8" s="37">
        <v>65.92</v>
      </c>
      <c r="AE8" s="36">
        <v>622981</v>
      </c>
      <c r="AF8" s="69">
        <f t="shared" ref="AF8:AF71" si="42">IFERROR(ROUND(AE8/AD8,2),0)</f>
        <v>9450.56</v>
      </c>
      <c r="AG8" s="69">
        <f t="shared" ref="AG8:AG71" si="43">IFERROR(ROUND(AC8/AD8,2),0)</f>
        <v>9950.5300000000007</v>
      </c>
      <c r="AH8" s="70">
        <f t="shared" si="40"/>
        <v>499.97</v>
      </c>
      <c r="AI8" s="37">
        <v>9.6</v>
      </c>
      <c r="AJ8" s="36">
        <v>89051.17</v>
      </c>
      <c r="AK8" s="69">
        <f t="shared" ref="AK8:AK71" si="44">IFERROR(ROUND(AJ8/AI8,2),0)</f>
        <v>9276.16</v>
      </c>
      <c r="AL8" s="69">
        <f t="shared" ref="AL8:AL71" si="45">IFERROR(ROUND(AB8/AI8,2),0)</f>
        <v>9759.93</v>
      </c>
      <c r="AM8" s="70">
        <f t="shared" si="41"/>
        <v>483.77</v>
      </c>
      <c r="AN8" s="36">
        <v>0</v>
      </c>
      <c r="AO8" s="36">
        <v>0</v>
      </c>
    </row>
    <row r="9" spans="1:41" s="3" customFormat="1">
      <c r="A9" s="55" t="s">
        <v>563</v>
      </c>
      <c r="B9" s="55" t="s">
        <v>156</v>
      </c>
      <c r="C9" s="55" t="s">
        <v>830</v>
      </c>
      <c r="D9" s="36">
        <v>0</v>
      </c>
      <c r="E9" s="36">
        <v>0</v>
      </c>
      <c r="F9" s="36">
        <v>0</v>
      </c>
      <c r="G9" s="36">
        <v>128993.42</v>
      </c>
      <c r="H9" s="36">
        <v>15243.48</v>
      </c>
      <c r="I9" s="36">
        <v>0</v>
      </c>
      <c r="J9" s="36">
        <v>30263.279999999999</v>
      </c>
      <c r="K9" s="36">
        <v>0</v>
      </c>
      <c r="L9" s="36">
        <v>3386.86</v>
      </c>
      <c r="M9" s="36">
        <v>245687.11</v>
      </c>
      <c r="N9" s="49">
        <v>5.8900000000000001E-2</v>
      </c>
      <c r="O9" s="64">
        <v>0.20960000000000001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5017</v>
      </c>
      <c r="AB9" s="36">
        <v>1722.66</v>
      </c>
      <c r="AC9" s="36">
        <v>59330.04</v>
      </c>
      <c r="AD9" s="37">
        <v>5.88</v>
      </c>
      <c r="AE9" s="36">
        <v>54739.71</v>
      </c>
      <c r="AF9" s="69">
        <f t="shared" si="42"/>
        <v>9309.4699999999993</v>
      </c>
      <c r="AG9" s="69">
        <f t="shared" si="43"/>
        <v>10090.14</v>
      </c>
      <c r="AH9" s="70">
        <f t="shared" si="40"/>
        <v>780.67</v>
      </c>
      <c r="AI9" s="37">
        <v>0.17</v>
      </c>
      <c r="AJ9" s="36">
        <v>1555.42</v>
      </c>
      <c r="AK9" s="69">
        <f t="shared" si="44"/>
        <v>9149.5300000000007</v>
      </c>
      <c r="AL9" s="69">
        <f t="shared" si="45"/>
        <v>10133.290000000001</v>
      </c>
      <c r="AM9" s="70">
        <f t="shared" si="41"/>
        <v>983.76</v>
      </c>
      <c r="AN9" s="36">
        <v>0</v>
      </c>
      <c r="AO9" s="36">
        <v>0</v>
      </c>
    </row>
    <row r="10" spans="1:41" s="3" customFormat="1">
      <c r="A10" s="55" t="s">
        <v>614</v>
      </c>
      <c r="B10" s="55" t="s">
        <v>208</v>
      </c>
      <c r="C10" s="55" t="s">
        <v>831</v>
      </c>
      <c r="D10" s="36">
        <v>0</v>
      </c>
      <c r="E10" s="36">
        <v>0</v>
      </c>
      <c r="F10" s="36">
        <v>0</v>
      </c>
      <c r="G10" s="36">
        <v>4994003.6900000004</v>
      </c>
      <c r="H10" s="36">
        <v>676230.86</v>
      </c>
      <c r="I10" s="36">
        <v>19731.97</v>
      </c>
      <c r="J10" s="36">
        <v>606017.93000000005</v>
      </c>
      <c r="K10" s="36">
        <v>110463.61</v>
      </c>
      <c r="L10" s="36">
        <v>90150.399999999994</v>
      </c>
      <c r="M10" s="36">
        <v>1454307.1</v>
      </c>
      <c r="N10" s="49">
        <v>7.2800000000000004E-2</v>
      </c>
      <c r="O10" s="64">
        <v>0.192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13014.73</v>
      </c>
      <c r="AB10" s="36">
        <v>287400.96999999997</v>
      </c>
      <c r="AC10" s="36">
        <v>1120561.8799999999</v>
      </c>
      <c r="AD10" s="37">
        <v>101.51</v>
      </c>
      <c r="AE10" s="36">
        <v>1036981.41</v>
      </c>
      <c r="AF10" s="69">
        <f t="shared" si="42"/>
        <v>10215.56</v>
      </c>
      <c r="AG10" s="69">
        <f t="shared" si="43"/>
        <v>11038.93</v>
      </c>
      <c r="AH10" s="70">
        <f t="shared" si="40"/>
        <v>823.37</v>
      </c>
      <c r="AI10" s="37">
        <v>27.24</v>
      </c>
      <c r="AJ10" s="36">
        <v>273456.7</v>
      </c>
      <c r="AK10" s="69">
        <f t="shared" si="44"/>
        <v>10038.790000000001</v>
      </c>
      <c r="AL10" s="69">
        <f t="shared" si="45"/>
        <v>10550.7</v>
      </c>
      <c r="AM10" s="70">
        <f t="shared" si="41"/>
        <v>511.91</v>
      </c>
      <c r="AN10" s="36">
        <v>21000</v>
      </c>
      <c r="AO10" s="36">
        <v>0</v>
      </c>
    </row>
    <row r="11" spans="1:41" s="3" customFormat="1">
      <c r="A11" s="55" t="s">
        <v>626</v>
      </c>
      <c r="B11" s="55" t="s">
        <v>220</v>
      </c>
      <c r="C11" s="55" t="s">
        <v>832</v>
      </c>
      <c r="D11" s="36">
        <v>0</v>
      </c>
      <c r="E11" s="36">
        <v>39597.93</v>
      </c>
      <c r="F11" s="36">
        <v>1099.5</v>
      </c>
      <c r="G11" s="36">
        <v>12103296.66</v>
      </c>
      <c r="H11" s="36">
        <v>2053082.51</v>
      </c>
      <c r="I11" s="36">
        <v>22321.78</v>
      </c>
      <c r="J11" s="36">
        <v>1680793.31</v>
      </c>
      <c r="K11" s="36">
        <v>713886.19</v>
      </c>
      <c r="L11" s="36">
        <v>197319.63</v>
      </c>
      <c r="M11" s="36">
        <v>4421921.9400000004</v>
      </c>
      <c r="N11" s="49">
        <v>2.5100000000000001E-2</v>
      </c>
      <c r="O11" s="64">
        <v>0.1212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37772.519999999997</v>
      </c>
      <c r="AA11" s="36">
        <v>400572.26</v>
      </c>
      <c r="AB11" s="36">
        <v>385943.46</v>
      </c>
      <c r="AC11" s="36">
        <v>4063031.17</v>
      </c>
      <c r="AD11" s="37">
        <v>381.5</v>
      </c>
      <c r="AE11" s="36">
        <v>3897421.59</v>
      </c>
      <c r="AF11" s="69">
        <f t="shared" si="42"/>
        <v>10216.049999999999</v>
      </c>
      <c r="AG11" s="69">
        <f t="shared" si="43"/>
        <v>10650.15</v>
      </c>
      <c r="AH11" s="70">
        <f t="shared" si="40"/>
        <v>434.1</v>
      </c>
      <c r="AI11" s="37">
        <v>36.590000000000003</v>
      </c>
      <c r="AJ11" s="36">
        <v>367339.28</v>
      </c>
      <c r="AK11" s="69">
        <f t="shared" si="44"/>
        <v>10039.34</v>
      </c>
      <c r="AL11" s="69">
        <f t="shared" si="45"/>
        <v>10547.79</v>
      </c>
      <c r="AM11" s="70">
        <f t="shared" si="41"/>
        <v>508.45</v>
      </c>
      <c r="AN11" s="36">
        <v>0</v>
      </c>
      <c r="AO11" s="36">
        <v>0</v>
      </c>
    </row>
    <row r="12" spans="1:41" s="3" customFormat="1">
      <c r="A12" s="55" t="s">
        <v>425</v>
      </c>
      <c r="B12" s="55" t="s">
        <v>18</v>
      </c>
      <c r="C12" s="55" t="s">
        <v>833</v>
      </c>
      <c r="D12" s="36">
        <v>0</v>
      </c>
      <c r="E12" s="36">
        <v>0</v>
      </c>
      <c r="F12" s="36">
        <v>0</v>
      </c>
      <c r="G12" s="36">
        <v>1101389.56</v>
      </c>
      <c r="H12" s="36">
        <v>181402.15</v>
      </c>
      <c r="I12" s="36">
        <v>0</v>
      </c>
      <c r="J12" s="36">
        <v>151430.37</v>
      </c>
      <c r="K12" s="36">
        <v>0</v>
      </c>
      <c r="L12" s="36">
        <v>19389.14</v>
      </c>
      <c r="M12" s="36">
        <v>429258.95</v>
      </c>
      <c r="N12" s="49">
        <v>3.6299999999999999E-2</v>
      </c>
      <c r="O12" s="64">
        <v>0.17829999999999999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30889.89</v>
      </c>
      <c r="AC12" s="36">
        <v>472755.01</v>
      </c>
      <c r="AD12" s="37">
        <v>46.73</v>
      </c>
      <c r="AE12" s="36">
        <v>432861.53</v>
      </c>
      <c r="AF12" s="69">
        <f t="shared" si="42"/>
        <v>9263.0300000000007</v>
      </c>
      <c r="AG12" s="69">
        <f t="shared" si="43"/>
        <v>10116.73</v>
      </c>
      <c r="AH12" s="70">
        <f t="shared" si="40"/>
        <v>853.7</v>
      </c>
      <c r="AI12" s="37">
        <v>3.24</v>
      </c>
      <c r="AJ12" s="36">
        <v>29385.63</v>
      </c>
      <c r="AK12" s="69">
        <f t="shared" si="44"/>
        <v>9069.64</v>
      </c>
      <c r="AL12" s="69">
        <f t="shared" si="45"/>
        <v>9533.92</v>
      </c>
      <c r="AM12" s="70">
        <f t="shared" si="41"/>
        <v>464.28</v>
      </c>
      <c r="AN12" s="36">
        <v>0</v>
      </c>
      <c r="AO12" s="36">
        <v>0</v>
      </c>
    </row>
    <row r="13" spans="1:41" s="3" customFormat="1">
      <c r="A13" s="55" t="s">
        <v>519</v>
      </c>
      <c r="B13" s="55" t="s">
        <v>112</v>
      </c>
      <c r="C13" s="55" t="s">
        <v>834</v>
      </c>
      <c r="D13" s="36">
        <v>0</v>
      </c>
      <c r="E13" s="36">
        <v>0</v>
      </c>
      <c r="F13" s="36">
        <v>105231.89</v>
      </c>
      <c r="G13" s="36">
        <v>27567953.969999999</v>
      </c>
      <c r="H13" s="36">
        <v>4748542.1900000004</v>
      </c>
      <c r="I13" s="36">
        <v>4472926.3099999996</v>
      </c>
      <c r="J13" s="36">
        <v>7585785.5099999998</v>
      </c>
      <c r="K13" s="36">
        <v>10159889.939999999</v>
      </c>
      <c r="L13" s="36">
        <v>596262.62</v>
      </c>
      <c r="M13" s="36">
        <v>12417764.24</v>
      </c>
      <c r="N13" s="49">
        <v>3.9699999999999999E-2</v>
      </c>
      <c r="O13" s="64">
        <v>0.1363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143192.85999999999</v>
      </c>
      <c r="AA13" s="36">
        <v>501231.87</v>
      </c>
      <c r="AB13" s="36">
        <v>2232064.15</v>
      </c>
      <c r="AC13" s="36">
        <v>8793680.1699999999</v>
      </c>
      <c r="AD13" s="37">
        <v>797.24</v>
      </c>
      <c r="AE13" s="36">
        <v>7997553.9800000004</v>
      </c>
      <c r="AF13" s="69">
        <f t="shared" si="42"/>
        <v>10031.549999999999</v>
      </c>
      <c r="AG13" s="69">
        <f t="shared" si="43"/>
        <v>11030.15</v>
      </c>
      <c r="AH13" s="70">
        <f t="shared" si="40"/>
        <v>998.6</v>
      </c>
      <c r="AI13" s="37">
        <v>215.63</v>
      </c>
      <c r="AJ13" s="36">
        <v>2124401.7999999998</v>
      </c>
      <c r="AK13" s="69">
        <f t="shared" si="44"/>
        <v>9852.07</v>
      </c>
      <c r="AL13" s="69">
        <f t="shared" si="45"/>
        <v>10351.36</v>
      </c>
      <c r="AM13" s="70">
        <f t="shared" si="41"/>
        <v>499.29</v>
      </c>
      <c r="AN13" s="36">
        <v>0</v>
      </c>
      <c r="AO13" s="36">
        <v>0</v>
      </c>
    </row>
    <row r="14" spans="1:41" s="3" customFormat="1">
      <c r="A14" s="55" t="s">
        <v>528</v>
      </c>
      <c r="B14" s="55" t="s">
        <v>121</v>
      </c>
      <c r="C14" s="55" t="s">
        <v>835</v>
      </c>
      <c r="D14" s="36">
        <v>0</v>
      </c>
      <c r="E14" s="36">
        <v>0</v>
      </c>
      <c r="F14" s="36">
        <v>0</v>
      </c>
      <c r="G14" s="36">
        <v>5800558.1799999997</v>
      </c>
      <c r="H14" s="36">
        <v>832010.45</v>
      </c>
      <c r="I14" s="36">
        <v>0</v>
      </c>
      <c r="J14" s="36">
        <v>267847.45</v>
      </c>
      <c r="K14" s="36">
        <v>93296.59</v>
      </c>
      <c r="L14" s="36">
        <v>128185.06</v>
      </c>
      <c r="M14" s="36">
        <v>1787898.9</v>
      </c>
      <c r="N14" s="49">
        <v>3.4799999999999998E-2</v>
      </c>
      <c r="O14" s="64">
        <v>0.1807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646940.5</v>
      </c>
      <c r="AC14" s="36">
        <v>3365679.88</v>
      </c>
      <c r="AD14" s="37">
        <v>305.49</v>
      </c>
      <c r="AE14" s="36">
        <v>3237716.2</v>
      </c>
      <c r="AF14" s="69">
        <f t="shared" si="42"/>
        <v>10598.44</v>
      </c>
      <c r="AG14" s="69">
        <f t="shared" si="43"/>
        <v>11017.32</v>
      </c>
      <c r="AH14" s="70">
        <f t="shared" si="40"/>
        <v>418.88</v>
      </c>
      <c r="AI14" s="37">
        <v>59.07</v>
      </c>
      <c r="AJ14" s="36">
        <v>615657.43999999994</v>
      </c>
      <c r="AK14" s="69">
        <f t="shared" si="44"/>
        <v>10422.51</v>
      </c>
      <c r="AL14" s="69">
        <f t="shared" si="45"/>
        <v>10952.1</v>
      </c>
      <c r="AM14" s="70">
        <f t="shared" si="41"/>
        <v>529.59</v>
      </c>
      <c r="AN14" s="36">
        <v>0</v>
      </c>
      <c r="AO14" s="36">
        <v>0</v>
      </c>
    </row>
    <row r="15" spans="1:41" s="3" customFormat="1">
      <c r="A15" s="55" t="s">
        <v>451</v>
      </c>
      <c r="B15" s="55" t="s">
        <v>44</v>
      </c>
      <c r="C15" s="55" t="s">
        <v>836</v>
      </c>
      <c r="D15" s="36">
        <v>0</v>
      </c>
      <c r="E15" s="36">
        <v>309999.90000000002</v>
      </c>
      <c r="F15" s="36">
        <v>0</v>
      </c>
      <c r="G15" s="36">
        <v>22622378.609999999</v>
      </c>
      <c r="H15" s="36">
        <v>3723431.3</v>
      </c>
      <c r="I15" s="36">
        <v>359192.12</v>
      </c>
      <c r="J15" s="36">
        <v>3589214.43</v>
      </c>
      <c r="K15" s="36">
        <v>2681533.63</v>
      </c>
      <c r="L15" s="36">
        <v>423098.19</v>
      </c>
      <c r="M15" s="36">
        <v>14092421.310000001</v>
      </c>
      <c r="N15" s="49">
        <v>3.6900000000000002E-2</v>
      </c>
      <c r="O15" s="64">
        <v>0.14799999999999999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69812.25</v>
      </c>
      <c r="AA15" s="36">
        <v>800679.32</v>
      </c>
      <c r="AB15" s="36">
        <v>641801.13</v>
      </c>
      <c r="AC15" s="36">
        <v>10210659.91</v>
      </c>
      <c r="AD15" s="37">
        <v>1000.66</v>
      </c>
      <c r="AE15" s="36">
        <v>9839683.9900000002</v>
      </c>
      <c r="AF15" s="69">
        <f t="shared" si="42"/>
        <v>9833.19</v>
      </c>
      <c r="AG15" s="69">
        <f t="shared" si="43"/>
        <v>10203.93</v>
      </c>
      <c r="AH15" s="70">
        <f t="shared" si="40"/>
        <v>370.74</v>
      </c>
      <c r="AI15" s="37">
        <v>63.23</v>
      </c>
      <c r="AJ15" s="36">
        <v>610481.73</v>
      </c>
      <c r="AK15" s="69">
        <f t="shared" si="44"/>
        <v>9654.94</v>
      </c>
      <c r="AL15" s="69">
        <f t="shared" si="45"/>
        <v>10150.26</v>
      </c>
      <c r="AM15" s="70">
        <f t="shared" si="41"/>
        <v>495.32</v>
      </c>
      <c r="AN15" s="36">
        <v>0</v>
      </c>
      <c r="AO15" s="36">
        <v>0</v>
      </c>
    </row>
    <row r="16" spans="1:41" s="3" customFormat="1">
      <c r="A16" s="55" t="s">
        <v>516</v>
      </c>
      <c r="B16" s="55" t="s">
        <v>109</v>
      </c>
      <c r="C16" s="55" t="s">
        <v>837</v>
      </c>
      <c r="D16" s="36">
        <v>0</v>
      </c>
      <c r="E16" s="36">
        <v>220376.33</v>
      </c>
      <c r="F16" s="36">
        <v>0</v>
      </c>
      <c r="G16" s="36">
        <v>28024211.27</v>
      </c>
      <c r="H16" s="36">
        <v>4492962.29</v>
      </c>
      <c r="I16" s="36">
        <v>496127.2</v>
      </c>
      <c r="J16" s="36">
        <v>3221195.35</v>
      </c>
      <c r="K16" s="36">
        <v>8225943.9100000001</v>
      </c>
      <c r="L16" s="36">
        <v>704871.26</v>
      </c>
      <c r="M16" s="36">
        <v>7022065.9100000001</v>
      </c>
      <c r="N16" s="49">
        <v>2.3099999999999999E-2</v>
      </c>
      <c r="O16" s="64">
        <v>0.13059999999999999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169787.05</v>
      </c>
      <c r="AA16" s="36">
        <v>469462.95</v>
      </c>
      <c r="AB16" s="36">
        <v>2364952.46</v>
      </c>
      <c r="AC16" s="36">
        <v>9714432.5600000005</v>
      </c>
      <c r="AD16" s="37">
        <v>824.9</v>
      </c>
      <c r="AE16" s="36">
        <v>8590782.0700000003</v>
      </c>
      <c r="AF16" s="69">
        <f t="shared" si="42"/>
        <v>10414.33</v>
      </c>
      <c r="AG16" s="69">
        <f t="shared" si="43"/>
        <v>11776.5</v>
      </c>
      <c r="AH16" s="70">
        <f t="shared" si="40"/>
        <v>1362.17</v>
      </c>
      <c r="AI16" s="37">
        <v>219.93</v>
      </c>
      <c r="AJ16" s="36">
        <v>2251257.21</v>
      </c>
      <c r="AK16" s="69">
        <f t="shared" si="44"/>
        <v>10236.24</v>
      </c>
      <c r="AL16" s="69">
        <f t="shared" si="45"/>
        <v>10753.21</v>
      </c>
      <c r="AM16" s="70">
        <f t="shared" si="41"/>
        <v>516.97</v>
      </c>
      <c r="AN16" s="36">
        <v>0</v>
      </c>
      <c r="AO16" s="36">
        <v>0</v>
      </c>
    </row>
    <row r="17" spans="1:41" s="3" customFormat="1">
      <c r="A17" s="55" t="s">
        <v>675</v>
      </c>
      <c r="B17" s="55" t="s">
        <v>272</v>
      </c>
      <c r="C17" s="55" t="s">
        <v>838</v>
      </c>
      <c r="D17" s="36">
        <v>0</v>
      </c>
      <c r="E17" s="36">
        <v>126311.19</v>
      </c>
      <c r="F17" s="36">
        <v>0</v>
      </c>
      <c r="G17" s="36">
        <v>21645529.27</v>
      </c>
      <c r="H17" s="36">
        <v>3239405.89</v>
      </c>
      <c r="I17" s="36">
        <v>622868.92000000004</v>
      </c>
      <c r="J17" s="36">
        <v>3089844.63</v>
      </c>
      <c r="K17" s="36">
        <v>1924402.31</v>
      </c>
      <c r="L17" s="36">
        <v>355306.49</v>
      </c>
      <c r="M17" s="36">
        <v>6420310.1799999997</v>
      </c>
      <c r="N17" s="49">
        <v>2.6200000000000001E-2</v>
      </c>
      <c r="O17" s="64">
        <v>0.13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3095309.58</v>
      </c>
      <c r="AC17" s="36">
        <v>8954771.9299999997</v>
      </c>
      <c r="AD17" s="37">
        <v>862.64</v>
      </c>
      <c r="AE17" s="36">
        <v>8323492.4199999999</v>
      </c>
      <c r="AF17" s="69">
        <f t="shared" si="42"/>
        <v>9648.86</v>
      </c>
      <c r="AG17" s="69">
        <f t="shared" si="43"/>
        <v>10380.66</v>
      </c>
      <c r="AH17" s="70">
        <f t="shared" si="40"/>
        <v>731.8</v>
      </c>
      <c r="AI17" s="37">
        <v>311.06</v>
      </c>
      <c r="AJ17" s="36">
        <v>2945104.8</v>
      </c>
      <c r="AK17" s="69">
        <f t="shared" si="44"/>
        <v>9467.9599999999991</v>
      </c>
      <c r="AL17" s="69">
        <f t="shared" si="45"/>
        <v>9950.84</v>
      </c>
      <c r="AM17" s="70">
        <f t="shared" si="41"/>
        <v>482.88</v>
      </c>
      <c r="AN17" s="36">
        <v>0</v>
      </c>
      <c r="AO17" s="36">
        <v>0</v>
      </c>
    </row>
    <row r="18" spans="1:41" s="3" customFormat="1">
      <c r="A18" s="55" t="s">
        <v>420</v>
      </c>
      <c r="B18" s="55" t="s">
        <v>13</v>
      </c>
      <c r="C18" s="55" t="s">
        <v>839</v>
      </c>
      <c r="D18" s="36">
        <v>0</v>
      </c>
      <c r="E18" s="36">
        <v>0</v>
      </c>
      <c r="F18" s="36">
        <v>0</v>
      </c>
      <c r="G18" s="36">
        <v>8831.43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90751.74</v>
      </c>
      <c r="N18" s="49">
        <v>7.0900000000000005E-2</v>
      </c>
      <c r="O18" s="64">
        <v>0.3574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7">
        <v>0</v>
      </c>
      <c r="AE18" s="36">
        <v>0</v>
      </c>
      <c r="AF18" s="69">
        <f t="shared" si="42"/>
        <v>0</v>
      </c>
      <c r="AG18" s="69">
        <f t="shared" si="43"/>
        <v>0</v>
      </c>
      <c r="AH18" s="70">
        <f t="shared" si="40"/>
        <v>0</v>
      </c>
      <c r="AI18" s="37">
        <v>0</v>
      </c>
      <c r="AJ18" s="36">
        <v>0</v>
      </c>
      <c r="AK18" s="69">
        <f t="shared" si="44"/>
        <v>0</v>
      </c>
      <c r="AL18" s="69">
        <f t="shared" si="45"/>
        <v>0</v>
      </c>
      <c r="AM18" s="70">
        <f t="shared" si="41"/>
        <v>0</v>
      </c>
      <c r="AN18" s="36">
        <v>0</v>
      </c>
      <c r="AO18" s="36">
        <v>0</v>
      </c>
    </row>
    <row r="19" spans="1:41" s="3" customFormat="1">
      <c r="A19" s="55" t="s">
        <v>603</v>
      </c>
      <c r="B19" s="55" t="s">
        <v>197</v>
      </c>
      <c r="C19" s="55" t="s">
        <v>840</v>
      </c>
      <c r="D19" s="36">
        <v>0</v>
      </c>
      <c r="E19" s="36">
        <v>280973.81</v>
      </c>
      <c r="F19" s="36">
        <v>191845.9</v>
      </c>
      <c r="G19" s="36">
        <v>36975636.090000004</v>
      </c>
      <c r="H19" s="36">
        <v>8406050.1400000006</v>
      </c>
      <c r="I19" s="36">
        <v>3343732.65</v>
      </c>
      <c r="J19" s="36">
        <v>7722503.4299999997</v>
      </c>
      <c r="K19" s="36">
        <v>3135327.73</v>
      </c>
      <c r="L19" s="36">
        <v>676768.85</v>
      </c>
      <c r="M19" s="36">
        <v>19298393.300000001</v>
      </c>
      <c r="N19" s="49">
        <v>3.56E-2</v>
      </c>
      <c r="O19" s="64">
        <v>0.15029999999999999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351951.96</v>
      </c>
      <c r="AB19" s="36">
        <v>2614686.92</v>
      </c>
      <c r="AC19" s="36">
        <v>10560163.539999999</v>
      </c>
      <c r="AD19" s="37">
        <v>1025.7</v>
      </c>
      <c r="AE19" s="36">
        <v>9896757.9800000004</v>
      </c>
      <c r="AF19" s="69">
        <f t="shared" si="42"/>
        <v>9648.7800000000007</v>
      </c>
      <c r="AG19" s="69">
        <f t="shared" si="43"/>
        <v>10295.57</v>
      </c>
      <c r="AH19" s="70">
        <f t="shared" si="40"/>
        <v>646.79</v>
      </c>
      <c r="AI19" s="37">
        <v>262.77</v>
      </c>
      <c r="AJ19" s="36">
        <v>2487924.31</v>
      </c>
      <c r="AK19" s="69">
        <f t="shared" si="44"/>
        <v>9468.07</v>
      </c>
      <c r="AL19" s="69">
        <f t="shared" si="45"/>
        <v>9950.48</v>
      </c>
      <c r="AM19" s="70">
        <f t="shared" si="41"/>
        <v>482.41</v>
      </c>
      <c r="AN19" s="36">
        <v>0</v>
      </c>
      <c r="AO19" s="36">
        <v>0</v>
      </c>
    </row>
    <row r="20" spans="1:41" s="3" customFormat="1">
      <c r="A20" s="55" t="s">
        <v>539</v>
      </c>
      <c r="B20" s="55" t="s">
        <v>132</v>
      </c>
      <c r="C20" s="55" t="s">
        <v>841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2924.61</v>
      </c>
      <c r="M20" s="36">
        <v>234433.37</v>
      </c>
      <c r="N20" s="49">
        <v>2.5499999999999998E-2</v>
      </c>
      <c r="O20" s="64">
        <v>0.29859999999999998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6396.19</v>
      </c>
      <c r="AD20" s="37">
        <v>0</v>
      </c>
      <c r="AE20" s="36">
        <v>0</v>
      </c>
      <c r="AF20" s="69">
        <f t="shared" si="42"/>
        <v>0</v>
      </c>
      <c r="AG20" s="69">
        <f t="shared" si="43"/>
        <v>0</v>
      </c>
      <c r="AH20" s="70">
        <f t="shared" si="40"/>
        <v>0</v>
      </c>
      <c r="AI20" s="37">
        <v>0</v>
      </c>
      <c r="AJ20" s="36">
        <v>0</v>
      </c>
      <c r="AK20" s="69">
        <f t="shared" si="44"/>
        <v>0</v>
      </c>
      <c r="AL20" s="69">
        <f t="shared" si="45"/>
        <v>0</v>
      </c>
      <c r="AM20" s="70">
        <f t="shared" si="41"/>
        <v>0</v>
      </c>
      <c r="AN20" s="36">
        <v>0</v>
      </c>
      <c r="AO20" s="36">
        <v>0</v>
      </c>
    </row>
    <row r="21" spans="1:41" s="3" customFormat="1">
      <c r="A21" s="55" t="s">
        <v>677</v>
      </c>
      <c r="B21" s="55" t="s">
        <v>274</v>
      </c>
      <c r="C21" s="55" t="s">
        <v>842</v>
      </c>
      <c r="D21" s="36">
        <v>0</v>
      </c>
      <c r="E21" s="36">
        <v>919.27</v>
      </c>
      <c r="F21" s="36">
        <v>0</v>
      </c>
      <c r="G21" s="36">
        <v>4043021.03</v>
      </c>
      <c r="H21" s="36">
        <v>529506.88</v>
      </c>
      <c r="I21" s="36">
        <v>328542.21000000002</v>
      </c>
      <c r="J21" s="36">
        <v>739400.74</v>
      </c>
      <c r="K21" s="36">
        <v>200009.38</v>
      </c>
      <c r="L21" s="36">
        <v>66769.039999999994</v>
      </c>
      <c r="M21" s="36">
        <v>1582228.76</v>
      </c>
      <c r="N21" s="49">
        <v>4.2200000000000001E-2</v>
      </c>
      <c r="O21" s="64">
        <v>0.18079999999999999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14189.17</v>
      </c>
      <c r="AA21" s="36">
        <v>0</v>
      </c>
      <c r="AB21" s="36">
        <v>64930.44</v>
      </c>
      <c r="AC21" s="36">
        <v>1049644.3500000001</v>
      </c>
      <c r="AD21" s="37">
        <v>92.31</v>
      </c>
      <c r="AE21" s="36">
        <v>930253.91</v>
      </c>
      <c r="AF21" s="69">
        <f t="shared" si="42"/>
        <v>10077.5</v>
      </c>
      <c r="AG21" s="69">
        <f t="shared" si="43"/>
        <v>11370.86</v>
      </c>
      <c r="AH21" s="70">
        <f t="shared" si="40"/>
        <v>1293.3599999999999</v>
      </c>
      <c r="AI21" s="37">
        <v>6.25</v>
      </c>
      <c r="AJ21" s="36">
        <v>62086.36</v>
      </c>
      <c r="AK21" s="69">
        <f t="shared" si="44"/>
        <v>9933.82</v>
      </c>
      <c r="AL21" s="69">
        <f t="shared" si="45"/>
        <v>10388.870000000001</v>
      </c>
      <c r="AM21" s="70">
        <f t="shared" si="41"/>
        <v>455.05</v>
      </c>
      <c r="AN21" s="36">
        <v>0</v>
      </c>
      <c r="AO21" s="36">
        <v>0</v>
      </c>
    </row>
    <row r="22" spans="1:41" s="3" customFormat="1">
      <c r="A22" s="55" t="s">
        <v>554</v>
      </c>
      <c r="B22" s="55" t="s">
        <v>147</v>
      </c>
      <c r="C22" s="55" t="s">
        <v>843</v>
      </c>
      <c r="D22" s="36">
        <v>0</v>
      </c>
      <c r="E22" s="36">
        <v>0</v>
      </c>
      <c r="F22" s="36">
        <v>0</v>
      </c>
      <c r="G22" s="36">
        <v>414980.7</v>
      </c>
      <c r="H22" s="36">
        <v>56331.32</v>
      </c>
      <c r="I22" s="36">
        <v>26538.23</v>
      </c>
      <c r="J22" s="36">
        <v>119584.53</v>
      </c>
      <c r="K22" s="36">
        <v>0</v>
      </c>
      <c r="L22" s="36">
        <v>8773.8700000000008</v>
      </c>
      <c r="M22" s="36">
        <v>236398.4</v>
      </c>
      <c r="N22" s="49">
        <v>9.6699999999999994E-2</v>
      </c>
      <c r="O22" s="64">
        <v>0.2445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942.75</v>
      </c>
      <c r="AA22" s="36">
        <v>0</v>
      </c>
      <c r="AB22" s="36">
        <v>12592.24</v>
      </c>
      <c r="AC22" s="36">
        <v>0</v>
      </c>
      <c r="AD22" s="37">
        <v>0</v>
      </c>
      <c r="AE22" s="36">
        <v>0</v>
      </c>
      <c r="AF22" s="69">
        <f t="shared" si="42"/>
        <v>0</v>
      </c>
      <c r="AG22" s="69">
        <f t="shared" si="43"/>
        <v>0</v>
      </c>
      <c r="AH22" s="70">
        <f t="shared" si="40"/>
        <v>0</v>
      </c>
      <c r="AI22" s="37">
        <v>1.32</v>
      </c>
      <c r="AJ22" s="36">
        <v>12084.35</v>
      </c>
      <c r="AK22" s="69">
        <f t="shared" si="44"/>
        <v>9154.81</v>
      </c>
      <c r="AL22" s="69">
        <f t="shared" si="45"/>
        <v>9539.58</v>
      </c>
      <c r="AM22" s="70">
        <f t="shared" si="41"/>
        <v>384.77</v>
      </c>
      <c r="AN22" s="36">
        <v>0</v>
      </c>
      <c r="AO22" s="36">
        <v>0</v>
      </c>
    </row>
    <row r="23" spans="1:41" s="3" customFormat="1">
      <c r="A23" s="55" t="s">
        <v>527</v>
      </c>
      <c r="B23" s="55" t="s">
        <v>120</v>
      </c>
      <c r="C23" s="55" t="s">
        <v>844</v>
      </c>
      <c r="D23" s="36">
        <v>0</v>
      </c>
      <c r="E23" s="36">
        <v>195966.54</v>
      </c>
      <c r="F23" s="36">
        <v>25678.21</v>
      </c>
      <c r="G23" s="36">
        <v>9735865.6099999994</v>
      </c>
      <c r="H23" s="36">
        <v>1973026.65</v>
      </c>
      <c r="I23" s="36">
        <v>1401728.38</v>
      </c>
      <c r="J23" s="36">
        <v>2241087.44</v>
      </c>
      <c r="K23" s="36">
        <v>1205068.29</v>
      </c>
      <c r="L23" s="36">
        <v>161285.18</v>
      </c>
      <c r="M23" s="36">
        <v>2747446.06</v>
      </c>
      <c r="N23" s="49">
        <v>4.2799999999999998E-2</v>
      </c>
      <c r="O23" s="64">
        <v>0.14369999999999999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84241.27</v>
      </c>
      <c r="AA23" s="36">
        <v>126777.08</v>
      </c>
      <c r="AB23" s="36">
        <v>1016419.18</v>
      </c>
      <c r="AC23" s="36">
        <v>3411053.77</v>
      </c>
      <c r="AD23" s="37">
        <v>311.23</v>
      </c>
      <c r="AE23" s="36">
        <v>3241206.33</v>
      </c>
      <c r="AF23" s="69">
        <f t="shared" si="42"/>
        <v>10414.18</v>
      </c>
      <c r="AG23" s="69">
        <f t="shared" si="43"/>
        <v>10959.91</v>
      </c>
      <c r="AH23" s="70">
        <f t="shared" si="40"/>
        <v>545.73</v>
      </c>
      <c r="AI23" s="37">
        <v>94.53</v>
      </c>
      <c r="AJ23" s="36">
        <v>967565.93</v>
      </c>
      <c r="AK23" s="69">
        <f t="shared" si="44"/>
        <v>10235.540000000001</v>
      </c>
      <c r="AL23" s="69">
        <f t="shared" si="45"/>
        <v>10752.35</v>
      </c>
      <c r="AM23" s="70">
        <f t="shared" si="41"/>
        <v>516.80999999999995</v>
      </c>
      <c r="AN23" s="36">
        <v>0</v>
      </c>
      <c r="AO23" s="36">
        <v>0</v>
      </c>
    </row>
    <row r="24" spans="1:41" s="3" customFormat="1">
      <c r="A24" s="55" t="s">
        <v>579</v>
      </c>
      <c r="B24" s="55" t="s">
        <v>172</v>
      </c>
      <c r="C24" s="55" t="s">
        <v>845</v>
      </c>
      <c r="D24" s="36">
        <v>0</v>
      </c>
      <c r="E24" s="36">
        <v>44800.800000000003</v>
      </c>
      <c r="F24" s="36">
        <v>26025.5</v>
      </c>
      <c r="G24" s="36">
        <v>1335674.3999999999</v>
      </c>
      <c r="H24" s="36">
        <v>205498.57</v>
      </c>
      <c r="I24" s="36">
        <v>315317.46999999997</v>
      </c>
      <c r="J24" s="36">
        <v>663997.29</v>
      </c>
      <c r="K24" s="36">
        <v>661888.78</v>
      </c>
      <c r="L24" s="36">
        <v>29571.18</v>
      </c>
      <c r="M24" s="36">
        <v>291648.61</v>
      </c>
      <c r="N24" s="49">
        <v>6.3500000000000001E-2</v>
      </c>
      <c r="O24" s="64">
        <v>0.20430000000000001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47374.43</v>
      </c>
      <c r="AB24" s="36">
        <v>151173.29</v>
      </c>
      <c r="AC24" s="36">
        <v>820597.02</v>
      </c>
      <c r="AD24" s="37">
        <v>81.99</v>
      </c>
      <c r="AE24" s="36">
        <v>759625.39</v>
      </c>
      <c r="AF24" s="69">
        <f t="shared" si="42"/>
        <v>9264.85</v>
      </c>
      <c r="AG24" s="69">
        <f t="shared" si="43"/>
        <v>10008.5</v>
      </c>
      <c r="AH24" s="70">
        <f t="shared" si="40"/>
        <v>743.65</v>
      </c>
      <c r="AI24" s="37">
        <v>15.83</v>
      </c>
      <c r="AJ24" s="36">
        <v>143869.38</v>
      </c>
      <c r="AK24" s="69">
        <f t="shared" si="44"/>
        <v>9088.4</v>
      </c>
      <c r="AL24" s="69">
        <f t="shared" si="45"/>
        <v>9549.7999999999993</v>
      </c>
      <c r="AM24" s="70">
        <f t="shared" si="41"/>
        <v>461.4</v>
      </c>
      <c r="AN24" s="36">
        <v>0</v>
      </c>
      <c r="AO24" s="36">
        <v>0</v>
      </c>
    </row>
    <row r="25" spans="1:41" s="3" customFormat="1">
      <c r="A25" s="55" t="s">
        <v>462</v>
      </c>
      <c r="B25" s="55" t="s">
        <v>55</v>
      </c>
      <c r="C25" s="55" t="s">
        <v>846</v>
      </c>
      <c r="D25" s="36">
        <v>0</v>
      </c>
      <c r="E25" s="36">
        <v>42959.91</v>
      </c>
      <c r="F25" s="36">
        <v>15405.15</v>
      </c>
      <c r="G25" s="36">
        <v>1056913.08</v>
      </c>
      <c r="H25" s="36">
        <v>113494.3</v>
      </c>
      <c r="I25" s="36">
        <v>234186.32</v>
      </c>
      <c r="J25" s="36">
        <v>462631.72</v>
      </c>
      <c r="K25" s="36">
        <v>697925.91</v>
      </c>
      <c r="L25" s="36">
        <v>22638.73</v>
      </c>
      <c r="M25" s="36">
        <v>213202.61</v>
      </c>
      <c r="N25" s="49">
        <v>3.7499999999999999E-2</v>
      </c>
      <c r="O25" s="64">
        <v>0.1817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3764.52</v>
      </c>
      <c r="AA25" s="36">
        <v>0</v>
      </c>
      <c r="AB25" s="36">
        <v>55699.839999999997</v>
      </c>
      <c r="AC25" s="36">
        <v>299840.73</v>
      </c>
      <c r="AD25" s="37">
        <v>31.39</v>
      </c>
      <c r="AE25" s="36">
        <v>290868.63</v>
      </c>
      <c r="AF25" s="69">
        <f t="shared" si="42"/>
        <v>9266.2800000000007</v>
      </c>
      <c r="AG25" s="69">
        <f t="shared" si="43"/>
        <v>9552.11</v>
      </c>
      <c r="AH25" s="70">
        <f t="shared" si="40"/>
        <v>285.83</v>
      </c>
      <c r="AI25" s="37">
        <v>5.82</v>
      </c>
      <c r="AJ25" s="36">
        <v>52870.55</v>
      </c>
      <c r="AK25" s="69">
        <f t="shared" si="44"/>
        <v>9084.2900000000009</v>
      </c>
      <c r="AL25" s="69">
        <f t="shared" si="45"/>
        <v>9570.42</v>
      </c>
      <c r="AM25" s="70">
        <f t="shared" si="41"/>
        <v>486.13</v>
      </c>
      <c r="AN25" s="36">
        <v>0</v>
      </c>
      <c r="AO25" s="36">
        <v>0</v>
      </c>
    </row>
    <row r="26" spans="1:41" s="3" customFormat="1">
      <c r="A26" s="55" t="s">
        <v>504</v>
      </c>
      <c r="B26" s="55" t="s">
        <v>97</v>
      </c>
      <c r="C26" s="55" t="s">
        <v>847</v>
      </c>
      <c r="D26" s="36">
        <v>0</v>
      </c>
      <c r="E26" s="36">
        <v>0</v>
      </c>
      <c r="F26" s="36">
        <v>0</v>
      </c>
      <c r="G26" s="36">
        <v>103937.39</v>
      </c>
      <c r="H26" s="36">
        <v>5122.8900000000003</v>
      </c>
      <c r="I26" s="36">
        <v>23288.65</v>
      </c>
      <c r="J26" s="36">
        <v>38669.980000000003</v>
      </c>
      <c r="K26" s="36">
        <v>0</v>
      </c>
      <c r="L26" s="36">
        <v>0</v>
      </c>
      <c r="M26" s="36">
        <v>146357.12</v>
      </c>
      <c r="N26" s="49">
        <v>0.14630000000000001</v>
      </c>
      <c r="O26" s="64">
        <v>0.37930000000000003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37">
        <v>0</v>
      </c>
      <c r="AE26" s="36">
        <v>0</v>
      </c>
      <c r="AF26" s="69">
        <f t="shared" si="42"/>
        <v>0</v>
      </c>
      <c r="AG26" s="69">
        <f t="shared" si="43"/>
        <v>0</v>
      </c>
      <c r="AH26" s="70">
        <f t="shared" si="40"/>
        <v>0</v>
      </c>
      <c r="AI26" s="37">
        <v>0</v>
      </c>
      <c r="AJ26" s="36">
        <v>0</v>
      </c>
      <c r="AK26" s="69">
        <f t="shared" si="44"/>
        <v>0</v>
      </c>
      <c r="AL26" s="69">
        <f t="shared" si="45"/>
        <v>0</v>
      </c>
      <c r="AM26" s="70">
        <f t="shared" si="41"/>
        <v>0</v>
      </c>
      <c r="AN26" s="36">
        <v>0</v>
      </c>
      <c r="AO26" s="36">
        <v>0</v>
      </c>
    </row>
    <row r="27" spans="1:41" s="3" customFormat="1">
      <c r="A27" s="55" t="s">
        <v>612</v>
      </c>
      <c r="B27" s="55" t="s">
        <v>206</v>
      </c>
      <c r="C27" s="55" t="s">
        <v>848</v>
      </c>
      <c r="D27" s="36">
        <v>0</v>
      </c>
      <c r="E27" s="36">
        <v>132450.14000000001</v>
      </c>
      <c r="F27" s="36">
        <v>0</v>
      </c>
      <c r="G27" s="36">
        <v>6898809.1500000004</v>
      </c>
      <c r="H27" s="36">
        <v>1101910.3600000001</v>
      </c>
      <c r="I27" s="36">
        <v>861746.58</v>
      </c>
      <c r="J27" s="36">
        <v>1431580.38</v>
      </c>
      <c r="K27" s="36">
        <v>1467488.65</v>
      </c>
      <c r="L27" s="36">
        <v>109183.28</v>
      </c>
      <c r="M27" s="36">
        <v>2788672.13</v>
      </c>
      <c r="N27" s="49">
        <v>3.0300000000000001E-2</v>
      </c>
      <c r="O27" s="64">
        <v>0.12570000000000001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45423.44</v>
      </c>
      <c r="AA27" s="36">
        <v>0</v>
      </c>
      <c r="AB27" s="36">
        <v>669721.57999999996</v>
      </c>
      <c r="AC27" s="36">
        <v>2954902.18</v>
      </c>
      <c r="AD27" s="37">
        <v>280.38</v>
      </c>
      <c r="AE27" s="36">
        <v>2812592.12</v>
      </c>
      <c r="AF27" s="69">
        <f t="shared" si="42"/>
        <v>10031.36</v>
      </c>
      <c r="AG27" s="69">
        <f t="shared" si="43"/>
        <v>10538.92</v>
      </c>
      <c r="AH27" s="70">
        <f t="shared" si="40"/>
        <v>507.56</v>
      </c>
      <c r="AI27" s="37">
        <v>64.69</v>
      </c>
      <c r="AJ27" s="36">
        <v>637457.06999999995</v>
      </c>
      <c r="AK27" s="69">
        <f t="shared" si="44"/>
        <v>9854.0300000000007</v>
      </c>
      <c r="AL27" s="69">
        <f t="shared" si="45"/>
        <v>10352.780000000001</v>
      </c>
      <c r="AM27" s="70">
        <f t="shared" si="41"/>
        <v>498.75</v>
      </c>
      <c r="AN27" s="36">
        <v>0</v>
      </c>
      <c r="AO27" s="36">
        <v>0</v>
      </c>
    </row>
    <row r="28" spans="1:41" s="3" customFormat="1">
      <c r="A28" s="55" t="s">
        <v>450</v>
      </c>
      <c r="B28" s="55" t="s">
        <v>43</v>
      </c>
      <c r="C28" s="55" t="s">
        <v>849</v>
      </c>
      <c r="D28" s="36">
        <v>0</v>
      </c>
      <c r="E28" s="36">
        <v>0</v>
      </c>
      <c r="F28" s="36">
        <v>0</v>
      </c>
      <c r="G28" s="36">
        <v>11251256.699999999</v>
      </c>
      <c r="H28" s="36">
        <v>1693271.77</v>
      </c>
      <c r="I28" s="36">
        <v>0</v>
      </c>
      <c r="J28" s="36">
        <v>946351.23</v>
      </c>
      <c r="K28" s="36">
        <v>568673.26</v>
      </c>
      <c r="L28" s="36">
        <v>238912.2</v>
      </c>
      <c r="M28" s="36">
        <v>4808380.8</v>
      </c>
      <c r="N28" s="49">
        <v>3.5799999999999998E-2</v>
      </c>
      <c r="O28" s="64">
        <v>0.1394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251714.26</v>
      </c>
      <c r="AC28" s="36">
        <v>4102927.06</v>
      </c>
      <c r="AD28" s="37">
        <v>401.86</v>
      </c>
      <c r="AE28" s="36">
        <v>3951486.61</v>
      </c>
      <c r="AF28" s="69">
        <f t="shared" si="42"/>
        <v>9832.99</v>
      </c>
      <c r="AG28" s="69">
        <f t="shared" si="43"/>
        <v>10209.84</v>
      </c>
      <c r="AH28" s="70">
        <f t="shared" si="40"/>
        <v>376.85</v>
      </c>
      <c r="AI28" s="37">
        <v>24.8</v>
      </c>
      <c r="AJ28" s="36">
        <v>239540.61</v>
      </c>
      <c r="AK28" s="69">
        <f t="shared" si="44"/>
        <v>9658.9</v>
      </c>
      <c r="AL28" s="69">
        <f t="shared" si="45"/>
        <v>10149.77</v>
      </c>
      <c r="AM28" s="70">
        <f t="shared" si="41"/>
        <v>490.87</v>
      </c>
      <c r="AN28" s="36">
        <v>0</v>
      </c>
      <c r="AO28" s="36">
        <v>0</v>
      </c>
    </row>
    <row r="29" spans="1:41" s="3" customFormat="1">
      <c r="A29" s="55" t="s">
        <v>442</v>
      </c>
      <c r="B29" s="55" t="s">
        <v>35</v>
      </c>
      <c r="C29" s="55" t="s">
        <v>850</v>
      </c>
      <c r="D29" s="36">
        <v>0</v>
      </c>
      <c r="E29" s="36">
        <v>0</v>
      </c>
      <c r="F29" s="36">
        <v>0</v>
      </c>
      <c r="G29" s="36">
        <v>953822.71999999997</v>
      </c>
      <c r="H29" s="36">
        <v>109648.19</v>
      </c>
      <c r="I29" s="36">
        <v>154788.28</v>
      </c>
      <c r="J29" s="36">
        <v>255091.95</v>
      </c>
      <c r="K29" s="36">
        <v>0</v>
      </c>
      <c r="L29" s="36">
        <v>15056.37</v>
      </c>
      <c r="M29" s="36">
        <v>391769.84</v>
      </c>
      <c r="N29" s="49">
        <v>8.8999999999999996E-2</v>
      </c>
      <c r="O29" s="64">
        <v>0.25900000000000001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120512.3</v>
      </c>
      <c r="AD29" s="37">
        <v>12.25</v>
      </c>
      <c r="AE29" s="36">
        <v>113342.58</v>
      </c>
      <c r="AF29" s="69">
        <f t="shared" si="42"/>
        <v>9252.4599999999991</v>
      </c>
      <c r="AG29" s="69">
        <f t="shared" si="43"/>
        <v>9837.74</v>
      </c>
      <c r="AH29" s="70">
        <f t="shared" si="40"/>
        <v>585.28</v>
      </c>
      <c r="AI29" s="37">
        <v>0</v>
      </c>
      <c r="AJ29" s="36">
        <v>0</v>
      </c>
      <c r="AK29" s="69">
        <f t="shared" si="44"/>
        <v>0</v>
      </c>
      <c r="AL29" s="69">
        <f t="shared" si="45"/>
        <v>0</v>
      </c>
      <c r="AM29" s="70">
        <f t="shared" si="41"/>
        <v>0</v>
      </c>
      <c r="AN29" s="36">
        <v>2000</v>
      </c>
      <c r="AO29" s="36">
        <v>0</v>
      </c>
    </row>
    <row r="30" spans="1:41" s="3" customFormat="1">
      <c r="A30" s="55" t="s">
        <v>595</v>
      </c>
      <c r="B30" s="55" t="s">
        <v>189</v>
      </c>
      <c r="C30" s="55" t="s">
        <v>851</v>
      </c>
      <c r="D30" s="36">
        <v>0</v>
      </c>
      <c r="E30" s="36">
        <v>0</v>
      </c>
      <c r="F30" s="36">
        <v>0</v>
      </c>
      <c r="G30" s="36">
        <v>353260.37</v>
      </c>
      <c r="H30" s="36">
        <v>31204</v>
      </c>
      <c r="I30" s="36">
        <v>0</v>
      </c>
      <c r="J30" s="36">
        <v>32283.439999999999</v>
      </c>
      <c r="K30" s="36">
        <v>0</v>
      </c>
      <c r="L30" s="36">
        <v>5859.27</v>
      </c>
      <c r="M30" s="36">
        <v>147746.67000000001</v>
      </c>
      <c r="N30" s="49">
        <v>5.45E-2</v>
      </c>
      <c r="O30" s="64">
        <v>0.2399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6">
        <v>0</v>
      </c>
      <c r="AC30" s="36">
        <v>0</v>
      </c>
      <c r="AD30" s="37">
        <v>0</v>
      </c>
      <c r="AE30" s="36">
        <v>0</v>
      </c>
      <c r="AF30" s="69">
        <f t="shared" si="42"/>
        <v>0</v>
      </c>
      <c r="AG30" s="69">
        <f t="shared" si="43"/>
        <v>0</v>
      </c>
      <c r="AH30" s="70">
        <f t="shared" si="40"/>
        <v>0</v>
      </c>
      <c r="AI30" s="37">
        <v>0</v>
      </c>
      <c r="AJ30" s="36">
        <v>0</v>
      </c>
      <c r="AK30" s="69">
        <f t="shared" si="44"/>
        <v>0</v>
      </c>
      <c r="AL30" s="69">
        <f t="shared" si="45"/>
        <v>0</v>
      </c>
      <c r="AM30" s="70">
        <f t="shared" si="41"/>
        <v>0</v>
      </c>
      <c r="AN30" s="36">
        <v>0</v>
      </c>
      <c r="AO30" s="36">
        <v>0</v>
      </c>
    </row>
    <row r="31" spans="1:41" s="3" customFormat="1">
      <c r="A31" s="55" t="s">
        <v>437</v>
      </c>
      <c r="B31" s="55" t="s">
        <v>30</v>
      </c>
      <c r="C31" s="55" t="s">
        <v>852</v>
      </c>
      <c r="D31" s="36">
        <v>0</v>
      </c>
      <c r="E31" s="36">
        <v>14499.76</v>
      </c>
      <c r="F31" s="36">
        <v>0</v>
      </c>
      <c r="G31" s="36">
        <v>0</v>
      </c>
      <c r="H31" s="36">
        <v>0</v>
      </c>
      <c r="I31" s="36">
        <v>76690.05</v>
      </c>
      <c r="J31" s="36">
        <v>384858.48</v>
      </c>
      <c r="K31" s="36">
        <v>229550.03</v>
      </c>
      <c r="L31" s="36">
        <v>37153.519999999997</v>
      </c>
      <c r="M31" s="36">
        <v>1046225.39</v>
      </c>
      <c r="N31" s="49">
        <v>3.4000000000000002E-2</v>
      </c>
      <c r="O31" s="64">
        <v>0.15049999999999999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  <c r="AA31" s="36">
        <v>0</v>
      </c>
      <c r="AB31" s="36">
        <v>534123.30000000005</v>
      </c>
      <c r="AC31" s="36">
        <v>1291738.2</v>
      </c>
      <c r="AD31" s="37">
        <v>132.22999999999999</v>
      </c>
      <c r="AE31" s="36">
        <v>1225182.1200000001</v>
      </c>
      <c r="AF31" s="69">
        <f t="shared" si="42"/>
        <v>9265.5400000000009</v>
      </c>
      <c r="AG31" s="69">
        <f t="shared" si="43"/>
        <v>9768.8700000000008</v>
      </c>
      <c r="AH31" s="70">
        <f t="shared" si="40"/>
        <v>503.33</v>
      </c>
      <c r="AI31" s="37">
        <v>55.92</v>
      </c>
      <c r="AJ31" s="36">
        <v>508032.77</v>
      </c>
      <c r="AK31" s="69">
        <f t="shared" si="44"/>
        <v>9084.99</v>
      </c>
      <c r="AL31" s="69">
        <f t="shared" si="45"/>
        <v>9551.56</v>
      </c>
      <c r="AM31" s="70">
        <f t="shared" si="41"/>
        <v>466.57</v>
      </c>
      <c r="AN31" s="36">
        <v>0</v>
      </c>
      <c r="AO31" s="36">
        <v>0</v>
      </c>
    </row>
    <row r="32" spans="1:41" s="3" customFormat="1">
      <c r="A32" s="55" t="s">
        <v>436</v>
      </c>
      <c r="B32" s="55" t="s">
        <v>29</v>
      </c>
      <c r="C32" s="55" t="s">
        <v>853</v>
      </c>
      <c r="D32" s="36">
        <v>0</v>
      </c>
      <c r="E32" s="36">
        <v>8195.49</v>
      </c>
      <c r="F32" s="36">
        <v>0</v>
      </c>
      <c r="G32" s="36">
        <v>2144584.58</v>
      </c>
      <c r="H32" s="36">
        <v>217364.42</v>
      </c>
      <c r="I32" s="36">
        <v>192737.54</v>
      </c>
      <c r="J32" s="36">
        <v>523977.15</v>
      </c>
      <c r="K32" s="36">
        <v>327583.32</v>
      </c>
      <c r="L32" s="36">
        <v>51770.2</v>
      </c>
      <c r="M32" s="36">
        <v>605450.51</v>
      </c>
      <c r="N32" s="49">
        <v>4.224E-2</v>
      </c>
      <c r="O32" s="64">
        <v>0.16250000000000001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108452.94</v>
      </c>
      <c r="AB32" s="36">
        <v>479523.13</v>
      </c>
      <c r="AC32" s="36">
        <v>1359897.03</v>
      </c>
      <c r="AD32" s="37">
        <v>136.80000000000001</v>
      </c>
      <c r="AE32" s="36">
        <v>1292897.3700000001</v>
      </c>
      <c r="AF32" s="69">
        <f t="shared" si="42"/>
        <v>9451</v>
      </c>
      <c r="AG32" s="69">
        <f t="shared" si="43"/>
        <v>9940.77</v>
      </c>
      <c r="AH32" s="70">
        <f t="shared" si="40"/>
        <v>489.77</v>
      </c>
      <c r="AI32" s="37">
        <v>49.2</v>
      </c>
      <c r="AJ32" s="36">
        <v>455973.67</v>
      </c>
      <c r="AK32" s="69">
        <f t="shared" si="44"/>
        <v>9267.76</v>
      </c>
      <c r="AL32" s="69">
        <f t="shared" si="45"/>
        <v>9746.41</v>
      </c>
      <c r="AM32" s="70">
        <f t="shared" si="41"/>
        <v>478.65</v>
      </c>
      <c r="AN32" s="36">
        <v>0</v>
      </c>
      <c r="AO32" s="36">
        <v>0</v>
      </c>
    </row>
    <row r="33" spans="1:41" s="3" customFormat="1">
      <c r="A33" s="55" t="s">
        <v>457</v>
      </c>
      <c r="B33" s="55" t="s">
        <v>50</v>
      </c>
      <c r="C33" s="55" t="s">
        <v>854</v>
      </c>
      <c r="D33" s="36">
        <v>0</v>
      </c>
      <c r="E33" s="36">
        <v>0</v>
      </c>
      <c r="F33" s="36">
        <v>0</v>
      </c>
      <c r="G33" s="36">
        <v>2902584.38</v>
      </c>
      <c r="H33" s="36">
        <v>355446.64</v>
      </c>
      <c r="I33" s="36">
        <v>309251.59999999998</v>
      </c>
      <c r="J33" s="36">
        <v>522748.93</v>
      </c>
      <c r="K33" s="36">
        <v>39448.92</v>
      </c>
      <c r="L33" s="36">
        <v>44410.92</v>
      </c>
      <c r="M33" s="36">
        <v>1035113.13</v>
      </c>
      <c r="N33" s="49">
        <v>4.6800000000000001E-2</v>
      </c>
      <c r="O33" s="64">
        <v>0.18909999999999999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  <c r="Z33" s="36">
        <v>12217.8</v>
      </c>
      <c r="AA33" s="36">
        <v>0</v>
      </c>
      <c r="AB33" s="36">
        <v>97307.42</v>
      </c>
      <c r="AC33" s="36">
        <v>1003310.25</v>
      </c>
      <c r="AD33" s="37">
        <v>101.16</v>
      </c>
      <c r="AE33" s="36">
        <v>937400.82</v>
      </c>
      <c r="AF33" s="69">
        <f t="shared" si="42"/>
        <v>9266.52</v>
      </c>
      <c r="AG33" s="69">
        <f t="shared" si="43"/>
        <v>9918.0499999999993</v>
      </c>
      <c r="AH33" s="70">
        <f t="shared" si="40"/>
        <v>651.53</v>
      </c>
      <c r="AI33" s="37">
        <v>10.19</v>
      </c>
      <c r="AJ33" s="36">
        <v>92519.5</v>
      </c>
      <c r="AK33" s="69">
        <f t="shared" si="44"/>
        <v>9079.44</v>
      </c>
      <c r="AL33" s="69">
        <f t="shared" si="45"/>
        <v>9549.31</v>
      </c>
      <c r="AM33" s="70">
        <f t="shared" si="41"/>
        <v>469.87</v>
      </c>
      <c r="AN33" s="36">
        <v>0</v>
      </c>
      <c r="AO33" s="36">
        <v>0</v>
      </c>
    </row>
    <row r="34" spans="1:41" s="3" customFormat="1">
      <c r="A34" s="55" t="s">
        <v>769</v>
      </c>
      <c r="B34" s="56" t="s">
        <v>768</v>
      </c>
      <c r="C34" s="56" t="s">
        <v>855</v>
      </c>
      <c r="D34" s="36">
        <v>0</v>
      </c>
      <c r="E34" s="36">
        <v>0</v>
      </c>
      <c r="F34" s="36">
        <v>0</v>
      </c>
      <c r="G34" s="36">
        <v>1020233.22</v>
      </c>
      <c r="H34" s="36">
        <v>79681.820000000007</v>
      </c>
      <c r="I34" s="36">
        <v>176687.39</v>
      </c>
      <c r="J34" s="36">
        <v>197724.6</v>
      </c>
      <c r="K34" s="36">
        <v>18611.57</v>
      </c>
      <c r="L34" s="36">
        <v>0</v>
      </c>
      <c r="M34" s="36">
        <v>423829.22</v>
      </c>
      <c r="N34" s="49">
        <v>3.5000000000000003E-2</v>
      </c>
      <c r="O34" s="64">
        <v>0.14979999999999999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6">
        <v>0</v>
      </c>
      <c r="Z34" s="36">
        <v>0</v>
      </c>
      <c r="AA34" s="36">
        <v>0</v>
      </c>
      <c r="AB34" s="36">
        <v>0</v>
      </c>
      <c r="AC34" s="36">
        <v>0</v>
      </c>
      <c r="AD34" s="37">
        <v>0</v>
      </c>
      <c r="AE34" s="36">
        <v>0</v>
      </c>
      <c r="AF34" s="69">
        <f t="shared" si="42"/>
        <v>0</v>
      </c>
      <c r="AG34" s="69">
        <f t="shared" si="43"/>
        <v>0</v>
      </c>
      <c r="AH34" s="70">
        <f t="shared" si="40"/>
        <v>0</v>
      </c>
      <c r="AI34" s="37">
        <v>0</v>
      </c>
      <c r="AJ34" s="36">
        <v>0</v>
      </c>
      <c r="AK34" s="69">
        <f t="shared" si="44"/>
        <v>0</v>
      </c>
      <c r="AL34" s="69">
        <f t="shared" si="45"/>
        <v>0</v>
      </c>
      <c r="AM34" s="70">
        <f t="shared" si="41"/>
        <v>0</v>
      </c>
      <c r="AN34" s="36">
        <v>0</v>
      </c>
      <c r="AO34" s="36">
        <v>0</v>
      </c>
    </row>
    <row r="35" spans="1:41" s="3" customFormat="1">
      <c r="A35" s="55" t="s">
        <v>540</v>
      </c>
      <c r="B35" s="55" t="s">
        <v>133</v>
      </c>
      <c r="C35" s="55" t="s">
        <v>856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17699.099999999999</v>
      </c>
      <c r="K35" s="36">
        <v>0</v>
      </c>
      <c r="L35" s="36">
        <v>2840.59</v>
      </c>
      <c r="M35" s="36">
        <v>173002.52</v>
      </c>
      <c r="N35" s="49">
        <v>8.6300000000000002E-2</v>
      </c>
      <c r="O35" s="64">
        <v>0.28570000000000001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7">
        <v>0</v>
      </c>
      <c r="AE35" s="36">
        <v>0</v>
      </c>
      <c r="AF35" s="69">
        <f t="shared" si="42"/>
        <v>0</v>
      </c>
      <c r="AG35" s="69">
        <f t="shared" si="43"/>
        <v>0</v>
      </c>
      <c r="AH35" s="70">
        <f t="shared" si="40"/>
        <v>0</v>
      </c>
      <c r="AI35" s="37">
        <v>0</v>
      </c>
      <c r="AJ35" s="36">
        <v>0</v>
      </c>
      <c r="AK35" s="69">
        <f t="shared" si="44"/>
        <v>0</v>
      </c>
      <c r="AL35" s="69">
        <f t="shared" si="45"/>
        <v>0</v>
      </c>
      <c r="AM35" s="70">
        <f t="shared" si="41"/>
        <v>0</v>
      </c>
      <c r="AN35" s="36">
        <v>0</v>
      </c>
      <c r="AO35" s="36">
        <v>0</v>
      </c>
    </row>
    <row r="36" spans="1:41" s="3" customFormat="1">
      <c r="A36" s="55" t="s">
        <v>530</v>
      </c>
      <c r="B36" s="55" t="s">
        <v>123</v>
      </c>
      <c r="C36" s="55" t="s">
        <v>857</v>
      </c>
      <c r="D36" s="36">
        <v>0</v>
      </c>
      <c r="E36" s="36">
        <v>293203.28999999998</v>
      </c>
      <c r="F36" s="36">
        <v>60937.88</v>
      </c>
      <c r="G36" s="36">
        <v>22863761.690000001</v>
      </c>
      <c r="H36" s="36">
        <v>4418221.1100000003</v>
      </c>
      <c r="I36" s="36">
        <v>785230.18</v>
      </c>
      <c r="J36" s="36">
        <v>3510258.74</v>
      </c>
      <c r="K36" s="36">
        <v>1062819.67</v>
      </c>
      <c r="L36" s="36">
        <v>404543.77</v>
      </c>
      <c r="M36" s="36">
        <v>7339813.3399999999</v>
      </c>
      <c r="N36" s="49">
        <v>3.2199999999999999E-2</v>
      </c>
      <c r="O36" s="64">
        <v>0.14460000000000001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43099.65</v>
      </c>
      <c r="AA36" s="36">
        <v>624604.78</v>
      </c>
      <c r="AB36" s="36">
        <v>1274626.67</v>
      </c>
      <c r="AC36" s="36">
        <v>7101453.9199999999</v>
      </c>
      <c r="AD36" s="37">
        <v>629.28</v>
      </c>
      <c r="AE36" s="36">
        <v>6669616.8899999997</v>
      </c>
      <c r="AF36" s="69">
        <f t="shared" si="42"/>
        <v>10598.81</v>
      </c>
      <c r="AG36" s="69">
        <f t="shared" si="43"/>
        <v>11285.05</v>
      </c>
      <c r="AH36" s="70">
        <f t="shared" si="40"/>
        <v>686.24</v>
      </c>
      <c r="AI36" s="37">
        <v>116.38</v>
      </c>
      <c r="AJ36" s="36">
        <v>1212870.8799999999</v>
      </c>
      <c r="AK36" s="69">
        <f t="shared" si="44"/>
        <v>10421.64</v>
      </c>
      <c r="AL36" s="69">
        <f t="shared" si="45"/>
        <v>10952.28</v>
      </c>
      <c r="AM36" s="70">
        <f t="shared" si="41"/>
        <v>530.64</v>
      </c>
      <c r="AN36" s="36">
        <v>0</v>
      </c>
      <c r="AO36" s="36">
        <v>0</v>
      </c>
    </row>
    <row r="37" spans="1:41" s="3" customFormat="1">
      <c r="A37" s="55" t="s">
        <v>642</v>
      </c>
      <c r="B37" s="55" t="s">
        <v>236</v>
      </c>
      <c r="C37" s="55" t="s">
        <v>858</v>
      </c>
      <c r="D37" s="36">
        <v>0</v>
      </c>
      <c r="E37" s="36">
        <v>0</v>
      </c>
      <c r="F37" s="36">
        <v>54454.51</v>
      </c>
      <c r="G37" s="36">
        <v>27653446.350000001</v>
      </c>
      <c r="H37" s="36">
        <v>7104057.9199999999</v>
      </c>
      <c r="I37" s="36">
        <v>1269826.57</v>
      </c>
      <c r="J37" s="36">
        <v>4499973.09</v>
      </c>
      <c r="K37" s="36">
        <v>1611334.9</v>
      </c>
      <c r="L37" s="36">
        <v>467388.51</v>
      </c>
      <c r="M37" s="36">
        <v>7933154.9100000001</v>
      </c>
      <c r="N37" s="49">
        <v>3.6299999999999999E-2</v>
      </c>
      <c r="O37" s="64">
        <v>0.12970000000000001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v>233096.34</v>
      </c>
      <c r="AA37" s="36">
        <v>179624.41</v>
      </c>
      <c r="AB37" s="36">
        <v>3832286.9</v>
      </c>
      <c r="AC37" s="36">
        <v>6905834.0999999996</v>
      </c>
      <c r="AD37" s="37">
        <v>690.17</v>
      </c>
      <c r="AE37" s="36">
        <v>6522211.29</v>
      </c>
      <c r="AF37" s="69">
        <f t="shared" si="42"/>
        <v>9450.15</v>
      </c>
      <c r="AG37" s="69">
        <f t="shared" si="43"/>
        <v>10005.99</v>
      </c>
      <c r="AH37" s="70">
        <f t="shared" si="40"/>
        <v>555.84</v>
      </c>
      <c r="AI37" s="37">
        <v>393.12</v>
      </c>
      <c r="AJ37" s="36">
        <v>3643976.79</v>
      </c>
      <c r="AK37" s="69">
        <f t="shared" si="44"/>
        <v>9269.3799999999992</v>
      </c>
      <c r="AL37" s="69">
        <f t="shared" si="45"/>
        <v>9748.39</v>
      </c>
      <c r="AM37" s="70">
        <f t="shared" si="41"/>
        <v>479.01</v>
      </c>
      <c r="AN37" s="36">
        <v>0</v>
      </c>
      <c r="AO37" s="36">
        <v>0</v>
      </c>
    </row>
    <row r="38" spans="1:41" s="3" customFormat="1">
      <c r="A38" s="55" t="s">
        <v>560</v>
      </c>
      <c r="B38" s="55" t="s">
        <v>153</v>
      </c>
      <c r="C38" s="55" t="s">
        <v>859</v>
      </c>
      <c r="D38" s="36">
        <v>0</v>
      </c>
      <c r="E38" s="36">
        <v>138003.48000000001</v>
      </c>
      <c r="F38" s="36">
        <v>0</v>
      </c>
      <c r="G38" s="36">
        <v>6368204.54</v>
      </c>
      <c r="H38" s="36">
        <v>1221915.8600000001</v>
      </c>
      <c r="I38" s="36">
        <v>1061312.48</v>
      </c>
      <c r="J38" s="36">
        <v>1640495.78</v>
      </c>
      <c r="K38" s="36">
        <v>917453.8</v>
      </c>
      <c r="L38" s="36">
        <v>101820.13</v>
      </c>
      <c r="M38" s="36">
        <v>3056649.32</v>
      </c>
      <c r="N38" s="49">
        <v>1.49E-2</v>
      </c>
      <c r="O38" s="64">
        <v>0.1351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46076.75</v>
      </c>
      <c r="AA38" s="36">
        <v>0</v>
      </c>
      <c r="AB38" s="36">
        <v>943256.26</v>
      </c>
      <c r="AC38" s="36">
        <v>2869583.1</v>
      </c>
      <c r="AD38" s="37">
        <v>281.38</v>
      </c>
      <c r="AE38" s="36">
        <v>2607253.6800000002</v>
      </c>
      <c r="AF38" s="69">
        <f t="shared" si="42"/>
        <v>9265.9500000000007</v>
      </c>
      <c r="AG38" s="69">
        <f t="shared" si="43"/>
        <v>10198.25</v>
      </c>
      <c r="AH38" s="70">
        <f t="shared" si="40"/>
        <v>932.3</v>
      </c>
      <c r="AI38" s="37">
        <v>98.79</v>
      </c>
      <c r="AJ38" s="36">
        <v>897383.98</v>
      </c>
      <c r="AK38" s="69">
        <f t="shared" si="44"/>
        <v>9083.75</v>
      </c>
      <c r="AL38" s="69">
        <f t="shared" si="45"/>
        <v>9548.09</v>
      </c>
      <c r="AM38" s="70">
        <f t="shared" si="41"/>
        <v>464.34</v>
      </c>
      <c r="AN38" s="36">
        <v>0</v>
      </c>
      <c r="AO38" s="36">
        <v>0</v>
      </c>
    </row>
    <row r="39" spans="1:41" s="3" customFormat="1">
      <c r="A39" s="55" t="s">
        <v>558</v>
      </c>
      <c r="B39" s="55" t="s">
        <v>151</v>
      </c>
      <c r="C39" s="55" t="s">
        <v>860</v>
      </c>
      <c r="D39" s="36">
        <v>0</v>
      </c>
      <c r="E39" s="36">
        <v>55469.2</v>
      </c>
      <c r="F39" s="36">
        <v>0</v>
      </c>
      <c r="G39" s="36">
        <v>4797341.88</v>
      </c>
      <c r="H39" s="36">
        <v>901777.19</v>
      </c>
      <c r="I39" s="36">
        <v>229155.96</v>
      </c>
      <c r="J39" s="36">
        <v>1047057.83</v>
      </c>
      <c r="K39" s="36">
        <v>275743.53000000003</v>
      </c>
      <c r="L39" s="36">
        <v>94687.92</v>
      </c>
      <c r="M39" s="36">
        <v>1731403.59</v>
      </c>
      <c r="N39" s="49">
        <v>3.5000000000000003E-2</v>
      </c>
      <c r="O39" s="64">
        <v>0.15570000000000001</v>
      </c>
      <c r="P39" s="36">
        <v>178460.44</v>
      </c>
      <c r="Q39" s="36">
        <v>17067.560000000001</v>
      </c>
      <c r="R39" s="36">
        <v>6948.01</v>
      </c>
      <c r="S39" s="36">
        <v>4145691.2199999997</v>
      </c>
      <c r="T39" s="36">
        <v>216735.8099999993</v>
      </c>
      <c r="U39" s="36">
        <v>127970.12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2340019.36</v>
      </c>
      <c r="AD39" s="37">
        <v>233.52</v>
      </c>
      <c r="AE39" s="36">
        <v>2206863.5099999998</v>
      </c>
      <c r="AF39" s="69">
        <f t="shared" si="42"/>
        <v>9450.43</v>
      </c>
      <c r="AG39" s="69">
        <f t="shared" si="43"/>
        <v>10020.64</v>
      </c>
      <c r="AH39" s="70">
        <f t="shared" si="40"/>
        <v>570.21</v>
      </c>
      <c r="AI39" s="37">
        <v>0</v>
      </c>
      <c r="AJ39" s="36">
        <v>0</v>
      </c>
      <c r="AK39" s="69">
        <f t="shared" si="44"/>
        <v>0</v>
      </c>
      <c r="AL39" s="69">
        <f t="shared" si="45"/>
        <v>0</v>
      </c>
      <c r="AM39" s="70">
        <f t="shared" si="41"/>
        <v>0</v>
      </c>
      <c r="AN39" s="36">
        <v>0</v>
      </c>
      <c r="AO39" s="36">
        <v>0</v>
      </c>
    </row>
    <row r="40" spans="1:41" s="3" customFormat="1">
      <c r="A40" s="55" t="s">
        <v>644</v>
      </c>
      <c r="B40" s="55" t="s">
        <v>238</v>
      </c>
      <c r="C40" s="55" t="s">
        <v>861</v>
      </c>
      <c r="D40" s="36">
        <v>0</v>
      </c>
      <c r="E40" s="36">
        <v>163536.43</v>
      </c>
      <c r="F40" s="36">
        <v>64060.35</v>
      </c>
      <c r="G40" s="36">
        <v>10337538.24</v>
      </c>
      <c r="H40" s="36">
        <v>1472374.71</v>
      </c>
      <c r="I40" s="36">
        <v>880094.3</v>
      </c>
      <c r="J40" s="36">
        <v>1879231.5</v>
      </c>
      <c r="K40" s="36">
        <v>855508.34</v>
      </c>
      <c r="L40" s="36">
        <v>170602.9</v>
      </c>
      <c r="M40" s="36">
        <v>4250671.99</v>
      </c>
      <c r="N40" s="49">
        <v>4.2999999999999997E-2</v>
      </c>
      <c r="O40" s="64">
        <v>0.1615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190034.66</v>
      </c>
      <c r="AB40" s="36">
        <v>1039591.27</v>
      </c>
      <c r="AC40" s="36">
        <v>2711824.38</v>
      </c>
      <c r="AD40" s="37">
        <v>273.95</v>
      </c>
      <c r="AE40" s="36">
        <v>2538224.44</v>
      </c>
      <c r="AF40" s="69">
        <f t="shared" si="42"/>
        <v>9265.2800000000007</v>
      </c>
      <c r="AG40" s="69">
        <f t="shared" si="43"/>
        <v>9898.98</v>
      </c>
      <c r="AH40" s="70">
        <f t="shared" si="40"/>
        <v>633.70000000000005</v>
      </c>
      <c r="AI40" s="37">
        <v>108.87</v>
      </c>
      <c r="AJ40" s="36">
        <v>988905.23</v>
      </c>
      <c r="AK40" s="69">
        <f t="shared" si="44"/>
        <v>9083.36</v>
      </c>
      <c r="AL40" s="69">
        <f t="shared" si="45"/>
        <v>9548.92</v>
      </c>
      <c r="AM40" s="70">
        <f t="shared" si="41"/>
        <v>465.56</v>
      </c>
      <c r="AN40" s="36">
        <v>0</v>
      </c>
      <c r="AO40" s="36">
        <v>0</v>
      </c>
    </row>
    <row r="41" spans="1:41" s="3" customFormat="1">
      <c r="A41" s="55" t="s">
        <v>650</v>
      </c>
      <c r="B41" s="55" t="s">
        <v>245</v>
      </c>
      <c r="C41" s="55" t="s">
        <v>862</v>
      </c>
      <c r="D41" s="36">
        <v>0</v>
      </c>
      <c r="E41" s="36">
        <v>25264.71</v>
      </c>
      <c r="F41" s="36">
        <v>18702.72</v>
      </c>
      <c r="G41" s="36">
        <v>1352382</v>
      </c>
      <c r="H41" s="36">
        <v>279733.42</v>
      </c>
      <c r="I41" s="36">
        <v>264407.40000000002</v>
      </c>
      <c r="J41" s="36">
        <v>336331.44</v>
      </c>
      <c r="K41" s="36">
        <v>2772.07</v>
      </c>
      <c r="L41" s="36">
        <v>24155.21</v>
      </c>
      <c r="M41" s="36">
        <v>713309.37</v>
      </c>
      <c r="N41" s="49">
        <v>3.6900000000000002E-2</v>
      </c>
      <c r="O41" s="64">
        <v>0.16569999999999999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113838.37</v>
      </c>
      <c r="AC41" s="36">
        <v>460458.54</v>
      </c>
      <c r="AD41" s="37">
        <v>44.14</v>
      </c>
      <c r="AE41" s="36">
        <v>409050.06</v>
      </c>
      <c r="AF41" s="69">
        <f t="shared" si="42"/>
        <v>9267.11</v>
      </c>
      <c r="AG41" s="69">
        <f t="shared" si="43"/>
        <v>10431.77</v>
      </c>
      <c r="AH41" s="70">
        <f t="shared" si="40"/>
        <v>1164.6600000000001</v>
      </c>
      <c r="AI41" s="37">
        <v>11.92</v>
      </c>
      <c r="AJ41" s="36">
        <v>108221.59</v>
      </c>
      <c r="AK41" s="69">
        <f t="shared" si="44"/>
        <v>9078.99</v>
      </c>
      <c r="AL41" s="69">
        <f t="shared" si="45"/>
        <v>9550.2000000000007</v>
      </c>
      <c r="AM41" s="70">
        <f t="shared" si="41"/>
        <v>471.21</v>
      </c>
      <c r="AN41" s="36">
        <v>0</v>
      </c>
      <c r="AO41" s="36">
        <v>0</v>
      </c>
    </row>
    <row r="42" spans="1:41" s="3" customFormat="1">
      <c r="A42" s="55" t="s">
        <v>742</v>
      </c>
      <c r="B42" s="56" t="s">
        <v>741</v>
      </c>
      <c r="C42" s="56" t="s">
        <v>863</v>
      </c>
      <c r="D42" s="36">
        <v>30858.98</v>
      </c>
      <c r="E42" s="36">
        <v>22753.360000000001</v>
      </c>
      <c r="F42" s="36">
        <v>12059.47</v>
      </c>
      <c r="G42" s="36">
        <v>1179637.72</v>
      </c>
      <c r="H42" s="36">
        <v>194941.61</v>
      </c>
      <c r="I42" s="36">
        <v>226259.3</v>
      </c>
      <c r="J42" s="36">
        <v>295978.74</v>
      </c>
      <c r="K42" s="36">
        <v>0</v>
      </c>
      <c r="L42" s="36">
        <v>21645.32</v>
      </c>
      <c r="M42" s="36">
        <v>829373.18</v>
      </c>
      <c r="N42" s="49">
        <v>3.5000000000000003E-2</v>
      </c>
      <c r="O42" s="64">
        <v>0.14979999999999999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19005.48</v>
      </c>
      <c r="AB42" s="36">
        <v>81657.149999999994</v>
      </c>
      <c r="AC42" s="36">
        <v>416056.73</v>
      </c>
      <c r="AD42" s="37">
        <v>40.020000000000003</v>
      </c>
      <c r="AE42" s="36">
        <v>401389.5</v>
      </c>
      <c r="AF42" s="69">
        <f t="shared" si="42"/>
        <v>10029.719999999999</v>
      </c>
      <c r="AG42" s="69">
        <f t="shared" si="43"/>
        <v>10396.219999999999</v>
      </c>
      <c r="AH42" s="70">
        <f t="shared" si="40"/>
        <v>366.5</v>
      </c>
      <c r="AI42" s="37">
        <v>7.89</v>
      </c>
      <c r="AJ42" s="36">
        <v>77749.5</v>
      </c>
      <c r="AK42" s="69">
        <f t="shared" si="44"/>
        <v>9854.18</v>
      </c>
      <c r="AL42" s="69">
        <f t="shared" si="45"/>
        <v>10349.450000000001</v>
      </c>
      <c r="AM42" s="70">
        <f t="shared" si="41"/>
        <v>495.27</v>
      </c>
      <c r="AN42" s="36">
        <v>0</v>
      </c>
      <c r="AO42" s="36">
        <v>0</v>
      </c>
    </row>
    <row r="43" spans="1:41" s="3" customFormat="1">
      <c r="A43" s="55" t="s">
        <v>506</v>
      </c>
      <c r="B43" s="55" t="s">
        <v>99</v>
      </c>
      <c r="C43" s="55" t="s">
        <v>864</v>
      </c>
      <c r="D43" s="36">
        <v>0</v>
      </c>
      <c r="E43" s="36">
        <v>27775.54</v>
      </c>
      <c r="F43" s="36">
        <v>11888.67</v>
      </c>
      <c r="G43" s="36">
        <v>1406355.74</v>
      </c>
      <c r="H43" s="36">
        <v>265031.76</v>
      </c>
      <c r="I43" s="36">
        <v>148168.75</v>
      </c>
      <c r="J43" s="36">
        <v>294184.93</v>
      </c>
      <c r="K43" s="36">
        <v>0</v>
      </c>
      <c r="L43" s="36">
        <v>22243.25</v>
      </c>
      <c r="M43" s="36">
        <v>1289575.03</v>
      </c>
      <c r="N43" s="49">
        <v>4.9799999999999997E-2</v>
      </c>
      <c r="O43" s="64">
        <v>0.2384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11067.29</v>
      </c>
      <c r="AB43" s="36">
        <v>0</v>
      </c>
      <c r="AC43" s="36">
        <v>236464.61</v>
      </c>
      <c r="AD43" s="37">
        <v>22.07</v>
      </c>
      <c r="AE43" s="36">
        <v>221353.22</v>
      </c>
      <c r="AF43" s="69">
        <f t="shared" si="42"/>
        <v>10029.6</v>
      </c>
      <c r="AG43" s="69">
        <f t="shared" si="43"/>
        <v>10714.3</v>
      </c>
      <c r="AH43" s="70">
        <f t="shared" si="40"/>
        <v>684.7</v>
      </c>
      <c r="AI43" s="37">
        <v>0</v>
      </c>
      <c r="AJ43" s="36">
        <v>0</v>
      </c>
      <c r="AK43" s="69">
        <f t="shared" si="44"/>
        <v>0</v>
      </c>
      <c r="AL43" s="69">
        <f t="shared" si="45"/>
        <v>0</v>
      </c>
      <c r="AM43" s="70">
        <f t="shared" si="41"/>
        <v>0</v>
      </c>
      <c r="AN43" s="36">
        <v>0</v>
      </c>
      <c r="AO43" s="36">
        <v>0</v>
      </c>
    </row>
    <row r="44" spans="1:41" s="3" customFormat="1">
      <c r="A44" s="55" t="s">
        <v>424</v>
      </c>
      <c r="B44" s="55" t="s">
        <v>17</v>
      </c>
      <c r="C44" s="55" t="s">
        <v>865</v>
      </c>
      <c r="D44" s="36">
        <v>0</v>
      </c>
      <c r="E44" s="36">
        <v>0</v>
      </c>
      <c r="F44" s="36">
        <v>0</v>
      </c>
      <c r="G44" s="36">
        <v>4672733.12</v>
      </c>
      <c r="H44" s="36">
        <v>891137.03</v>
      </c>
      <c r="I44" s="36">
        <v>436201.81</v>
      </c>
      <c r="J44" s="36">
        <v>945952.43</v>
      </c>
      <c r="K44" s="36">
        <v>47445.33</v>
      </c>
      <c r="L44" s="36">
        <v>73223.83</v>
      </c>
      <c r="M44" s="36">
        <v>1460332.32</v>
      </c>
      <c r="N44" s="49">
        <v>6.2799999999999995E-2</v>
      </c>
      <c r="O44" s="64">
        <v>0.19939999999999999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221750.38</v>
      </c>
      <c r="AC44" s="36">
        <v>1263438.8899999999</v>
      </c>
      <c r="AD44" s="37">
        <v>123.82</v>
      </c>
      <c r="AE44" s="36">
        <v>1147270.71</v>
      </c>
      <c r="AF44" s="69">
        <f t="shared" si="42"/>
        <v>9265.6299999999992</v>
      </c>
      <c r="AG44" s="69">
        <f t="shared" si="43"/>
        <v>10203.84</v>
      </c>
      <c r="AH44" s="70">
        <f t="shared" si="40"/>
        <v>938.21</v>
      </c>
      <c r="AI44" s="37">
        <v>23.21</v>
      </c>
      <c r="AJ44" s="36">
        <v>210848.89</v>
      </c>
      <c r="AK44" s="69">
        <f t="shared" si="44"/>
        <v>9084.4</v>
      </c>
      <c r="AL44" s="69">
        <f t="shared" si="45"/>
        <v>9554.09</v>
      </c>
      <c r="AM44" s="70">
        <f t="shared" si="41"/>
        <v>469.69</v>
      </c>
      <c r="AN44" s="36">
        <v>0</v>
      </c>
      <c r="AO44" s="36">
        <v>0</v>
      </c>
    </row>
    <row r="45" spans="1:41" s="3" customFormat="1">
      <c r="A45" s="55" t="s">
        <v>537</v>
      </c>
      <c r="B45" s="55" t="s">
        <v>130</v>
      </c>
      <c r="C45" s="55" t="s">
        <v>866</v>
      </c>
      <c r="D45" s="36">
        <v>0</v>
      </c>
      <c r="E45" s="36">
        <v>20510.18</v>
      </c>
      <c r="F45" s="36">
        <v>0</v>
      </c>
      <c r="G45" s="36">
        <v>1852553.97</v>
      </c>
      <c r="H45" s="36">
        <v>217213.67</v>
      </c>
      <c r="I45" s="36">
        <v>0</v>
      </c>
      <c r="J45" s="36">
        <v>245341.52</v>
      </c>
      <c r="K45" s="36">
        <v>33649.279999999999</v>
      </c>
      <c r="L45" s="36">
        <v>30311.58</v>
      </c>
      <c r="M45" s="36">
        <v>686708.87</v>
      </c>
      <c r="N45" s="49">
        <v>3.1099999999999999E-2</v>
      </c>
      <c r="O45" s="64">
        <v>0.20050000000000001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8248.7000000000007</v>
      </c>
      <c r="AA45" s="36">
        <v>17664.68</v>
      </c>
      <c r="AB45" s="36">
        <v>93070.3</v>
      </c>
      <c r="AC45" s="36">
        <v>704562.65</v>
      </c>
      <c r="AD45" s="37">
        <v>70.819999999999993</v>
      </c>
      <c r="AE45" s="36">
        <v>683323.54</v>
      </c>
      <c r="AF45" s="69">
        <f t="shared" si="42"/>
        <v>9648.74</v>
      </c>
      <c r="AG45" s="69">
        <f t="shared" si="43"/>
        <v>9948.64</v>
      </c>
      <c r="AH45" s="70">
        <f t="shared" si="40"/>
        <v>299.89999999999998</v>
      </c>
      <c r="AI45" s="37">
        <v>9.34</v>
      </c>
      <c r="AJ45" s="36">
        <v>88545.34</v>
      </c>
      <c r="AK45" s="69">
        <f t="shared" si="44"/>
        <v>9480.23</v>
      </c>
      <c r="AL45" s="69">
        <f t="shared" si="45"/>
        <v>9964.7000000000007</v>
      </c>
      <c r="AM45" s="70">
        <f t="shared" si="41"/>
        <v>484.47</v>
      </c>
      <c r="AN45" s="36">
        <v>0</v>
      </c>
      <c r="AO45" s="36">
        <v>53027</v>
      </c>
    </row>
    <row r="46" spans="1:41" s="3" customFormat="1">
      <c r="A46" s="55" t="s">
        <v>600</v>
      </c>
      <c r="B46" s="55" t="s">
        <v>194</v>
      </c>
      <c r="C46" s="55" t="s">
        <v>867</v>
      </c>
      <c r="D46" s="36">
        <v>0</v>
      </c>
      <c r="E46" s="36">
        <v>543007.64</v>
      </c>
      <c r="F46" s="36">
        <v>139894.07999999999</v>
      </c>
      <c r="G46" s="36">
        <v>25364028.989999998</v>
      </c>
      <c r="H46" s="36">
        <v>6266540.7300000004</v>
      </c>
      <c r="I46" s="36">
        <v>3229779.33</v>
      </c>
      <c r="J46" s="36">
        <v>5882043.1500000004</v>
      </c>
      <c r="K46" s="36">
        <v>3654087.44</v>
      </c>
      <c r="L46" s="36">
        <v>384364.58</v>
      </c>
      <c r="M46" s="36">
        <v>9253787.1699999999</v>
      </c>
      <c r="N46" s="49">
        <v>0.05</v>
      </c>
      <c r="O46" s="64">
        <v>0.16339999999999999</v>
      </c>
      <c r="P46" s="36">
        <v>0</v>
      </c>
      <c r="Q46" s="36">
        <v>0</v>
      </c>
      <c r="R46" s="36">
        <v>0</v>
      </c>
      <c r="S46" s="36">
        <v>155968.01999999999</v>
      </c>
      <c r="T46" s="36">
        <v>15414.74</v>
      </c>
      <c r="U46" s="36">
        <v>5940.74</v>
      </c>
      <c r="V46" s="36">
        <v>2788380.1799999997</v>
      </c>
      <c r="W46" s="36">
        <v>241223.10999999923</v>
      </c>
      <c r="X46" s="36">
        <v>103061.75999999999</v>
      </c>
      <c r="Y46" s="36">
        <v>0</v>
      </c>
      <c r="Z46" s="36">
        <v>287554.96999999997</v>
      </c>
      <c r="AA46" s="36">
        <v>241832.11</v>
      </c>
      <c r="AB46" s="36">
        <v>3767732.98</v>
      </c>
      <c r="AC46" s="36">
        <v>6142549.3799999999</v>
      </c>
      <c r="AD46" s="37">
        <v>596.27</v>
      </c>
      <c r="AE46" s="36">
        <v>5753004.8499999996</v>
      </c>
      <c r="AF46" s="69">
        <f t="shared" si="42"/>
        <v>9648.32</v>
      </c>
      <c r="AG46" s="69">
        <f t="shared" si="43"/>
        <v>10301.620000000001</v>
      </c>
      <c r="AH46" s="70">
        <f t="shared" si="40"/>
        <v>653.29999999999995</v>
      </c>
      <c r="AI46" s="37">
        <v>378.64</v>
      </c>
      <c r="AJ46" s="36">
        <v>3585170.61</v>
      </c>
      <c r="AK46" s="69">
        <f t="shared" si="44"/>
        <v>9468.5499999999993</v>
      </c>
      <c r="AL46" s="69">
        <f t="shared" si="45"/>
        <v>9950.7000000000007</v>
      </c>
      <c r="AM46" s="70">
        <f t="shared" si="41"/>
        <v>482.15</v>
      </c>
      <c r="AN46" s="36">
        <v>0</v>
      </c>
      <c r="AO46" s="36">
        <v>20000</v>
      </c>
    </row>
    <row r="47" spans="1:41" s="3" customFormat="1">
      <c r="A47" s="55" t="s">
        <v>686</v>
      </c>
      <c r="B47" s="55" t="s">
        <v>283</v>
      </c>
      <c r="C47" s="55" t="s">
        <v>868</v>
      </c>
      <c r="D47" s="36">
        <v>0</v>
      </c>
      <c r="E47" s="36">
        <v>11800.56</v>
      </c>
      <c r="F47" s="36">
        <v>0</v>
      </c>
      <c r="G47" s="36">
        <v>796723.83</v>
      </c>
      <c r="H47" s="36">
        <v>101093.82</v>
      </c>
      <c r="I47" s="36">
        <v>0</v>
      </c>
      <c r="J47" s="36">
        <v>119676.56</v>
      </c>
      <c r="K47" s="36">
        <v>0</v>
      </c>
      <c r="L47" s="36">
        <v>16808.490000000002</v>
      </c>
      <c r="M47" s="36">
        <v>541338.89</v>
      </c>
      <c r="N47" s="49">
        <v>3.7699999999999997E-2</v>
      </c>
      <c r="O47" s="64">
        <v>0.2429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7510.79</v>
      </c>
      <c r="AA47" s="36">
        <v>0</v>
      </c>
      <c r="AB47" s="36">
        <v>93224.13</v>
      </c>
      <c r="AC47" s="36">
        <v>417358.33</v>
      </c>
      <c r="AD47" s="37">
        <v>42.5</v>
      </c>
      <c r="AE47" s="36">
        <v>401516.5</v>
      </c>
      <c r="AF47" s="69">
        <f t="shared" si="42"/>
        <v>9447.4500000000007</v>
      </c>
      <c r="AG47" s="69">
        <f t="shared" si="43"/>
        <v>9820.2000000000007</v>
      </c>
      <c r="AH47" s="70">
        <f t="shared" si="40"/>
        <v>372.75</v>
      </c>
      <c r="AI47" s="37">
        <v>9.56</v>
      </c>
      <c r="AJ47" s="36">
        <v>88676.2</v>
      </c>
      <c r="AK47" s="69">
        <f t="shared" si="44"/>
        <v>9275.75</v>
      </c>
      <c r="AL47" s="69">
        <f t="shared" si="45"/>
        <v>9751.48</v>
      </c>
      <c r="AM47" s="70">
        <f t="shared" si="41"/>
        <v>475.73</v>
      </c>
      <c r="AN47" s="36">
        <v>0</v>
      </c>
      <c r="AO47" s="36">
        <v>0</v>
      </c>
    </row>
    <row r="48" spans="1:41" s="3" customFormat="1">
      <c r="A48" s="55" t="s">
        <v>670</v>
      </c>
      <c r="B48" s="55" t="s">
        <v>267</v>
      </c>
      <c r="C48" s="55" t="s">
        <v>869</v>
      </c>
      <c r="D48" s="36">
        <v>0</v>
      </c>
      <c r="E48" s="36">
        <v>30573.4</v>
      </c>
      <c r="F48" s="36">
        <v>41432.5</v>
      </c>
      <c r="G48" s="36">
        <v>2831848.7</v>
      </c>
      <c r="H48" s="36">
        <v>623850.05000000005</v>
      </c>
      <c r="I48" s="36">
        <v>471405.59</v>
      </c>
      <c r="J48" s="36">
        <v>564235.22</v>
      </c>
      <c r="K48" s="36">
        <v>418478.34</v>
      </c>
      <c r="L48" s="36">
        <v>45494.1</v>
      </c>
      <c r="M48" s="36">
        <v>671510.59</v>
      </c>
      <c r="N48" s="49">
        <v>2.6800000000000001E-2</v>
      </c>
      <c r="O48" s="64">
        <v>0.1646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5679.59</v>
      </c>
      <c r="AA48" s="36">
        <v>35077.15</v>
      </c>
      <c r="AB48" s="36">
        <v>132892.38</v>
      </c>
      <c r="AC48" s="36">
        <v>1545944.18</v>
      </c>
      <c r="AD48" s="37">
        <v>155.9</v>
      </c>
      <c r="AE48" s="36">
        <v>1444444.06</v>
      </c>
      <c r="AF48" s="69">
        <f t="shared" si="42"/>
        <v>9265.2000000000007</v>
      </c>
      <c r="AG48" s="69">
        <f t="shared" si="43"/>
        <v>9916.26</v>
      </c>
      <c r="AH48" s="70">
        <f t="shared" si="40"/>
        <v>651.05999999999995</v>
      </c>
      <c r="AI48" s="37">
        <v>13.92</v>
      </c>
      <c r="AJ48" s="36">
        <v>126517.7</v>
      </c>
      <c r="AK48" s="69">
        <f t="shared" si="44"/>
        <v>9088.92</v>
      </c>
      <c r="AL48" s="69">
        <f t="shared" si="45"/>
        <v>9546.8700000000008</v>
      </c>
      <c r="AM48" s="70">
        <f t="shared" si="41"/>
        <v>457.95</v>
      </c>
      <c r="AN48" s="36">
        <v>0</v>
      </c>
      <c r="AO48" s="36">
        <v>0</v>
      </c>
    </row>
    <row r="49" spans="1:41" s="3" customFormat="1">
      <c r="A49" s="55" t="s">
        <v>690</v>
      </c>
      <c r="B49" s="55" t="s">
        <v>287</v>
      </c>
      <c r="C49" s="55" t="s">
        <v>870</v>
      </c>
      <c r="D49" s="36">
        <v>0</v>
      </c>
      <c r="E49" s="36">
        <v>3218.81</v>
      </c>
      <c r="F49" s="36">
        <v>0</v>
      </c>
      <c r="G49" s="36">
        <v>319336.34000000003</v>
      </c>
      <c r="H49" s="36">
        <v>38914.559999999998</v>
      </c>
      <c r="I49" s="36">
        <v>0</v>
      </c>
      <c r="J49" s="36">
        <v>30263.279999999999</v>
      </c>
      <c r="K49" s="36">
        <v>0</v>
      </c>
      <c r="L49" s="36">
        <v>0</v>
      </c>
      <c r="M49" s="36">
        <v>184644.95</v>
      </c>
      <c r="N49" s="49">
        <v>4.3999999999999997E-2</v>
      </c>
      <c r="O49" s="64">
        <v>0.24479999999999999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6538.39</v>
      </c>
      <c r="AC49" s="36">
        <v>48346.74</v>
      </c>
      <c r="AD49" s="37">
        <v>5.04</v>
      </c>
      <c r="AE49" s="36">
        <v>46932.72</v>
      </c>
      <c r="AF49" s="69">
        <f t="shared" si="42"/>
        <v>9312.0499999999993</v>
      </c>
      <c r="AG49" s="69">
        <f t="shared" si="43"/>
        <v>9592.61</v>
      </c>
      <c r="AH49" s="70">
        <f t="shared" si="40"/>
        <v>280.56</v>
      </c>
      <c r="AI49" s="37">
        <v>0.68</v>
      </c>
      <c r="AJ49" s="36">
        <v>6289.3</v>
      </c>
      <c r="AK49" s="69">
        <f t="shared" si="44"/>
        <v>9248.9699999999993</v>
      </c>
      <c r="AL49" s="69">
        <f t="shared" si="45"/>
        <v>9615.2800000000007</v>
      </c>
      <c r="AM49" s="70">
        <f t="shared" si="41"/>
        <v>366.31</v>
      </c>
      <c r="AN49" s="36">
        <v>0</v>
      </c>
      <c r="AO49" s="36">
        <v>0</v>
      </c>
    </row>
    <row r="50" spans="1:41" s="3" customFormat="1">
      <c r="A50" s="55" t="s">
        <v>784</v>
      </c>
      <c r="B50" s="55" t="s">
        <v>252</v>
      </c>
      <c r="C50" s="55" t="s">
        <v>871</v>
      </c>
      <c r="D50" s="36">
        <v>0</v>
      </c>
      <c r="E50" s="36">
        <v>0</v>
      </c>
      <c r="F50" s="36">
        <v>0</v>
      </c>
      <c r="G50" s="36">
        <v>211231.97</v>
      </c>
      <c r="H50" s="36">
        <v>22045.68</v>
      </c>
      <c r="I50" s="36">
        <v>35637.050000000003</v>
      </c>
      <c r="J50" s="36">
        <v>56326.03</v>
      </c>
      <c r="K50" s="36">
        <v>0</v>
      </c>
      <c r="L50" s="36">
        <v>0</v>
      </c>
      <c r="M50" s="36">
        <v>261448.53</v>
      </c>
      <c r="N50" s="49">
        <v>4.6600000000000003E-2</v>
      </c>
      <c r="O50" s="64">
        <v>0.27129999999999999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11178.28</v>
      </c>
      <c r="AC50" s="36">
        <v>86478.83</v>
      </c>
      <c r="AD50" s="37">
        <v>7.56</v>
      </c>
      <c r="AE50" s="36">
        <v>70084.67</v>
      </c>
      <c r="AF50" s="69">
        <f t="shared" si="42"/>
        <v>9270.4599999999991</v>
      </c>
      <c r="AG50" s="69">
        <f t="shared" si="43"/>
        <v>11439</v>
      </c>
      <c r="AH50" s="70">
        <f t="shared" si="40"/>
        <v>2168.54</v>
      </c>
      <c r="AI50" s="37">
        <v>1.17</v>
      </c>
      <c r="AJ50" s="36">
        <v>10630.24</v>
      </c>
      <c r="AK50" s="69">
        <f t="shared" si="44"/>
        <v>9085.68</v>
      </c>
      <c r="AL50" s="69">
        <f t="shared" si="45"/>
        <v>9554.09</v>
      </c>
      <c r="AM50" s="70">
        <f t="shared" si="41"/>
        <v>468.41</v>
      </c>
      <c r="AN50" s="36">
        <v>0</v>
      </c>
      <c r="AO50" s="36">
        <v>0</v>
      </c>
    </row>
    <row r="51" spans="1:41" s="3" customFormat="1">
      <c r="A51" s="55" t="s">
        <v>672</v>
      </c>
      <c r="B51" s="55" t="s">
        <v>269</v>
      </c>
      <c r="C51" s="55" t="s">
        <v>872</v>
      </c>
      <c r="D51" s="36">
        <v>0</v>
      </c>
      <c r="E51" s="36">
        <v>18445.32</v>
      </c>
      <c r="F51" s="36">
        <v>21758.62</v>
      </c>
      <c r="G51" s="36">
        <v>1298595.3</v>
      </c>
      <c r="H51" s="36">
        <v>225551.88</v>
      </c>
      <c r="I51" s="36">
        <v>249644.58</v>
      </c>
      <c r="J51" s="36">
        <v>310280.36</v>
      </c>
      <c r="K51" s="36">
        <v>244112.09</v>
      </c>
      <c r="L51" s="36">
        <v>24035.8</v>
      </c>
      <c r="M51" s="36">
        <v>461361.86</v>
      </c>
      <c r="N51" s="49">
        <v>0</v>
      </c>
      <c r="O51" s="64">
        <v>0.19919999999999999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592136.31999999995</v>
      </c>
      <c r="AD51" s="37">
        <v>58.86</v>
      </c>
      <c r="AE51" s="36">
        <v>548161.69999999995</v>
      </c>
      <c r="AF51" s="69">
        <f t="shared" si="42"/>
        <v>9312.9699999999993</v>
      </c>
      <c r="AG51" s="69">
        <f t="shared" si="43"/>
        <v>10060.08</v>
      </c>
      <c r="AH51" s="70">
        <f t="shared" si="40"/>
        <v>747.11</v>
      </c>
      <c r="AI51" s="37">
        <v>0</v>
      </c>
      <c r="AJ51" s="36">
        <v>0</v>
      </c>
      <c r="AK51" s="69">
        <f t="shared" si="44"/>
        <v>0</v>
      </c>
      <c r="AL51" s="69">
        <f t="shared" si="45"/>
        <v>0</v>
      </c>
      <c r="AM51" s="70">
        <f t="shared" si="41"/>
        <v>0</v>
      </c>
      <c r="AN51" s="36">
        <v>0</v>
      </c>
      <c r="AO51" s="36">
        <v>0</v>
      </c>
    </row>
    <row r="52" spans="1:41" s="3" customFormat="1">
      <c r="A52" s="55" t="s">
        <v>653</v>
      </c>
      <c r="B52" s="55" t="s">
        <v>248</v>
      </c>
      <c r="C52" s="55" t="s">
        <v>873</v>
      </c>
      <c r="D52" s="36">
        <v>0</v>
      </c>
      <c r="E52" s="36">
        <v>0</v>
      </c>
      <c r="F52" s="36">
        <v>0</v>
      </c>
      <c r="G52" s="36">
        <v>3343792.51</v>
      </c>
      <c r="H52" s="36">
        <v>587326.96</v>
      </c>
      <c r="I52" s="36">
        <v>551655.15</v>
      </c>
      <c r="J52" s="36">
        <v>777561.48</v>
      </c>
      <c r="K52" s="36">
        <v>17868.169999999998</v>
      </c>
      <c r="L52" s="36">
        <v>53563.11</v>
      </c>
      <c r="M52" s="36">
        <v>1616159.06</v>
      </c>
      <c r="N52" s="49">
        <v>4.1700000000000001E-2</v>
      </c>
      <c r="O52" s="64">
        <v>0.1409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258779.15</v>
      </c>
      <c r="AC52" s="36">
        <v>1131294.3999999999</v>
      </c>
      <c r="AD52" s="37">
        <v>109.84</v>
      </c>
      <c r="AE52" s="36">
        <v>1037961.45</v>
      </c>
      <c r="AF52" s="69">
        <f t="shared" si="42"/>
        <v>9449.76</v>
      </c>
      <c r="AG52" s="69">
        <f t="shared" si="43"/>
        <v>10299.48</v>
      </c>
      <c r="AH52" s="70">
        <f t="shared" si="40"/>
        <v>849.72</v>
      </c>
      <c r="AI52" s="37">
        <v>26.55</v>
      </c>
      <c r="AJ52" s="36">
        <v>246135.86</v>
      </c>
      <c r="AK52" s="69">
        <f t="shared" si="44"/>
        <v>9270.65</v>
      </c>
      <c r="AL52" s="69">
        <f t="shared" si="45"/>
        <v>9746.86</v>
      </c>
      <c r="AM52" s="70">
        <f t="shared" si="41"/>
        <v>476.21</v>
      </c>
      <c r="AN52" s="36">
        <v>0</v>
      </c>
      <c r="AO52" s="36">
        <v>0</v>
      </c>
    </row>
    <row r="53" spans="1:41" s="3" customFormat="1">
      <c r="A53" s="55" t="s">
        <v>611</v>
      </c>
      <c r="B53" s="55" t="s">
        <v>205</v>
      </c>
      <c r="C53" s="55" t="s">
        <v>874</v>
      </c>
      <c r="D53" s="36">
        <v>0</v>
      </c>
      <c r="E53" s="36">
        <v>6429.65</v>
      </c>
      <c r="F53" s="36">
        <v>1746.61</v>
      </c>
      <c r="G53" s="36">
        <v>994711.91</v>
      </c>
      <c r="H53" s="36">
        <v>174524.5</v>
      </c>
      <c r="I53" s="36">
        <v>177083.48</v>
      </c>
      <c r="J53" s="36">
        <v>277248.48</v>
      </c>
      <c r="K53" s="36">
        <v>27255.91</v>
      </c>
      <c r="L53" s="36">
        <v>15953.47</v>
      </c>
      <c r="M53" s="36">
        <v>804060.59</v>
      </c>
      <c r="N53" s="49">
        <v>6.1199999999999997E-2</v>
      </c>
      <c r="O53" s="64">
        <v>0.2306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26991.77</v>
      </c>
      <c r="AC53" s="36">
        <v>277858.62</v>
      </c>
      <c r="AD53" s="37">
        <v>27.82</v>
      </c>
      <c r="AE53" s="36">
        <v>268571.69</v>
      </c>
      <c r="AF53" s="69">
        <f t="shared" si="42"/>
        <v>9653.91</v>
      </c>
      <c r="AG53" s="69">
        <f t="shared" si="43"/>
        <v>9987.73</v>
      </c>
      <c r="AH53" s="70">
        <f t="shared" si="40"/>
        <v>333.82</v>
      </c>
      <c r="AI53" s="37">
        <v>2.7</v>
      </c>
      <c r="AJ53" s="36">
        <v>25419.52</v>
      </c>
      <c r="AK53" s="69">
        <f t="shared" si="44"/>
        <v>9414.64</v>
      </c>
      <c r="AL53" s="69">
        <f t="shared" si="45"/>
        <v>9996.9500000000007</v>
      </c>
      <c r="AM53" s="70">
        <f t="shared" si="41"/>
        <v>582.30999999999995</v>
      </c>
      <c r="AN53" s="36">
        <v>0</v>
      </c>
      <c r="AO53" s="36">
        <v>0</v>
      </c>
    </row>
    <row r="54" spans="1:41" s="3" customFormat="1">
      <c r="A54" s="55" t="s">
        <v>616</v>
      </c>
      <c r="B54" s="55" t="s">
        <v>210</v>
      </c>
      <c r="C54" s="55" t="s">
        <v>875</v>
      </c>
      <c r="D54" s="36">
        <v>0</v>
      </c>
      <c r="E54" s="36">
        <v>8826.64</v>
      </c>
      <c r="F54" s="36">
        <v>0</v>
      </c>
      <c r="G54" s="36">
        <v>626667.04</v>
      </c>
      <c r="H54" s="36">
        <v>51750.45</v>
      </c>
      <c r="I54" s="36">
        <v>0</v>
      </c>
      <c r="J54" s="36">
        <v>98659.82</v>
      </c>
      <c r="K54" s="36">
        <v>47098.76</v>
      </c>
      <c r="L54" s="36">
        <v>14798.97</v>
      </c>
      <c r="M54" s="36">
        <v>260498.16</v>
      </c>
      <c r="N54" s="49">
        <v>2.1600000000000001E-2</v>
      </c>
      <c r="O54" s="64">
        <v>0.18310000000000001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7">
        <v>0</v>
      </c>
      <c r="AE54" s="36">
        <v>0</v>
      </c>
      <c r="AF54" s="69">
        <f t="shared" si="42"/>
        <v>0</v>
      </c>
      <c r="AG54" s="69">
        <f t="shared" si="43"/>
        <v>0</v>
      </c>
      <c r="AH54" s="70">
        <f t="shared" si="40"/>
        <v>0</v>
      </c>
      <c r="AI54" s="37">
        <v>0</v>
      </c>
      <c r="AJ54" s="36">
        <v>0</v>
      </c>
      <c r="AK54" s="69">
        <f t="shared" si="44"/>
        <v>0</v>
      </c>
      <c r="AL54" s="69">
        <f t="shared" si="45"/>
        <v>0</v>
      </c>
      <c r="AM54" s="70">
        <f t="shared" si="41"/>
        <v>0</v>
      </c>
      <c r="AN54" s="36">
        <v>0</v>
      </c>
      <c r="AO54" s="36">
        <v>0</v>
      </c>
    </row>
    <row r="55" spans="1:41" s="3" customFormat="1">
      <c r="A55" s="55" t="s">
        <v>495</v>
      </c>
      <c r="B55" s="55" t="s">
        <v>88</v>
      </c>
      <c r="C55" s="55" t="s">
        <v>876</v>
      </c>
      <c r="D55" s="36">
        <v>0</v>
      </c>
      <c r="E55" s="36">
        <v>0</v>
      </c>
      <c r="F55" s="36">
        <v>0</v>
      </c>
      <c r="G55" s="36">
        <v>367433.09</v>
      </c>
      <c r="H55" s="36">
        <v>70756.149999999994</v>
      </c>
      <c r="I55" s="36">
        <v>57625.86</v>
      </c>
      <c r="J55" s="36">
        <v>67049.649999999994</v>
      </c>
      <c r="K55" s="36">
        <v>2558.85</v>
      </c>
      <c r="L55" s="36">
        <v>5307.65</v>
      </c>
      <c r="M55" s="36">
        <v>89220.3</v>
      </c>
      <c r="N55" s="49">
        <v>2.9700000000000001E-2</v>
      </c>
      <c r="O55" s="64">
        <v>0.25059999999999999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7">
        <v>0</v>
      </c>
      <c r="AE55" s="36">
        <v>0</v>
      </c>
      <c r="AF55" s="69">
        <f t="shared" si="42"/>
        <v>0</v>
      </c>
      <c r="AG55" s="69">
        <f t="shared" si="43"/>
        <v>0</v>
      </c>
      <c r="AH55" s="70">
        <f t="shared" si="40"/>
        <v>0</v>
      </c>
      <c r="AI55" s="37">
        <v>0</v>
      </c>
      <c r="AJ55" s="36">
        <v>0</v>
      </c>
      <c r="AK55" s="69">
        <f t="shared" si="44"/>
        <v>0</v>
      </c>
      <c r="AL55" s="69">
        <f t="shared" si="45"/>
        <v>0</v>
      </c>
      <c r="AM55" s="70">
        <f t="shared" si="41"/>
        <v>0</v>
      </c>
      <c r="AN55" s="36">
        <v>0</v>
      </c>
      <c r="AO55" s="36">
        <v>0</v>
      </c>
    </row>
    <row r="56" spans="1:41" s="3" customFormat="1">
      <c r="A56" s="55" t="s">
        <v>480</v>
      </c>
      <c r="B56" s="55" t="s">
        <v>73</v>
      </c>
      <c r="C56" s="55" t="s">
        <v>877</v>
      </c>
      <c r="D56" s="36">
        <v>13814.12</v>
      </c>
      <c r="E56" s="36">
        <v>6025.82</v>
      </c>
      <c r="F56" s="36">
        <v>0</v>
      </c>
      <c r="G56" s="36">
        <v>273985.68</v>
      </c>
      <c r="H56" s="36">
        <v>42721.13</v>
      </c>
      <c r="I56" s="36">
        <v>0</v>
      </c>
      <c r="J56" s="36">
        <v>55134.52</v>
      </c>
      <c r="K56" s="36">
        <v>0</v>
      </c>
      <c r="L56" s="36">
        <v>6065.88</v>
      </c>
      <c r="M56" s="36">
        <v>496598.2</v>
      </c>
      <c r="N56" s="49">
        <v>3.2500000000000001E-2</v>
      </c>
      <c r="O56" s="64">
        <v>0.20180000000000001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3043.79</v>
      </c>
      <c r="AC56" s="36">
        <v>189258.48</v>
      </c>
      <c r="AD56" s="37">
        <v>19.02</v>
      </c>
      <c r="AE56" s="36">
        <v>176379.06</v>
      </c>
      <c r="AF56" s="69">
        <f t="shared" si="42"/>
        <v>9273.35</v>
      </c>
      <c r="AG56" s="69">
        <f t="shared" si="43"/>
        <v>9950.5</v>
      </c>
      <c r="AH56" s="70">
        <f t="shared" si="40"/>
        <v>677.15</v>
      </c>
      <c r="AI56" s="37">
        <v>0.32</v>
      </c>
      <c r="AJ56" s="36">
        <v>2804.79</v>
      </c>
      <c r="AK56" s="69">
        <f t="shared" si="44"/>
        <v>8764.9699999999993</v>
      </c>
      <c r="AL56" s="69">
        <f t="shared" si="45"/>
        <v>9511.84</v>
      </c>
      <c r="AM56" s="70">
        <f t="shared" si="41"/>
        <v>746.87</v>
      </c>
      <c r="AN56" s="36">
        <v>200</v>
      </c>
      <c r="AO56" s="36">
        <v>0</v>
      </c>
    </row>
    <row r="57" spans="1:41" s="3" customFormat="1">
      <c r="A57" s="55" t="s">
        <v>501</v>
      </c>
      <c r="B57" s="55" t="s">
        <v>94</v>
      </c>
      <c r="C57" s="55" t="s">
        <v>878</v>
      </c>
      <c r="D57" s="36">
        <v>0</v>
      </c>
      <c r="E57" s="36">
        <v>14109.04</v>
      </c>
      <c r="F57" s="36">
        <v>0</v>
      </c>
      <c r="G57" s="36">
        <v>2102808.4300000002</v>
      </c>
      <c r="H57" s="36">
        <v>361507.77</v>
      </c>
      <c r="I57" s="36">
        <v>161258.07</v>
      </c>
      <c r="J57" s="36">
        <v>328903.77</v>
      </c>
      <c r="K57" s="36">
        <v>59907.91</v>
      </c>
      <c r="L57" s="36">
        <v>35192.339999999997</v>
      </c>
      <c r="M57" s="36">
        <v>703342.19</v>
      </c>
      <c r="N57" s="49">
        <v>5.0900000000000001E-2</v>
      </c>
      <c r="O57" s="64">
        <v>0.19839999999999999</v>
      </c>
      <c r="P57" s="36">
        <v>0</v>
      </c>
      <c r="Q57" s="36">
        <v>0</v>
      </c>
      <c r="R57" s="36">
        <v>0</v>
      </c>
      <c r="S57" s="36">
        <v>153379.24</v>
      </c>
      <c r="T57" s="36">
        <v>0</v>
      </c>
      <c r="U57" s="36">
        <v>6228.72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>
        <v>41279.519999999997</v>
      </c>
      <c r="AC57" s="36">
        <v>326509.14</v>
      </c>
      <c r="AD57" s="37">
        <v>31.24</v>
      </c>
      <c r="AE57" s="36">
        <v>314832.99</v>
      </c>
      <c r="AF57" s="69">
        <f t="shared" si="42"/>
        <v>10077.879999999999</v>
      </c>
      <c r="AG57" s="69">
        <f t="shared" si="43"/>
        <v>10451.64</v>
      </c>
      <c r="AH57" s="70">
        <f t="shared" si="40"/>
        <v>373.76</v>
      </c>
      <c r="AI57" s="37">
        <v>3.96</v>
      </c>
      <c r="AJ57" s="36">
        <v>39358.300000000003</v>
      </c>
      <c r="AK57" s="69">
        <f t="shared" si="44"/>
        <v>9938.9599999999991</v>
      </c>
      <c r="AL57" s="69">
        <f t="shared" si="45"/>
        <v>10424.120000000001</v>
      </c>
      <c r="AM57" s="70">
        <f t="shared" si="41"/>
        <v>485.16</v>
      </c>
      <c r="AN57" s="36">
        <v>0</v>
      </c>
      <c r="AO57" s="36">
        <v>0</v>
      </c>
    </row>
    <row r="58" spans="1:41" s="3" customFormat="1">
      <c r="A58" s="55" t="s">
        <v>440</v>
      </c>
      <c r="B58" s="55" t="s">
        <v>33</v>
      </c>
      <c r="C58" s="55" t="s">
        <v>879</v>
      </c>
      <c r="D58" s="36">
        <v>0</v>
      </c>
      <c r="E58" s="36">
        <v>0</v>
      </c>
      <c r="F58" s="36">
        <v>0</v>
      </c>
      <c r="G58" s="36">
        <v>497363.69</v>
      </c>
      <c r="H58" s="36">
        <v>71327.81</v>
      </c>
      <c r="I58" s="36">
        <v>69107.7</v>
      </c>
      <c r="J58" s="36">
        <v>147314.25</v>
      </c>
      <c r="K58" s="36">
        <v>0</v>
      </c>
      <c r="L58" s="36">
        <v>11915.12</v>
      </c>
      <c r="M58" s="36">
        <v>179352.14</v>
      </c>
      <c r="N58" s="49">
        <v>0.1305</v>
      </c>
      <c r="O58" s="64">
        <v>0.21110000000000001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5285.61</v>
      </c>
      <c r="AB58" s="36">
        <v>0</v>
      </c>
      <c r="AC58" s="36">
        <v>62308.28</v>
      </c>
      <c r="AD58" s="37">
        <v>2.38</v>
      </c>
      <c r="AE58" s="36">
        <v>21853.15</v>
      </c>
      <c r="AF58" s="69">
        <f t="shared" si="42"/>
        <v>9182</v>
      </c>
      <c r="AG58" s="69">
        <f t="shared" si="43"/>
        <v>26179.95</v>
      </c>
      <c r="AH58" s="70">
        <f t="shared" si="40"/>
        <v>16997.95</v>
      </c>
      <c r="AI58" s="37">
        <v>0</v>
      </c>
      <c r="AJ58" s="36">
        <v>0</v>
      </c>
      <c r="AK58" s="69">
        <f t="shared" si="44"/>
        <v>0</v>
      </c>
      <c r="AL58" s="69">
        <f t="shared" si="45"/>
        <v>0</v>
      </c>
      <c r="AM58" s="70">
        <f t="shared" si="41"/>
        <v>0</v>
      </c>
      <c r="AN58" s="36">
        <v>0</v>
      </c>
      <c r="AO58" s="36">
        <v>0</v>
      </c>
    </row>
    <row r="59" spans="1:41" s="3" customFormat="1">
      <c r="A59" s="55" t="s">
        <v>564</v>
      </c>
      <c r="B59" s="55" t="s">
        <v>157</v>
      </c>
      <c r="C59" s="55" t="s">
        <v>880</v>
      </c>
      <c r="D59" s="36">
        <v>0</v>
      </c>
      <c r="E59" s="36">
        <v>0</v>
      </c>
      <c r="F59" s="36">
        <v>0</v>
      </c>
      <c r="G59" s="36">
        <v>118299.96</v>
      </c>
      <c r="H59" s="36">
        <v>17699.59</v>
      </c>
      <c r="I59" s="36">
        <v>13438.19</v>
      </c>
      <c r="J59" s="36">
        <v>35725.94</v>
      </c>
      <c r="K59" s="36">
        <v>0</v>
      </c>
      <c r="L59" s="36">
        <v>2294.3200000000002</v>
      </c>
      <c r="M59" s="36">
        <v>699671.86</v>
      </c>
      <c r="N59" s="49">
        <v>5.96E-2</v>
      </c>
      <c r="O59" s="64">
        <v>0.2482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6032</v>
      </c>
      <c r="AB59" s="36">
        <v>8758.2099999999991</v>
      </c>
      <c r="AC59" s="36">
        <v>45652.2</v>
      </c>
      <c r="AD59" s="37">
        <v>3.49</v>
      </c>
      <c r="AE59" s="36">
        <v>32473.34</v>
      </c>
      <c r="AF59" s="69">
        <f t="shared" si="42"/>
        <v>9304.68</v>
      </c>
      <c r="AG59" s="69">
        <f t="shared" si="43"/>
        <v>13080.86</v>
      </c>
      <c r="AH59" s="70">
        <f t="shared" si="40"/>
        <v>3776.18</v>
      </c>
      <c r="AI59" s="37">
        <v>0.91</v>
      </c>
      <c r="AJ59" s="36">
        <v>8354</v>
      </c>
      <c r="AK59" s="69">
        <f t="shared" si="44"/>
        <v>9180.2199999999993</v>
      </c>
      <c r="AL59" s="69">
        <f t="shared" si="45"/>
        <v>9624.41</v>
      </c>
      <c r="AM59" s="70">
        <f t="shared" si="41"/>
        <v>444.19</v>
      </c>
      <c r="AN59" s="36">
        <v>0</v>
      </c>
      <c r="AO59" s="36">
        <v>0</v>
      </c>
    </row>
    <row r="60" spans="1:41" s="3" customFormat="1">
      <c r="A60" s="55" t="s">
        <v>468</v>
      </c>
      <c r="B60" s="55" t="s">
        <v>61</v>
      </c>
      <c r="C60" s="55" t="s">
        <v>881</v>
      </c>
      <c r="D60" s="36">
        <v>0</v>
      </c>
      <c r="E60" s="36">
        <v>0</v>
      </c>
      <c r="F60" s="36">
        <v>0</v>
      </c>
      <c r="G60" s="36">
        <v>517815.74</v>
      </c>
      <c r="H60" s="36">
        <v>51480.3</v>
      </c>
      <c r="I60" s="36">
        <v>68720.539999999994</v>
      </c>
      <c r="J60" s="36">
        <v>100950.37</v>
      </c>
      <c r="K60" s="36">
        <v>0</v>
      </c>
      <c r="L60" s="36">
        <v>0</v>
      </c>
      <c r="M60" s="36">
        <v>323745.18</v>
      </c>
      <c r="N60" s="49">
        <v>5.9700000000000003E-2</v>
      </c>
      <c r="O60" s="64">
        <v>0.34189999999999998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v>60098.71</v>
      </c>
      <c r="AD60" s="37">
        <v>5.2</v>
      </c>
      <c r="AE60" s="36">
        <v>48463.199999999997</v>
      </c>
      <c r="AF60" s="69">
        <f t="shared" si="42"/>
        <v>9319.85</v>
      </c>
      <c r="AG60" s="69">
        <f t="shared" si="43"/>
        <v>11557.44</v>
      </c>
      <c r="AH60" s="70">
        <f t="shared" si="40"/>
        <v>2237.59</v>
      </c>
      <c r="AI60" s="37">
        <v>0</v>
      </c>
      <c r="AJ60" s="36">
        <v>0</v>
      </c>
      <c r="AK60" s="69">
        <f t="shared" si="44"/>
        <v>0</v>
      </c>
      <c r="AL60" s="69">
        <f t="shared" si="45"/>
        <v>0</v>
      </c>
      <c r="AM60" s="70">
        <f t="shared" si="41"/>
        <v>0</v>
      </c>
      <c r="AN60" s="36">
        <v>500</v>
      </c>
      <c r="AO60" s="36">
        <v>0</v>
      </c>
    </row>
    <row r="61" spans="1:41" s="3" customFormat="1">
      <c r="A61" s="55" t="s">
        <v>590</v>
      </c>
      <c r="B61" s="55" t="s">
        <v>184</v>
      </c>
      <c r="C61" s="55" t="s">
        <v>882</v>
      </c>
      <c r="D61" s="36">
        <v>0</v>
      </c>
      <c r="E61" s="36">
        <v>16809.95</v>
      </c>
      <c r="F61" s="36">
        <v>7636.17</v>
      </c>
      <c r="G61" s="36">
        <v>554034.18000000005</v>
      </c>
      <c r="H61" s="36">
        <v>73356.87</v>
      </c>
      <c r="I61" s="36">
        <v>80047.960000000006</v>
      </c>
      <c r="J61" s="36">
        <v>180243.32</v>
      </c>
      <c r="K61" s="36">
        <v>0</v>
      </c>
      <c r="L61" s="36">
        <v>0</v>
      </c>
      <c r="M61" s="36">
        <v>322409.39</v>
      </c>
      <c r="N61" s="49">
        <v>4.0399999999999998E-2</v>
      </c>
      <c r="O61" s="64">
        <v>0.28389999999999999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106855.88</v>
      </c>
      <c r="AD61" s="37">
        <v>11.08</v>
      </c>
      <c r="AE61" s="36">
        <v>102645.73</v>
      </c>
      <c r="AF61" s="69">
        <f t="shared" si="42"/>
        <v>9264.06</v>
      </c>
      <c r="AG61" s="69">
        <f t="shared" si="43"/>
        <v>9644.0300000000007</v>
      </c>
      <c r="AH61" s="70">
        <f t="shared" si="40"/>
        <v>379.97</v>
      </c>
      <c r="AI61" s="37">
        <v>0</v>
      </c>
      <c r="AJ61" s="36">
        <v>0</v>
      </c>
      <c r="AK61" s="69">
        <f t="shared" si="44"/>
        <v>0</v>
      </c>
      <c r="AL61" s="69">
        <f t="shared" si="45"/>
        <v>0</v>
      </c>
      <c r="AM61" s="70">
        <f t="shared" si="41"/>
        <v>0</v>
      </c>
      <c r="AN61" s="36">
        <v>0</v>
      </c>
      <c r="AO61" s="36">
        <v>0</v>
      </c>
    </row>
    <row r="62" spans="1:41" s="3" customFormat="1">
      <c r="A62" s="55" t="s">
        <v>532</v>
      </c>
      <c r="B62" s="55" t="s">
        <v>125</v>
      </c>
      <c r="C62" s="55" t="s">
        <v>883</v>
      </c>
      <c r="D62" s="36">
        <v>0</v>
      </c>
      <c r="E62" s="36">
        <v>0</v>
      </c>
      <c r="F62" s="36">
        <v>0</v>
      </c>
      <c r="G62" s="36">
        <v>85243.69</v>
      </c>
      <c r="H62" s="36">
        <v>5755.27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49">
        <v>1.11E-2</v>
      </c>
      <c r="O62" s="64">
        <v>0.34279999999999999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6">
        <v>0</v>
      </c>
      <c r="AC62" s="36">
        <v>0</v>
      </c>
      <c r="AD62" s="37">
        <v>0</v>
      </c>
      <c r="AE62" s="36">
        <v>0</v>
      </c>
      <c r="AF62" s="69">
        <f t="shared" si="42"/>
        <v>0</v>
      </c>
      <c r="AG62" s="69">
        <f t="shared" si="43"/>
        <v>0</v>
      </c>
      <c r="AH62" s="70">
        <f t="shared" si="40"/>
        <v>0</v>
      </c>
      <c r="AI62" s="37">
        <v>0</v>
      </c>
      <c r="AJ62" s="36">
        <v>0</v>
      </c>
      <c r="AK62" s="69">
        <f t="shared" si="44"/>
        <v>0</v>
      </c>
      <c r="AL62" s="69">
        <f t="shared" si="45"/>
        <v>0</v>
      </c>
      <c r="AM62" s="70">
        <f t="shared" si="41"/>
        <v>0</v>
      </c>
      <c r="AN62" s="36">
        <v>0</v>
      </c>
      <c r="AO62" s="36">
        <v>0</v>
      </c>
    </row>
    <row r="63" spans="1:41" s="3" customFormat="1">
      <c r="A63" s="55" t="s">
        <v>633</v>
      </c>
      <c r="B63" s="55" t="s">
        <v>227</v>
      </c>
      <c r="C63" s="55" t="s">
        <v>884</v>
      </c>
      <c r="D63" s="36">
        <v>0</v>
      </c>
      <c r="E63" s="36">
        <v>15426.52</v>
      </c>
      <c r="F63" s="36">
        <v>7275.32</v>
      </c>
      <c r="G63" s="36">
        <v>899706.24</v>
      </c>
      <c r="H63" s="36">
        <v>134773.06</v>
      </c>
      <c r="I63" s="36">
        <v>117076.03</v>
      </c>
      <c r="J63" s="36">
        <v>170412</v>
      </c>
      <c r="K63" s="36">
        <v>0</v>
      </c>
      <c r="L63" s="36">
        <v>14230.9</v>
      </c>
      <c r="M63" s="36">
        <v>435441.79</v>
      </c>
      <c r="N63" s="49">
        <v>4.9700000000000001E-2</v>
      </c>
      <c r="O63" s="64">
        <v>0.20880000000000001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158066.13</v>
      </c>
      <c r="AD63" s="37">
        <v>15.22</v>
      </c>
      <c r="AE63" s="36">
        <v>152623.43</v>
      </c>
      <c r="AF63" s="69">
        <f t="shared" si="42"/>
        <v>10027.82</v>
      </c>
      <c r="AG63" s="69">
        <f t="shared" si="43"/>
        <v>10385.42</v>
      </c>
      <c r="AH63" s="70">
        <f t="shared" si="40"/>
        <v>357.6</v>
      </c>
      <c r="AI63" s="37">
        <v>0</v>
      </c>
      <c r="AJ63" s="36">
        <v>0</v>
      </c>
      <c r="AK63" s="69">
        <f t="shared" si="44"/>
        <v>0</v>
      </c>
      <c r="AL63" s="69">
        <f t="shared" si="45"/>
        <v>0</v>
      </c>
      <c r="AM63" s="70">
        <f t="shared" si="41"/>
        <v>0</v>
      </c>
      <c r="AN63" s="36">
        <v>0</v>
      </c>
      <c r="AO63" s="36">
        <v>0</v>
      </c>
    </row>
    <row r="64" spans="1:41" s="3" customFormat="1">
      <c r="A64" s="55" t="s">
        <v>568</v>
      </c>
      <c r="B64" s="55" t="s">
        <v>161</v>
      </c>
      <c r="C64" s="55" t="s">
        <v>885</v>
      </c>
      <c r="D64" s="36">
        <v>0</v>
      </c>
      <c r="E64" s="36">
        <v>0</v>
      </c>
      <c r="F64" s="36">
        <v>0</v>
      </c>
      <c r="G64" s="36">
        <v>1062549.44</v>
      </c>
      <c r="H64" s="36">
        <v>118885.64</v>
      </c>
      <c r="I64" s="36">
        <v>195732.97</v>
      </c>
      <c r="J64" s="36">
        <v>244368.33</v>
      </c>
      <c r="K64" s="36">
        <v>0</v>
      </c>
      <c r="L64" s="36">
        <v>20472.349999999999</v>
      </c>
      <c r="M64" s="36">
        <v>594534.04</v>
      </c>
      <c r="N64" s="49">
        <v>3.1399999999999997E-2</v>
      </c>
      <c r="O64" s="64">
        <v>0.20610000000000001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3279.5</v>
      </c>
      <c r="AA64" s="36">
        <v>0</v>
      </c>
      <c r="AB64" s="36">
        <v>129210.1</v>
      </c>
      <c r="AC64" s="36">
        <v>465708.87</v>
      </c>
      <c r="AD64" s="37">
        <v>48.47</v>
      </c>
      <c r="AE64" s="36">
        <v>449214.37</v>
      </c>
      <c r="AF64" s="69">
        <f t="shared" si="42"/>
        <v>9267.8799999999992</v>
      </c>
      <c r="AG64" s="69">
        <f t="shared" si="43"/>
        <v>9608.19</v>
      </c>
      <c r="AH64" s="70">
        <f t="shared" si="40"/>
        <v>340.31</v>
      </c>
      <c r="AI64" s="37">
        <v>13.54</v>
      </c>
      <c r="AJ64" s="36">
        <v>122903.38</v>
      </c>
      <c r="AK64" s="69">
        <f t="shared" si="44"/>
        <v>9077.06</v>
      </c>
      <c r="AL64" s="69">
        <f t="shared" si="45"/>
        <v>9542.84</v>
      </c>
      <c r="AM64" s="70">
        <f t="shared" si="41"/>
        <v>465.78</v>
      </c>
      <c r="AN64" s="36">
        <v>0</v>
      </c>
      <c r="AO64" s="36">
        <v>0</v>
      </c>
    </row>
    <row r="65" spans="1:41" s="3" customFormat="1">
      <c r="A65" s="55" t="s">
        <v>453</v>
      </c>
      <c r="B65" s="55" t="s">
        <v>46</v>
      </c>
      <c r="C65" s="55" t="s">
        <v>886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111496.41</v>
      </c>
      <c r="J65" s="36">
        <v>131778.69</v>
      </c>
      <c r="K65" s="36">
        <v>1433.87</v>
      </c>
      <c r="L65" s="36">
        <v>11429.77</v>
      </c>
      <c r="M65" s="36">
        <v>371472.12</v>
      </c>
      <c r="N65" s="49">
        <v>4.4299999999999999E-2</v>
      </c>
      <c r="O65" s="64">
        <v>0.2051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34058.160000000003</v>
      </c>
      <c r="AC65" s="36">
        <v>254028.95</v>
      </c>
      <c r="AD65" s="37">
        <v>24.22</v>
      </c>
      <c r="AE65" s="36">
        <v>228808.48</v>
      </c>
      <c r="AF65" s="69">
        <f t="shared" si="42"/>
        <v>9447.09</v>
      </c>
      <c r="AG65" s="69">
        <f t="shared" si="43"/>
        <v>10488.4</v>
      </c>
      <c r="AH65" s="70">
        <f t="shared" si="40"/>
        <v>1041.31</v>
      </c>
      <c r="AI65" s="37">
        <v>3.48</v>
      </c>
      <c r="AJ65" s="36">
        <v>32207.17</v>
      </c>
      <c r="AK65" s="69">
        <f t="shared" si="44"/>
        <v>9254.93</v>
      </c>
      <c r="AL65" s="69">
        <f t="shared" si="45"/>
        <v>9786.83</v>
      </c>
      <c r="AM65" s="70">
        <f t="shared" si="41"/>
        <v>531.9</v>
      </c>
      <c r="AN65" s="36">
        <v>0</v>
      </c>
      <c r="AO65" s="36">
        <v>0</v>
      </c>
    </row>
    <row r="66" spans="1:41" s="3" customFormat="1">
      <c r="A66" s="55" t="s">
        <v>647</v>
      </c>
      <c r="B66" s="55" t="s">
        <v>242</v>
      </c>
      <c r="C66" s="55" t="s">
        <v>887</v>
      </c>
      <c r="D66" s="36">
        <v>0</v>
      </c>
      <c r="E66" s="36">
        <v>90449.58</v>
      </c>
      <c r="F66" s="36">
        <v>0</v>
      </c>
      <c r="G66" s="36">
        <v>4400099.4000000004</v>
      </c>
      <c r="H66" s="36">
        <v>730069.45</v>
      </c>
      <c r="I66" s="36">
        <v>470105.75</v>
      </c>
      <c r="J66" s="36">
        <v>941944.61</v>
      </c>
      <c r="K66" s="36">
        <v>52882.879999999997</v>
      </c>
      <c r="L66" s="36">
        <v>82430.990000000005</v>
      </c>
      <c r="M66" s="36">
        <v>1771763.42</v>
      </c>
      <c r="N66" s="49">
        <v>2.5999999999999999E-2</v>
      </c>
      <c r="O66" s="64">
        <v>0.16569999999999999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1985.4</v>
      </c>
      <c r="AB66" s="36">
        <v>0</v>
      </c>
      <c r="AC66" s="36">
        <v>1268128.47</v>
      </c>
      <c r="AD66" s="37">
        <v>116.46</v>
      </c>
      <c r="AE66" s="36">
        <v>1079038.6200000001</v>
      </c>
      <c r="AF66" s="69">
        <f t="shared" si="42"/>
        <v>9265.32</v>
      </c>
      <c r="AG66" s="69">
        <f t="shared" si="43"/>
        <v>10888.96</v>
      </c>
      <c r="AH66" s="70">
        <f t="shared" si="40"/>
        <v>1623.64</v>
      </c>
      <c r="AI66" s="37">
        <v>0</v>
      </c>
      <c r="AJ66" s="36">
        <v>0</v>
      </c>
      <c r="AK66" s="69">
        <f t="shared" si="44"/>
        <v>0</v>
      </c>
      <c r="AL66" s="69">
        <f t="shared" si="45"/>
        <v>0</v>
      </c>
      <c r="AM66" s="70">
        <f t="shared" si="41"/>
        <v>0</v>
      </c>
      <c r="AN66" s="36">
        <v>0</v>
      </c>
      <c r="AO66" s="36">
        <v>0</v>
      </c>
    </row>
    <row r="67" spans="1:41" s="3" customFormat="1">
      <c r="A67" s="55" t="s">
        <v>598</v>
      </c>
      <c r="B67" s="55" t="s">
        <v>192</v>
      </c>
      <c r="C67" s="55" t="s">
        <v>888</v>
      </c>
      <c r="D67" s="36">
        <v>0</v>
      </c>
      <c r="E67" s="36">
        <v>0</v>
      </c>
      <c r="F67" s="36">
        <v>0</v>
      </c>
      <c r="G67" s="36">
        <v>2331145.87</v>
      </c>
      <c r="H67" s="36">
        <v>504746.22</v>
      </c>
      <c r="I67" s="36">
        <v>0</v>
      </c>
      <c r="J67" s="36">
        <v>204965.77</v>
      </c>
      <c r="K67" s="36">
        <v>232459.12</v>
      </c>
      <c r="L67" s="36">
        <v>50069.85</v>
      </c>
      <c r="M67" s="36">
        <v>1459237.39</v>
      </c>
      <c r="N67" s="49">
        <v>4.3099999999999999E-2</v>
      </c>
      <c r="O67" s="64">
        <v>0.18729999999999999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71986.78</v>
      </c>
      <c r="AA67" s="36">
        <v>0</v>
      </c>
      <c r="AB67" s="36">
        <v>882623.98</v>
      </c>
      <c r="AC67" s="36">
        <v>0</v>
      </c>
      <c r="AD67" s="37">
        <v>0</v>
      </c>
      <c r="AE67" s="36">
        <v>0</v>
      </c>
      <c r="AF67" s="69">
        <f t="shared" si="42"/>
        <v>0</v>
      </c>
      <c r="AG67" s="69">
        <f t="shared" si="43"/>
        <v>0</v>
      </c>
      <c r="AH67" s="70">
        <f t="shared" si="40"/>
        <v>0</v>
      </c>
      <c r="AI67" s="37">
        <v>83.64</v>
      </c>
      <c r="AJ67" s="36">
        <v>839483.3</v>
      </c>
      <c r="AK67" s="69">
        <f t="shared" si="44"/>
        <v>10036.86</v>
      </c>
      <c r="AL67" s="69">
        <f t="shared" si="45"/>
        <v>10552.65</v>
      </c>
      <c r="AM67" s="70">
        <f t="shared" si="41"/>
        <v>515.79</v>
      </c>
      <c r="AN67" s="36">
        <v>0</v>
      </c>
      <c r="AO67" s="36">
        <v>0</v>
      </c>
    </row>
    <row r="68" spans="1:41" s="3" customFormat="1">
      <c r="A68" s="55" t="s">
        <v>668</v>
      </c>
      <c r="B68" s="55" t="s">
        <v>265</v>
      </c>
      <c r="C68" s="55" t="s">
        <v>889</v>
      </c>
      <c r="D68" s="36">
        <v>0</v>
      </c>
      <c r="E68" s="36">
        <v>0</v>
      </c>
      <c r="F68" s="36">
        <v>234.5</v>
      </c>
      <c r="G68" s="36">
        <v>0</v>
      </c>
      <c r="H68" s="36">
        <v>0</v>
      </c>
      <c r="I68" s="36">
        <v>6275.17</v>
      </c>
      <c r="J68" s="36">
        <v>13558.87</v>
      </c>
      <c r="K68" s="36">
        <v>0</v>
      </c>
      <c r="L68" s="36">
        <v>0</v>
      </c>
      <c r="M68" s="36">
        <v>119995.04</v>
      </c>
      <c r="N68" s="49">
        <v>0.1056</v>
      </c>
      <c r="O68" s="64">
        <v>0.36070000000000002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6">
        <v>0</v>
      </c>
      <c r="AC68" s="36">
        <v>0</v>
      </c>
      <c r="AD68" s="37">
        <v>0</v>
      </c>
      <c r="AE68" s="36">
        <v>0</v>
      </c>
      <c r="AF68" s="69">
        <f t="shared" si="42"/>
        <v>0</v>
      </c>
      <c r="AG68" s="69">
        <f t="shared" si="43"/>
        <v>0</v>
      </c>
      <c r="AH68" s="70">
        <f t="shared" si="40"/>
        <v>0</v>
      </c>
      <c r="AI68" s="37">
        <v>0</v>
      </c>
      <c r="AJ68" s="36">
        <v>0</v>
      </c>
      <c r="AK68" s="69">
        <f t="shared" si="44"/>
        <v>0</v>
      </c>
      <c r="AL68" s="69">
        <f t="shared" si="45"/>
        <v>0</v>
      </c>
      <c r="AM68" s="70">
        <f t="shared" si="41"/>
        <v>0</v>
      </c>
      <c r="AN68" s="36">
        <v>0</v>
      </c>
      <c r="AO68" s="36">
        <v>0</v>
      </c>
    </row>
    <row r="69" spans="1:41" s="3" customFormat="1">
      <c r="A69" s="55" t="s">
        <v>645</v>
      </c>
      <c r="B69" s="55" t="s">
        <v>239</v>
      </c>
      <c r="C69" s="55" t="s">
        <v>890</v>
      </c>
      <c r="D69" s="36">
        <v>0</v>
      </c>
      <c r="E69" s="36">
        <v>128202.07</v>
      </c>
      <c r="F69" s="36">
        <v>17324.150000000001</v>
      </c>
      <c r="G69" s="36">
        <v>6910230.6699999999</v>
      </c>
      <c r="H69" s="36">
        <v>1582796.13</v>
      </c>
      <c r="I69" s="36">
        <v>1001226.64</v>
      </c>
      <c r="J69" s="36">
        <v>1537081.8</v>
      </c>
      <c r="K69" s="36">
        <v>322068.45</v>
      </c>
      <c r="L69" s="36">
        <v>109591.46</v>
      </c>
      <c r="M69" s="36">
        <v>2750929.79</v>
      </c>
      <c r="N69" s="49">
        <v>3.2899999999999999E-2</v>
      </c>
      <c r="O69" s="64">
        <v>0.18809999999999999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482145.87</v>
      </c>
      <c r="AC69" s="36">
        <v>2057781.2</v>
      </c>
      <c r="AD69" s="37">
        <v>199.72</v>
      </c>
      <c r="AE69" s="36">
        <v>1887266.98</v>
      </c>
      <c r="AF69" s="69">
        <f t="shared" si="42"/>
        <v>9449.56</v>
      </c>
      <c r="AG69" s="69">
        <f t="shared" si="43"/>
        <v>10303.33</v>
      </c>
      <c r="AH69" s="70">
        <f t="shared" si="40"/>
        <v>853.77</v>
      </c>
      <c r="AI69" s="37">
        <v>49.45</v>
      </c>
      <c r="AJ69" s="36">
        <v>458413.54</v>
      </c>
      <c r="AK69" s="69">
        <f t="shared" si="44"/>
        <v>9270.24</v>
      </c>
      <c r="AL69" s="69">
        <f t="shared" si="45"/>
        <v>9750.17</v>
      </c>
      <c r="AM69" s="70">
        <f t="shared" si="41"/>
        <v>479.93</v>
      </c>
      <c r="AN69" s="36">
        <v>0</v>
      </c>
      <c r="AO69" s="36">
        <v>0</v>
      </c>
    </row>
    <row r="70" spans="1:41" s="3" customFormat="1">
      <c r="A70" s="55" t="s">
        <v>782</v>
      </c>
      <c r="B70" s="55" t="s">
        <v>295</v>
      </c>
      <c r="C70" s="55" t="s">
        <v>891</v>
      </c>
      <c r="D70" s="36">
        <v>0</v>
      </c>
      <c r="E70" s="36">
        <v>98590.54</v>
      </c>
      <c r="F70" s="36">
        <v>69176.710000000006</v>
      </c>
      <c r="G70" s="36">
        <v>5255127.3899999997</v>
      </c>
      <c r="H70" s="36">
        <v>827682.24</v>
      </c>
      <c r="I70" s="36">
        <v>1075069.04</v>
      </c>
      <c r="J70" s="36">
        <v>1497730.93</v>
      </c>
      <c r="K70" s="36">
        <v>817658.69</v>
      </c>
      <c r="L70" s="36">
        <v>102036.78</v>
      </c>
      <c r="M70" s="36">
        <v>2154727.67</v>
      </c>
      <c r="N70" s="49">
        <v>4.1799999999999997E-2</v>
      </c>
      <c r="O70" s="64">
        <v>0.15459999999999999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6">
        <v>0</v>
      </c>
      <c r="W70" s="36">
        <v>0</v>
      </c>
      <c r="X70" s="36">
        <v>0</v>
      </c>
      <c r="Y70" s="36">
        <v>0</v>
      </c>
      <c r="Z70" s="36">
        <v>14755.63</v>
      </c>
      <c r="AA70" s="36">
        <v>182701.02</v>
      </c>
      <c r="AB70" s="36">
        <v>159492.93</v>
      </c>
      <c r="AC70" s="36">
        <v>1817834.27</v>
      </c>
      <c r="AD70" s="37">
        <v>181.7</v>
      </c>
      <c r="AE70" s="36">
        <v>1683574.54</v>
      </c>
      <c r="AF70" s="69">
        <f t="shared" si="42"/>
        <v>9265.68</v>
      </c>
      <c r="AG70" s="69">
        <f t="shared" si="43"/>
        <v>10004.59</v>
      </c>
      <c r="AH70" s="70">
        <f t="shared" si="40"/>
        <v>738.91</v>
      </c>
      <c r="AI70" s="37">
        <v>16.690000000000001</v>
      </c>
      <c r="AJ70" s="36">
        <v>151626.97</v>
      </c>
      <c r="AK70" s="69">
        <f t="shared" si="44"/>
        <v>9084.9</v>
      </c>
      <c r="AL70" s="69">
        <f t="shared" si="45"/>
        <v>9556.2000000000007</v>
      </c>
      <c r="AM70" s="70">
        <f t="shared" si="41"/>
        <v>471.3</v>
      </c>
      <c r="AN70" s="36">
        <v>0</v>
      </c>
      <c r="AO70" s="36">
        <v>0</v>
      </c>
    </row>
    <row r="71" spans="1:41" s="3" customFormat="1">
      <c r="A71" s="55" t="s">
        <v>464</v>
      </c>
      <c r="B71" s="55" t="s">
        <v>57</v>
      </c>
      <c r="C71" s="55" t="s">
        <v>892</v>
      </c>
      <c r="D71" s="36">
        <v>0</v>
      </c>
      <c r="E71" s="36">
        <v>220738.44</v>
      </c>
      <c r="F71" s="36">
        <v>87593.3</v>
      </c>
      <c r="G71" s="36">
        <v>9058474.5899999999</v>
      </c>
      <c r="H71" s="36">
        <v>1387028.89</v>
      </c>
      <c r="I71" s="36">
        <v>1879773.12</v>
      </c>
      <c r="J71" s="36">
        <v>2629126.0099999998</v>
      </c>
      <c r="K71" s="36">
        <v>1986412.73</v>
      </c>
      <c r="L71" s="36">
        <v>180134.99</v>
      </c>
      <c r="M71" s="36">
        <v>2584600.35</v>
      </c>
      <c r="N71" s="49">
        <v>2.5899999999999999E-2</v>
      </c>
      <c r="O71" s="64">
        <v>0.1368</v>
      </c>
      <c r="P71" s="36">
        <v>0</v>
      </c>
      <c r="Q71" s="36">
        <v>0</v>
      </c>
      <c r="R71" s="36">
        <v>0</v>
      </c>
      <c r="S71" s="36">
        <v>167247.24</v>
      </c>
      <c r="T71" s="36">
        <v>13609.730000000012</v>
      </c>
      <c r="U71" s="36">
        <v>5741.53</v>
      </c>
      <c r="V71" s="36">
        <v>0</v>
      </c>
      <c r="W71" s="36">
        <v>0</v>
      </c>
      <c r="X71" s="36">
        <v>0</v>
      </c>
      <c r="Y71" s="36">
        <v>0</v>
      </c>
      <c r="Z71" s="36">
        <v>0</v>
      </c>
      <c r="AA71" s="36">
        <v>36082.46</v>
      </c>
      <c r="AB71" s="36">
        <v>1223743.17</v>
      </c>
      <c r="AC71" s="36">
        <v>3911207.71</v>
      </c>
      <c r="AD71" s="37">
        <v>400.09</v>
      </c>
      <c r="AE71" s="36">
        <v>3707114.53</v>
      </c>
      <c r="AF71" s="69">
        <f t="shared" si="42"/>
        <v>9265.7000000000007</v>
      </c>
      <c r="AG71" s="69">
        <f t="shared" si="43"/>
        <v>9775.82</v>
      </c>
      <c r="AH71" s="70">
        <f t="shared" ref="AH71:AH134" si="46">ROUND(AG71-AF71,2)</f>
        <v>510.12</v>
      </c>
      <c r="AI71" s="37">
        <v>128.16</v>
      </c>
      <c r="AJ71" s="36">
        <v>1164308.24</v>
      </c>
      <c r="AK71" s="69">
        <f t="shared" si="44"/>
        <v>9084.7999999999993</v>
      </c>
      <c r="AL71" s="69">
        <f t="shared" si="45"/>
        <v>9548.56</v>
      </c>
      <c r="AM71" s="70">
        <f t="shared" ref="AM71:AM134" si="47">ROUND(AL71-AK71,2)</f>
        <v>463.76</v>
      </c>
      <c r="AN71" s="36">
        <v>0</v>
      </c>
      <c r="AO71" s="36">
        <v>0</v>
      </c>
    </row>
    <row r="72" spans="1:41" s="3" customFormat="1">
      <c r="A72" s="55" t="s">
        <v>533</v>
      </c>
      <c r="B72" s="55" t="s">
        <v>126</v>
      </c>
      <c r="C72" s="55" t="s">
        <v>893</v>
      </c>
      <c r="D72" s="36">
        <v>0</v>
      </c>
      <c r="E72" s="36">
        <v>0</v>
      </c>
      <c r="F72" s="36">
        <v>935.76</v>
      </c>
      <c r="G72" s="36">
        <v>184962.21</v>
      </c>
      <c r="H72" s="36">
        <v>17824.189999999999</v>
      </c>
      <c r="I72" s="36">
        <v>26907.16</v>
      </c>
      <c r="J72" s="36">
        <v>50465.87</v>
      </c>
      <c r="K72" s="36">
        <v>7886.56</v>
      </c>
      <c r="L72" s="36">
        <v>0</v>
      </c>
      <c r="M72" s="36">
        <v>156624.79</v>
      </c>
      <c r="N72" s="49">
        <v>0</v>
      </c>
      <c r="O72" s="64">
        <v>0.40179999999999999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7">
        <v>0</v>
      </c>
      <c r="AE72" s="36">
        <v>0</v>
      </c>
      <c r="AF72" s="69">
        <f t="shared" ref="AF72:AF135" si="48">IFERROR(ROUND(AE72/AD72,2),0)</f>
        <v>0</v>
      </c>
      <c r="AG72" s="69">
        <f t="shared" ref="AG72:AG135" si="49">IFERROR(ROUND(AC72/AD72,2),0)</f>
        <v>0</v>
      </c>
      <c r="AH72" s="70">
        <f t="shared" si="46"/>
        <v>0</v>
      </c>
      <c r="AI72" s="37">
        <v>0</v>
      </c>
      <c r="AJ72" s="36">
        <v>0</v>
      </c>
      <c r="AK72" s="69">
        <f t="shared" ref="AK72:AK135" si="50">IFERROR(ROUND(AJ72/AI72,2),0)</f>
        <v>0</v>
      </c>
      <c r="AL72" s="69">
        <f t="shared" ref="AL72:AL135" si="51">IFERROR(ROUND(AB72/AI72,2),0)</f>
        <v>0</v>
      </c>
      <c r="AM72" s="70">
        <f t="shared" si="47"/>
        <v>0</v>
      </c>
      <c r="AN72" s="36">
        <v>0</v>
      </c>
      <c r="AO72" s="36">
        <v>0</v>
      </c>
    </row>
    <row r="73" spans="1:41" s="3" customFormat="1">
      <c r="A73" s="55" t="s">
        <v>604</v>
      </c>
      <c r="B73" s="55" t="s">
        <v>198</v>
      </c>
      <c r="C73" s="55" t="s">
        <v>894</v>
      </c>
      <c r="D73" s="36">
        <v>0</v>
      </c>
      <c r="E73" s="36">
        <v>54574.26</v>
      </c>
      <c r="F73" s="36">
        <v>1487.67</v>
      </c>
      <c r="G73" s="36">
        <v>3074774.68</v>
      </c>
      <c r="H73" s="36">
        <v>605966.98</v>
      </c>
      <c r="I73" s="36">
        <v>59900.58</v>
      </c>
      <c r="J73" s="36">
        <v>571817.57999999996</v>
      </c>
      <c r="K73" s="36">
        <v>32731.93</v>
      </c>
      <c r="L73" s="36">
        <v>61092.08</v>
      </c>
      <c r="M73" s="36">
        <v>1539428.51</v>
      </c>
      <c r="N73" s="49">
        <v>3.0499999999999999E-2</v>
      </c>
      <c r="O73" s="64">
        <v>0.19009999999999999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36">
        <v>0</v>
      </c>
      <c r="W73" s="36">
        <v>0</v>
      </c>
      <c r="X73" s="36">
        <v>0</v>
      </c>
      <c r="Y73" s="36">
        <v>0</v>
      </c>
      <c r="Z73" s="36">
        <v>10639.21</v>
      </c>
      <c r="AA73" s="36">
        <v>58907.59</v>
      </c>
      <c r="AB73" s="36">
        <v>608749.89</v>
      </c>
      <c r="AC73" s="36">
        <v>1268280.48</v>
      </c>
      <c r="AD73" s="37">
        <v>129.28</v>
      </c>
      <c r="AE73" s="36">
        <v>1197865.1100000001</v>
      </c>
      <c r="AF73" s="69">
        <f t="shared" si="48"/>
        <v>9265.66</v>
      </c>
      <c r="AG73" s="69">
        <f t="shared" si="49"/>
        <v>9810.34</v>
      </c>
      <c r="AH73" s="70">
        <f t="shared" si="46"/>
        <v>544.67999999999995</v>
      </c>
      <c r="AI73" s="37">
        <v>63.75</v>
      </c>
      <c r="AJ73" s="36">
        <v>579106.46</v>
      </c>
      <c r="AK73" s="69">
        <f t="shared" si="50"/>
        <v>9084.02</v>
      </c>
      <c r="AL73" s="69">
        <f t="shared" si="51"/>
        <v>9549.02</v>
      </c>
      <c r="AM73" s="70">
        <f t="shared" si="47"/>
        <v>465</v>
      </c>
      <c r="AN73" s="36">
        <v>7000</v>
      </c>
      <c r="AO73" s="36">
        <v>0</v>
      </c>
    </row>
    <row r="74" spans="1:41" s="3" customFormat="1">
      <c r="A74" s="55" t="s">
        <v>625</v>
      </c>
      <c r="B74" s="55" t="s">
        <v>219</v>
      </c>
      <c r="C74" s="55" t="s">
        <v>895</v>
      </c>
      <c r="D74" s="36">
        <v>0</v>
      </c>
      <c r="E74" s="36">
        <v>45168.05</v>
      </c>
      <c r="F74" s="36">
        <v>44313.99</v>
      </c>
      <c r="G74" s="36">
        <v>42957622.229999997</v>
      </c>
      <c r="H74" s="36">
        <v>9225243.5399999991</v>
      </c>
      <c r="I74" s="36">
        <v>1353142.49</v>
      </c>
      <c r="J74" s="36">
        <v>6578130.7000000002</v>
      </c>
      <c r="K74" s="36">
        <v>7996442.3099999996</v>
      </c>
      <c r="L74" s="36">
        <v>727912.02</v>
      </c>
      <c r="M74" s="36">
        <v>18679036.359999999</v>
      </c>
      <c r="N74" s="49">
        <v>3.4200000000000001E-2</v>
      </c>
      <c r="O74" s="64">
        <v>0.12989999999999999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6">
        <v>0</v>
      </c>
      <c r="W74" s="36">
        <v>0</v>
      </c>
      <c r="X74" s="36">
        <v>0</v>
      </c>
      <c r="Y74" s="36">
        <v>0</v>
      </c>
      <c r="Z74" s="36">
        <v>42702.879999999997</v>
      </c>
      <c r="AA74" s="36">
        <v>0</v>
      </c>
      <c r="AB74" s="36">
        <v>1057192.98</v>
      </c>
      <c r="AC74" s="36">
        <v>11063123.41</v>
      </c>
      <c r="AD74" s="37">
        <v>962.36</v>
      </c>
      <c r="AE74" s="36">
        <v>10022299.6</v>
      </c>
      <c r="AF74" s="69">
        <f t="shared" si="48"/>
        <v>10414.290000000001</v>
      </c>
      <c r="AG74" s="69">
        <f t="shared" si="49"/>
        <v>11495.83</v>
      </c>
      <c r="AH74" s="70">
        <f t="shared" si="46"/>
        <v>1081.54</v>
      </c>
      <c r="AI74" s="37">
        <v>98.31</v>
      </c>
      <c r="AJ74" s="36">
        <v>1006433</v>
      </c>
      <c r="AK74" s="69">
        <f t="shared" si="50"/>
        <v>10237.34</v>
      </c>
      <c r="AL74" s="69">
        <f t="shared" si="51"/>
        <v>10753.67</v>
      </c>
      <c r="AM74" s="70">
        <f t="shared" si="47"/>
        <v>516.33000000000004</v>
      </c>
      <c r="AN74" s="36">
        <v>0</v>
      </c>
      <c r="AO74" s="36">
        <v>0</v>
      </c>
    </row>
    <row r="75" spans="1:41" s="3" customFormat="1">
      <c r="A75" s="55" t="s">
        <v>535</v>
      </c>
      <c r="B75" s="55" t="s">
        <v>128</v>
      </c>
      <c r="C75" s="55" t="s">
        <v>896</v>
      </c>
      <c r="D75" s="36">
        <v>0</v>
      </c>
      <c r="E75" s="36">
        <v>79552.62</v>
      </c>
      <c r="F75" s="36">
        <v>21309.14</v>
      </c>
      <c r="G75" s="36">
        <v>5460667.3499999996</v>
      </c>
      <c r="H75" s="36">
        <v>913346.42</v>
      </c>
      <c r="I75" s="36">
        <v>265707.23</v>
      </c>
      <c r="J75" s="36">
        <v>991229.91</v>
      </c>
      <c r="K75" s="36">
        <v>416772.45</v>
      </c>
      <c r="L75" s="36">
        <v>101820.13</v>
      </c>
      <c r="M75" s="36">
        <v>2208291.67</v>
      </c>
      <c r="N75" s="49">
        <v>3.7900000000000003E-2</v>
      </c>
      <c r="O75" s="64">
        <v>0.15870000000000001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25931.5</v>
      </c>
      <c r="AA75" s="36">
        <v>174911.26</v>
      </c>
      <c r="AB75" s="36">
        <v>232134.35</v>
      </c>
      <c r="AC75" s="36">
        <v>1756925.51</v>
      </c>
      <c r="AD75" s="37">
        <v>183.3</v>
      </c>
      <c r="AE75" s="36">
        <v>1698333.66</v>
      </c>
      <c r="AF75" s="69">
        <f t="shared" si="48"/>
        <v>9265.32</v>
      </c>
      <c r="AG75" s="69">
        <f t="shared" si="49"/>
        <v>9584.9699999999993</v>
      </c>
      <c r="AH75" s="70">
        <f t="shared" si="46"/>
        <v>319.64999999999998</v>
      </c>
      <c r="AI75" s="37">
        <v>24.3</v>
      </c>
      <c r="AJ75" s="36">
        <v>220769.88</v>
      </c>
      <c r="AK75" s="69">
        <f t="shared" si="50"/>
        <v>9085.18</v>
      </c>
      <c r="AL75" s="69">
        <f t="shared" si="51"/>
        <v>9552.85</v>
      </c>
      <c r="AM75" s="70">
        <f t="shared" si="47"/>
        <v>467.67</v>
      </c>
      <c r="AN75" s="36">
        <v>0</v>
      </c>
      <c r="AO75" s="36">
        <v>0</v>
      </c>
    </row>
    <row r="76" spans="1:41" s="3" customFormat="1">
      <c r="A76" s="55" t="s">
        <v>492</v>
      </c>
      <c r="B76" s="55" t="s">
        <v>85</v>
      </c>
      <c r="C76" s="55" t="s">
        <v>897</v>
      </c>
      <c r="D76" s="36">
        <v>0</v>
      </c>
      <c r="E76" s="36">
        <v>43215.21</v>
      </c>
      <c r="F76" s="36">
        <v>52423.56</v>
      </c>
      <c r="G76" s="36">
        <v>3070972.5</v>
      </c>
      <c r="H76" s="36">
        <v>570851.97</v>
      </c>
      <c r="I76" s="36">
        <v>514584.68</v>
      </c>
      <c r="J76" s="36">
        <v>822242.97</v>
      </c>
      <c r="K76" s="36">
        <v>228949.17</v>
      </c>
      <c r="L76" s="36">
        <v>51021.440000000002</v>
      </c>
      <c r="M76" s="36">
        <v>1238796.82</v>
      </c>
      <c r="N76" s="49">
        <v>0</v>
      </c>
      <c r="O76" s="64">
        <v>0.15359999999999999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6">
        <v>0</v>
      </c>
      <c r="W76" s="36">
        <v>0</v>
      </c>
      <c r="X76" s="36">
        <v>0</v>
      </c>
      <c r="Y76" s="36">
        <v>0</v>
      </c>
      <c r="Z76" s="36">
        <v>41847.370000000003</v>
      </c>
      <c r="AA76" s="36">
        <v>17840.419999999998</v>
      </c>
      <c r="AB76" s="36">
        <v>658547.29</v>
      </c>
      <c r="AC76" s="36">
        <v>3275481.14</v>
      </c>
      <c r="AD76" s="37">
        <v>335.15</v>
      </c>
      <c r="AE76" s="36">
        <v>3120844.88</v>
      </c>
      <c r="AF76" s="69">
        <f t="shared" si="48"/>
        <v>9311.7900000000009</v>
      </c>
      <c r="AG76" s="69">
        <f t="shared" si="49"/>
        <v>9773.18</v>
      </c>
      <c r="AH76" s="70">
        <f t="shared" si="46"/>
        <v>461.39</v>
      </c>
      <c r="AI76" s="37">
        <v>68.62</v>
      </c>
      <c r="AJ76" s="36">
        <v>626625.86</v>
      </c>
      <c r="AK76" s="69">
        <f t="shared" si="50"/>
        <v>9131.83</v>
      </c>
      <c r="AL76" s="69">
        <f t="shared" si="51"/>
        <v>9597.02</v>
      </c>
      <c r="AM76" s="70">
        <f t="shared" si="47"/>
        <v>465.19</v>
      </c>
      <c r="AN76" s="36">
        <v>0</v>
      </c>
      <c r="AO76" s="36">
        <v>0</v>
      </c>
    </row>
    <row r="77" spans="1:41" s="3" customFormat="1">
      <c r="A77" s="55" t="s">
        <v>691</v>
      </c>
      <c r="B77" s="55" t="s">
        <v>288</v>
      </c>
      <c r="C77" s="55" t="s">
        <v>898</v>
      </c>
      <c r="D77" s="36">
        <v>0</v>
      </c>
      <c r="E77" s="36">
        <v>0</v>
      </c>
      <c r="F77" s="36">
        <v>0</v>
      </c>
      <c r="G77" s="36">
        <v>131561.72</v>
      </c>
      <c r="H77" s="36">
        <v>19162.28</v>
      </c>
      <c r="I77" s="36">
        <v>24588.48</v>
      </c>
      <c r="J77" s="36">
        <v>35203.769999999997</v>
      </c>
      <c r="K77" s="36">
        <v>0</v>
      </c>
      <c r="L77" s="36">
        <v>0</v>
      </c>
      <c r="M77" s="36">
        <v>201395.57</v>
      </c>
      <c r="N77" s="49">
        <v>9.2200000000000004E-2</v>
      </c>
      <c r="O77" s="64">
        <v>0.29249999999999998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37">
        <v>0</v>
      </c>
      <c r="AE77" s="36">
        <v>0</v>
      </c>
      <c r="AF77" s="69">
        <f t="shared" si="48"/>
        <v>0</v>
      </c>
      <c r="AG77" s="69">
        <f t="shared" si="49"/>
        <v>0</v>
      </c>
      <c r="AH77" s="70">
        <f t="shared" si="46"/>
        <v>0</v>
      </c>
      <c r="AI77" s="37">
        <v>0</v>
      </c>
      <c r="AJ77" s="36">
        <v>0</v>
      </c>
      <c r="AK77" s="69">
        <f t="shared" si="50"/>
        <v>0</v>
      </c>
      <c r="AL77" s="69">
        <f t="shared" si="51"/>
        <v>0</v>
      </c>
      <c r="AM77" s="70">
        <f t="shared" si="47"/>
        <v>0</v>
      </c>
      <c r="AN77" s="36">
        <v>0</v>
      </c>
      <c r="AO77" s="36">
        <v>0</v>
      </c>
    </row>
    <row r="78" spans="1:41" s="3" customFormat="1">
      <c r="A78" s="55" t="s">
        <v>434</v>
      </c>
      <c r="B78" s="55" t="s">
        <v>27</v>
      </c>
      <c r="C78" s="55" t="s">
        <v>899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125055.27</v>
      </c>
      <c r="J78" s="36">
        <v>191168.74</v>
      </c>
      <c r="K78" s="36">
        <v>209895.97</v>
      </c>
      <c r="L78" s="36">
        <v>12998.57</v>
      </c>
      <c r="M78" s="36">
        <v>291698.15000000002</v>
      </c>
      <c r="N78" s="49">
        <v>7.8299999999999995E-2</v>
      </c>
      <c r="O78" s="64">
        <v>0.2185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36">
        <v>0</v>
      </c>
      <c r="W78" s="36">
        <v>0</v>
      </c>
      <c r="X78" s="36">
        <v>0</v>
      </c>
      <c r="Y78" s="36">
        <v>0</v>
      </c>
      <c r="Z78" s="36">
        <v>0</v>
      </c>
      <c r="AA78" s="36">
        <v>0</v>
      </c>
      <c r="AB78" s="36">
        <v>140906.03</v>
      </c>
      <c r="AC78" s="36">
        <v>162240.24</v>
      </c>
      <c r="AD78" s="37">
        <v>15.91</v>
      </c>
      <c r="AE78" s="36">
        <v>150322.29999999999</v>
      </c>
      <c r="AF78" s="69">
        <f t="shared" si="48"/>
        <v>9448.2900000000009</v>
      </c>
      <c r="AG78" s="69">
        <f t="shared" si="49"/>
        <v>10197.379999999999</v>
      </c>
      <c r="AH78" s="70">
        <f t="shared" si="46"/>
        <v>749.09</v>
      </c>
      <c r="AI78" s="37">
        <v>14.45</v>
      </c>
      <c r="AJ78" s="36">
        <v>133891.34</v>
      </c>
      <c r="AK78" s="69">
        <f t="shared" si="50"/>
        <v>9265.84</v>
      </c>
      <c r="AL78" s="69">
        <f t="shared" si="51"/>
        <v>9751.2800000000007</v>
      </c>
      <c r="AM78" s="70">
        <f t="shared" si="47"/>
        <v>485.44</v>
      </c>
      <c r="AN78" s="36">
        <v>0</v>
      </c>
      <c r="AO78" s="36">
        <v>0</v>
      </c>
    </row>
    <row r="79" spans="1:41" s="3" customFormat="1">
      <c r="A79" s="55" t="s">
        <v>510</v>
      </c>
      <c r="B79" s="55" t="s">
        <v>103</v>
      </c>
      <c r="C79" s="55" t="s">
        <v>900</v>
      </c>
      <c r="D79" s="36">
        <v>0</v>
      </c>
      <c r="E79" s="36">
        <v>89589.54</v>
      </c>
      <c r="F79" s="36">
        <v>0</v>
      </c>
      <c r="G79" s="36">
        <v>9398750.8499999996</v>
      </c>
      <c r="H79" s="36">
        <v>1626267.56</v>
      </c>
      <c r="I79" s="36">
        <v>0</v>
      </c>
      <c r="J79" s="36">
        <v>973092.37</v>
      </c>
      <c r="K79" s="36">
        <v>649259.41</v>
      </c>
      <c r="L79" s="36">
        <v>150170.07999999999</v>
      </c>
      <c r="M79" s="36">
        <v>3592678.83</v>
      </c>
      <c r="N79" s="49">
        <v>3.9699999999999999E-2</v>
      </c>
      <c r="O79" s="64">
        <v>0.1709</v>
      </c>
      <c r="P79" s="36">
        <v>0</v>
      </c>
      <c r="Q79" s="36">
        <v>0</v>
      </c>
      <c r="R79" s="36">
        <v>0</v>
      </c>
      <c r="S79" s="36">
        <v>0</v>
      </c>
      <c r="T79" s="36">
        <v>0</v>
      </c>
      <c r="U79" s="36">
        <v>0</v>
      </c>
      <c r="V79" s="36">
        <v>0</v>
      </c>
      <c r="W79" s="36">
        <v>0</v>
      </c>
      <c r="X79" s="36">
        <v>0</v>
      </c>
      <c r="Y79" s="36">
        <v>0</v>
      </c>
      <c r="Z79" s="36">
        <v>0</v>
      </c>
      <c r="AA79" s="36">
        <v>177131.03</v>
      </c>
      <c r="AB79" s="36">
        <v>1577925.64</v>
      </c>
      <c r="AC79" s="36">
        <v>4861887.43</v>
      </c>
      <c r="AD79" s="37">
        <v>454.91</v>
      </c>
      <c r="AE79" s="36">
        <v>4584355.2300000004</v>
      </c>
      <c r="AF79" s="69">
        <f t="shared" si="48"/>
        <v>10077.5</v>
      </c>
      <c r="AG79" s="69">
        <f t="shared" si="49"/>
        <v>10687.58</v>
      </c>
      <c r="AH79" s="70">
        <f t="shared" si="46"/>
        <v>610.08000000000004</v>
      </c>
      <c r="AI79" s="37">
        <v>151.69999999999999</v>
      </c>
      <c r="AJ79" s="36">
        <v>1501697.07</v>
      </c>
      <c r="AK79" s="69">
        <f t="shared" si="50"/>
        <v>9899.1200000000008</v>
      </c>
      <c r="AL79" s="69">
        <f t="shared" si="51"/>
        <v>10401.620000000001</v>
      </c>
      <c r="AM79" s="70">
        <f t="shared" si="47"/>
        <v>502.5</v>
      </c>
      <c r="AN79" s="36">
        <v>6228.81</v>
      </c>
      <c r="AO79" s="36">
        <v>0</v>
      </c>
    </row>
    <row r="80" spans="1:41" s="3" customFormat="1">
      <c r="A80" s="55" t="s">
        <v>484</v>
      </c>
      <c r="B80" s="55" t="s">
        <v>77</v>
      </c>
      <c r="C80" s="55" t="s">
        <v>901</v>
      </c>
      <c r="D80" s="36">
        <v>318019.90999999997</v>
      </c>
      <c r="E80" s="36">
        <v>72280.55</v>
      </c>
      <c r="F80" s="36">
        <v>26346.15</v>
      </c>
      <c r="G80" s="36">
        <v>4395761.6900000004</v>
      </c>
      <c r="H80" s="36">
        <v>736319.63</v>
      </c>
      <c r="I80" s="36">
        <v>888273.48</v>
      </c>
      <c r="J80" s="36">
        <v>1149925.8899999999</v>
      </c>
      <c r="K80" s="36">
        <v>807156.47</v>
      </c>
      <c r="L80" s="36">
        <v>87404.23</v>
      </c>
      <c r="M80" s="36">
        <v>2079132.19</v>
      </c>
      <c r="N80" s="49">
        <v>3.7600000000000001E-2</v>
      </c>
      <c r="O80" s="64">
        <v>0.15110000000000001</v>
      </c>
      <c r="P80" s="36">
        <v>0</v>
      </c>
      <c r="Q80" s="36">
        <v>0</v>
      </c>
      <c r="R80" s="36">
        <v>0</v>
      </c>
      <c r="S80" s="36">
        <v>0</v>
      </c>
      <c r="T80" s="36">
        <v>0</v>
      </c>
      <c r="U80" s="36">
        <v>0</v>
      </c>
      <c r="V80" s="36">
        <v>0</v>
      </c>
      <c r="W80" s="36">
        <v>0</v>
      </c>
      <c r="X80" s="36">
        <v>0</v>
      </c>
      <c r="Y80" s="36">
        <v>0</v>
      </c>
      <c r="Z80" s="36">
        <v>44734.41</v>
      </c>
      <c r="AA80" s="36">
        <v>124385.83</v>
      </c>
      <c r="AB80" s="36">
        <v>498552.3</v>
      </c>
      <c r="AC80" s="36">
        <v>2196108.98</v>
      </c>
      <c r="AD80" s="37">
        <v>221.25</v>
      </c>
      <c r="AE80" s="36">
        <v>2090813.09</v>
      </c>
      <c r="AF80" s="69">
        <f t="shared" si="48"/>
        <v>9450</v>
      </c>
      <c r="AG80" s="69">
        <f t="shared" si="49"/>
        <v>9925.92</v>
      </c>
      <c r="AH80" s="70">
        <f t="shared" si="46"/>
        <v>475.92</v>
      </c>
      <c r="AI80" s="37">
        <v>51.15</v>
      </c>
      <c r="AJ80" s="36">
        <v>474097.94</v>
      </c>
      <c r="AK80" s="69">
        <f t="shared" si="50"/>
        <v>9268.7800000000007</v>
      </c>
      <c r="AL80" s="69">
        <f t="shared" si="51"/>
        <v>9746.8700000000008</v>
      </c>
      <c r="AM80" s="70">
        <f t="shared" si="47"/>
        <v>478.09</v>
      </c>
      <c r="AN80" s="36">
        <v>0</v>
      </c>
      <c r="AO80" s="36">
        <v>0</v>
      </c>
    </row>
    <row r="81" spans="1:41" s="3" customFormat="1">
      <c r="A81" s="55" t="s">
        <v>718</v>
      </c>
      <c r="B81" s="57" t="s">
        <v>719</v>
      </c>
      <c r="C81" s="58" t="s">
        <v>902</v>
      </c>
      <c r="D81" s="36">
        <v>0</v>
      </c>
      <c r="E81" s="36">
        <v>0</v>
      </c>
      <c r="F81" s="36">
        <v>0</v>
      </c>
      <c r="G81" s="36">
        <v>24209662.789999999</v>
      </c>
      <c r="H81" s="36">
        <v>3340731.06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49">
        <v>0</v>
      </c>
      <c r="O81" s="64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7">
        <v>0</v>
      </c>
      <c r="AE81" s="36">
        <v>0</v>
      </c>
      <c r="AF81" s="69">
        <f t="shared" si="48"/>
        <v>0</v>
      </c>
      <c r="AG81" s="69">
        <f t="shared" si="49"/>
        <v>0</v>
      </c>
      <c r="AH81" s="70">
        <f t="shared" si="46"/>
        <v>0</v>
      </c>
      <c r="AI81" s="37">
        <v>0</v>
      </c>
      <c r="AJ81" s="36">
        <v>0</v>
      </c>
      <c r="AK81" s="69">
        <f t="shared" si="50"/>
        <v>0</v>
      </c>
      <c r="AL81" s="69">
        <f t="shared" si="51"/>
        <v>0</v>
      </c>
      <c r="AM81" s="70">
        <f t="shared" si="47"/>
        <v>0</v>
      </c>
      <c r="AN81" s="36">
        <v>0</v>
      </c>
      <c r="AO81" s="36">
        <v>0</v>
      </c>
    </row>
    <row r="82" spans="1:41" s="3" customFormat="1">
      <c r="A82" s="55" t="s">
        <v>711</v>
      </c>
      <c r="B82" s="55" t="s">
        <v>349</v>
      </c>
      <c r="C82" s="58" t="s">
        <v>903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49">
        <v>0</v>
      </c>
      <c r="O82" s="64">
        <v>0</v>
      </c>
      <c r="P82" s="36">
        <v>0</v>
      </c>
      <c r="Q82" s="36">
        <v>0</v>
      </c>
      <c r="R82" s="36">
        <v>0</v>
      </c>
      <c r="S82" s="36">
        <v>931493.1</v>
      </c>
      <c r="T82" s="36">
        <v>88211.540000000197</v>
      </c>
      <c r="U82" s="36">
        <v>28843.84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v>0</v>
      </c>
      <c r="AD82" s="37">
        <v>0</v>
      </c>
      <c r="AE82" s="36">
        <v>0</v>
      </c>
      <c r="AF82" s="69">
        <f t="shared" si="48"/>
        <v>0</v>
      </c>
      <c r="AG82" s="69">
        <f t="shared" si="49"/>
        <v>0</v>
      </c>
      <c r="AH82" s="70">
        <f t="shared" si="46"/>
        <v>0</v>
      </c>
      <c r="AI82" s="37">
        <v>0</v>
      </c>
      <c r="AJ82" s="36">
        <v>0</v>
      </c>
      <c r="AK82" s="69">
        <f t="shared" si="50"/>
        <v>0</v>
      </c>
      <c r="AL82" s="69">
        <f t="shared" si="51"/>
        <v>0</v>
      </c>
      <c r="AM82" s="70">
        <f t="shared" si="47"/>
        <v>0</v>
      </c>
      <c r="AN82" s="36">
        <v>0</v>
      </c>
      <c r="AO82" s="36">
        <v>0</v>
      </c>
    </row>
    <row r="83" spans="1:41" s="3" customFormat="1">
      <c r="A83" s="55" t="s">
        <v>708</v>
      </c>
      <c r="B83" s="57" t="s">
        <v>351</v>
      </c>
      <c r="C83" s="58" t="s">
        <v>904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1874661.93</v>
      </c>
      <c r="N83" s="49">
        <v>0</v>
      </c>
      <c r="O83" s="64">
        <v>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7">
        <v>0</v>
      </c>
      <c r="AE83" s="36">
        <v>0</v>
      </c>
      <c r="AF83" s="69">
        <f t="shared" si="48"/>
        <v>0</v>
      </c>
      <c r="AG83" s="69">
        <f t="shared" si="49"/>
        <v>0</v>
      </c>
      <c r="AH83" s="70">
        <f t="shared" si="46"/>
        <v>0</v>
      </c>
      <c r="AI83" s="37">
        <v>0</v>
      </c>
      <c r="AJ83" s="36">
        <v>0</v>
      </c>
      <c r="AK83" s="69">
        <f t="shared" si="50"/>
        <v>0</v>
      </c>
      <c r="AL83" s="69">
        <f t="shared" si="51"/>
        <v>0</v>
      </c>
      <c r="AM83" s="70">
        <f t="shared" si="47"/>
        <v>0</v>
      </c>
      <c r="AN83" s="36">
        <v>0</v>
      </c>
      <c r="AO83" s="36">
        <v>0</v>
      </c>
    </row>
    <row r="84" spans="1:41" s="3" customFormat="1">
      <c r="A84" s="55" t="s">
        <v>709</v>
      </c>
      <c r="B84" s="57" t="s">
        <v>344</v>
      </c>
      <c r="C84" s="58" t="s">
        <v>905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5496474.1699999999</v>
      </c>
      <c r="N84" s="49">
        <v>0</v>
      </c>
      <c r="O84" s="64">
        <v>0</v>
      </c>
      <c r="P84" s="36">
        <v>0</v>
      </c>
      <c r="Q84" s="36">
        <v>0</v>
      </c>
      <c r="R84" s="36">
        <v>0</v>
      </c>
      <c r="S84" s="36">
        <v>610151.62</v>
      </c>
      <c r="T84" s="36">
        <v>52205.039999999921</v>
      </c>
      <c r="U84" s="36">
        <v>18893.449999999997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7">
        <v>0</v>
      </c>
      <c r="AE84" s="36">
        <v>0</v>
      </c>
      <c r="AF84" s="69">
        <f t="shared" si="48"/>
        <v>0</v>
      </c>
      <c r="AG84" s="69">
        <f t="shared" si="49"/>
        <v>0</v>
      </c>
      <c r="AH84" s="70">
        <f t="shared" si="46"/>
        <v>0</v>
      </c>
      <c r="AI84" s="37">
        <v>0</v>
      </c>
      <c r="AJ84" s="36">
        <v>0</v>
      </c>
      <c r="AK84" s="69">
        <f t="shared" si="50"/>
        <v>0</v>
      </c>
      <c r="AL84" s="69">
        <f t="shared" si="51"/>
        <v>0</v>
      </c>
      <c r="AM84" s="70">
        <f t="shared" si="47"/>
        <v>0</v>
      </c>
      <c r="AN84" s="36">
        <v>0</v>
      </c>
      <c r="AO84" s="36">
        <v>0</v>
      </c>
    </row>
    <row r="85" spans="1:41" s="3" customFormat="1">
      <c r="A85" s="55" t="s">
        <v>712</v>
      </c>
      <c r="B85" s="55" t="s">
        <v>350</v>
      </c>
      <c r="C85" s="58" t="s">
        <v>906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787625.88</v>
      </c>
      <c r="N85" s="49">
        <v>0</v>
      </c>
      <c r="O85" s="64">
        <v>0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7">
        <v>0</v>
      </c>
      <c r="AE85" s="36">
        <v>0</v>
      </c>
      <c r="AF85" s="69">
        <f t="shared" si="48"/>
        <v>0</v>
      </c>
      <c r="AG85" s="69">
        <f t="shared" si="49"/>
        <v>0</v>
      </c>
      <c r="AH85" s="70">
        <f t="shared" si="46"/>
        <v>0</v>
      </c>
      <c r="AI85" s="37">
        <v>0</v>
      </c>
      <c r="AJ85" s="36">
        <v>0</v>
      </c>
      <c r="AK85" s="69">
        <f t="shared" si="50"/>
        <v>0</v>
      </c>
      <c r="AL85" s="69">
        <f t="shared" si="51"/>
        <v>0</v>
      </c>
      <c r="AM85" s="70">
        <f t="shared" si="47"/>
        <v>0</v>
      </c>
      <c r="AN85" s="36">
        <v>0</v>
      </c>
      <c r="AO85" s="36">
        <v>0</v>
      </c>
    </row>
    <row r="86" spans="1:41" s="3" customFormat="1">
      <c r="A86" s="55" t="s">
        <v>802</v>
      </c>
      <c r="B86" s="57" t="s">
        <v>347</v>
      </c>
      <c r="C86" s="58" t="s">
        <v>907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49">
        <v>0</v>
      </c>
      <c r="O86" s="64">
        <v>0</v>
      </c>
      <c r="P86" s="36">
        <v>0</v>
      </c>
      <c r="Q86" s="36">
        <v>0</v>
      </c>
      <c r="R86" s="36">
        <v>0</v>
      </c>
      <c r="S86" s="36">
        <v>331101.77999999997</v>
      </c>
      <c r="T86" s="36">
        <v>32594.058000000005</v>
      </c>
      <c r="U86" s="36">
        <v>11465.23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7">
        <v>0</v>
      </c>
      <c r="AE86" s="36">
        <v>0</v>
      </c>
      <c r="AF86" s="69">
        <f t="shared" si="48"/>
        <v>0</v>
      </c>
      <c r="AG86" s="69">
        <f t="shared" si="49"/>
        <v>0</v>
      </c>
      <c r="AH86" s="70">
        <f t="shared" si="46"/>
        <v>0</v>
      </c>
      <c r="AI86" s="37">
        <v>0</v>
      </c>
      <c r="AJ86" s="36">
        <v>0</v>
      </c>
      <c r="AK86" s="69">
        <f t="shared" si="50"/>
        <v>0</v>
      </c>
      <c r="AL86" s="69">
        <f t="shared" si="51"/>
        <v>0</v>
      </c>
      <c r="AM86" s="70">
        <f t="shared" si="47"/>
        <v>0</v>
      </c>
      <c r="AN86" s="36">
        <v>0</v>
      </c>
      <c r="AO86" s="36">
        <v>0</v>
      </c>
    </row>
    <row r="87" spans="1:41" s="3" customFormat="1">
      <c r="A87" s="55" t="s">
        <v>803</v>
      </c>
      <c r="B87" s="57" t="s">
        <v>346</v>
      </c>
      <c r="C87" s="58" t="s">
        <v>908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1919782.27</v>
      </c>
      <c r="N87" s="49">
        <v>0</v>
      </c>
      <c r="O87" s="64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7">
        <v>0</v>
      </c>
      <c r="AE87" s="36">
        <v>0</v>
      </c>
      <c r="AF87" s="69">
        <f t="shared" si="48"/>
        <v>0</v>
      </c>
      <c r="AG87" s="69">
        <f t="shared" si="49"/>
        <v>0</v>
      </c>
      <c r="AH87" s="70">
        <f t="shared" si="46"/>
        <v>0</v>
      </c>
      <c r="AI87" s="37">
        <v>0</v>
      </c>
      <c r="AJ87" s="36">
        <v>0</v>
      </c>
      <c r="AK87" s="69">
        <f t="shared" si="50"/>
        <v>0</v>
      </c>
      <c r="AL87" s="69">
        <f t="shared" si="51"/>
        <v>0</v>
      </c>
      <c r="AM87" s="70">
        <f t="shared" si="47"/>
        <v>0</v>
      </c>
      <c r="AN87" s="36">
        <v>0</v>
      </c>
      <c r="AO87" s="36">
        <v>0</v>
      </c>
    </row>
    <row r="88" spans="1:41" s="3" customFormat="1">
      <c r="A88" s="55" t="s">
        <v>710</v>
      </c>
      <c r="B88" s="57" t="s">
        <v>345</v>
      </c>
      <c r="C88" s="58" t="s">
        <v>909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49">
        <v>0</v>
      </c>
      <c r="O88" s="64">
        <v>0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7">
        <v>0</v>
      </c>
      <c r="AE88" s="36">
        <v>0</v>
      </c>
      <c r="AF88" s="69">
        <f t="shared" si="48"/>
        <v>0</v>
      </c>
      <c r="AG88" s="69">
        <f t="shared" si="49"/>
        <v>0</v>
      </c>
      <c r="AH88" s="70">
        <f t="shared" si="46"/>
        <v>0</v>
      </c>
      <c r="AI88" s="37">
        <v>0</v>
      </c>
      <c r="AJ88" s="36">
        <v>0</v>
      </c>
      <c r="AK88" s="69">
        <f t="shared" si="50"/>
        <v>0</v>
      </c>
      <c r="AL88" s="69">
        <f t="shared" si="51"/>
        <v>0</v>
      </c>
      <c r="AM88" s="70">
        <f t="shared" si="47"/>
        <v>0</v>
      </c>
      <c r="AN88" s="36">
        <v>0</v>
      </c>
      <c r="AO88" s="36">
        <v>0</v>
      </c>
    </row>
    <row r="89" spans="1:41" s="3" customFormat="1">
      <c r="A89" s="55" t="s">
        <v>800</v>
      </c>
      <c r="B89" s="57" t="s">
        <v>343</v>
      </c>
      <c r="C89" s="58" t="s">
        <v>910</v>
      </c>
      <c r="D89" s="36">
        <v>0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49">
        <v>0</v>
      </c>
      <c r="O89" s="64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7">
        <v>0</v>
      </c>
      <c r="AE89" s="36">
        <v>0</v>
      </c>
      <c r="AF89" s="69">
        <f t="shared" si="48"/>
        <v>0</v>
      </c>
      <c r="AG89" s="69">
        <f t="shared" si="49"/>
        <v>0</v>
      </c>
      <c r="AH89" s="70">
        <f t="shared" si="46"/>
        <v>0</v>
      </c>
      <c r="AI89" s="37">
        <v>0</v>
      </c>
      <c r="AJ89" s="36">
        <v>0</v>
      </c>
      <c r="AK89" s="69">
        <f t="shared" si="50"/>
        <v>0</v>
      </c>
      <c r="AL89" s="69">
        <f t="shared" si="51"/>
        <v>0</v>
      </c>
      <c r="AM89" s="70">
        <f t="shared" si="47"/>
        <v>0</v>
      </c>
      <c r="AN89" s="36">
        <v>0</v>
      </c>
      <c r="AO89" s="36">
        <v>0</v>
      </c>
    </row>
    <row r="90" spans="1:41" s="3" customFormat="1">
      <c r="A90" s="55" t="s">
        <v>801</v>
      </c>
      <c r="B90" s="55" t="s">
        <v>348</v>
      </c>
      <c r="C90" s="58" t="s">
        <v>911</v>
      </c>
      <c r="D90" s="36">
        <v>0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49">
        <v>0</v>
      </c>
      <c r="O90" s="64">
        <v>0</v>
      </c>
      <c r="P90" s="36">
        <v>0</v>
      </c>
      <c r="Q90" s="36">
        <v>0</v>
      </c>
      <c r="R90" s="36">
        <v>0</v>
      </c>
      <c r="S90" s="36">
        <v>555985.13</v>
      </c>
      <c r="T90" s="36">
        <v>7664.2999999999629</v>
      </c>
      <c r="U90" s="36">
        <v>18482.23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7">
        <v>0</v>
      </c>
      <c r="AE90" s="36">
        <v>0</v>
      </c>
      <c r="AF90" s="69">
        <f t="shared" si="48"/>
        <v>0</v>
      </c>
      <c r="AG90" s="69">
        <f t="shared" si="49"/>
        <v>0</v>
      </c>
      <c r="AH90" s="70">
        <f t="shared" si="46"/>
        <v>0</v>
      </c>
      <c r="AI90" s="37">
        <v>0</v>
      </c>
      <c r="AJ90" s="36">
        <v>0</v>
      </c>
      <c r="AK90" s="69">
        <f t="shared" si="50"/>
        <v>0</v>
      </c>
      <c r="AL90" s="69">
        <f t="shared" si="51"/>
        <v>0</v>
      </c>
      <c r="AM90" s="70">
        <f t="shared" si="47"/>
        <v>0</v>
      </c>
      <c r="AN90" s="36">
        <v>0</v>
      </c>
      <c r="AO90" s="36">
        <v>0</v>
      </c>
    </row>
    <row r="91" spans="1:41" s="3" customFormat="1">
      <c r="A91" s="55" t="s">
        <v>549</v>
      </c>
      <c r="B91" s="55" t="s">
        <v>142</v>
      </c>
      <c r="C91" s="55" t="s">
        <v>912</v>
      </c>
      <c r="D91" s="36">
        <v>0</v>
      </c>
      <c r="E91" s="36">
        <v>0</v>
      </c>
      <c r="F91" s="36">
        <v>0</v>
      </c>
      <c r="G91" s="36">
        <v>61022.42</v>
      </c>
      <c r="H91" s="36">
        <v>3241.81</v>
      </c>
      <c r="I91" s="36">
        <v>18739.240000000002</v>
      </c>
      <c r="J91" s="36">
        <v>21772.18</v>
      </c>
      <c r="K91" s="36">
        <v>2665.47</v>
      </c>
      <c r="L91" s="36">
        <v>1624.79</v>
      </c>
      <c r="M91" s="36">
        <v>37733.83</v>
      </c>
      <c r="N91" s="49">
        <v>0.1628</v>
      </c>
      <c r="O91" s="64">
        <v>0.34670000000000001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  <c r="AD91" s="37">
        <v>0</v>
      </c>
      <c r="AE91" s="36">
        <v>0</v>
      </c>
      <c r="AF91" s="69">
        <f t="shared" si="48"/>
        <v>0</v>
      </c>
      <c r="AG91" s="69">
        <f t="shared" si="49"/>
        <v>0</v>
      </c>
      <c r="AH91" s="70">
        <f t="shared" si="46"/>
        <v>0</v>
      </c>
      <c r="AI91" s="37">
        <v>0</v>
      </c>
      <c r="AJ91" s="36">
        <v>0</v>
      </c>
      <c r="AK91" s="69">
        <f t="shared" si="50"/>
        <v>0</v>
      </c>
      <c r="AL91" s="69">
        <f t="shared" si="51"/>
        <v>0</v>
      </c>
      <c r="AM91" s="70">
        <f t="shared" si="47"/>
        <v>0</v>
      </c>
      <c r="AN91" s="36">
        <v>0</v>
      </c>
      <c r="AO91" s="36">
        <v>0</v>
      </c>
    </row>
    <row r="92" spans="1:41" s="3" customFormat="1">
      <c r="A92" s="55" t="s">
        <v>622</v>
      </c>
      <c r="B92" s="55" t="s">
        <v>216</v>
      </c>
      <c r="C92" s="55" t="s">
        <v>913</v>
      </c>
      <c r="D92" s="36">
        <v>0</v>
      </c>
      <c r="E92" s="36">
        <v>592249.18000000005</v>
      </c>
      <c r="F92" s="36">
        <v>262068.21</v>
      </c>
      <c r="G92" s="36">
        <v>36643591.700000003</v>
      </c>
      <c r="H92" s="36">
        <v>8057525.9400000004</v>
      </c>
      <c r="I92" s="36">
        <v>3007567.64</v>
      </c>
      <c r="J92" s="36">
        <v>6991737.0099999998</v>
      </c>
      <c r="K92" s="36">
        <v>7922858.7999999998</v>
      </c>
      <c r="L92" s="36">
        <v>717393.42</v>
      </c>
      <c r="M92" s="36">
        <v>17535451.649999999</v>
      </c>
      <c r="N92" s="49">
        <v>2.8899999999999999E-2</v>
      </c>
      <c r="O92" s="64">
        <v>0.12520000000000001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372996.19</v>
      </c>
      <c r="AA92" s="36">
        <v>820102.11</v>
      </c>
      <c r="AB92" s="36">
        <v>3792427.84</v>
      </c>
      <c r="AC92" s="36">
        <v>13388149.939999999</v>
      </c>
      <c r="AD92" s="37">
        <v>1219.47</v>
      </c>
      <c r="AE92" s="36">
        <v>12700105.41</v>
      </c>
      <c r="AF92" s="69">
        <f t="shared" si="48"/>
        <v>10414.450000000001</v>
      </c>
      <c r="AG92" s="69">
        <f t="shared" si="49"/>
        <v>10978.66</v>
      </c>
      <c r="AH92" s="70">
        <f t="shared" si="46"/>
        <v>564.21</v>
      </c>
      <c r="AI92" s="37">
        <v>352.69</v>
      </c>
      <c r="AJ92" s="36">
        <v>3610288.16</v>
      </c>
      <c r="AK92" s="69">
        <f t="shared" si="50"/>
        <v>10236.43</v>
      </c>
      <c r="AL92" s="69">
        <f t="shared" si="51"/>
        <v>10752.86</v>
      </c>
      <c r="AM92" s="70">
        <f t="shared" si="47"/>
        <v>516.42999999999995</v>
      </c>
      <c r="AN92" s="36">
        <v>20000</v>
      </c>
      <c r="AO92" s="36">
        <v>0</v>
      </c>
    </row>
    <row r="93" spans="1:41" s="3" customFormat="1">
      <c r="A93" s="55" t="s">
        <v>449</v>
      </c>
      <c r="B93" s="55" t="s">
        <v>42</v>
      </c>
      <c r="C93" s="55" t="s">
        <v>914</v>
      </c>
      <c r="D93" s="36">
        <v>0</v>
      </c>
      <c r="E93" s="36">
        <v>724583.08</v>
      </c>
      <c r="F93" s="36">
        <v>138769.42000000001</v>
      </c>
      <c r="G93" s="36">
        <v>42340954.210000001</v>
      </c>
      <c r="H93" s="36">
        <v>6846386.5899999999</v>
      </c>
      <c r="I93" s="36">
        <v>4679030.67</v>
      </c>
      <c r="J93" s="36">
        <v>9119972.9499999993</v>
      </c>
      <c r="K93" s="36">
        <v>7297761.0300000003</v>
      </c>
      <c r="L93" s="36">
        <v>743805.46</v>
      </c>
      <c r="M93" s="36">
        <v>19847693.390000001</v>
      </c>
      <c r="N93" s="49">
        <v>4.5400000000000003E-2</v>
      </c>
      <c r="O93" s="64">
        <v>0.12239999999999999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6">
        <v>0</v>
      </c>
      <c r="W93" s="36">
        <v>0</v>
      </c>
      <c r="X93" s="36">
        <v>0</v>
      </c>
      <c r="Y93" s="36">
        <v>0</v>
      </c>
      <c r="Z93" s="36">
        <v>144341.4</v>
      </c>
      <c r="AA93" s="36">
        <v>885716.89</v>
      </c>
      <c r="AB93" s="36">
        <v>1837328.99</v>
      </c>
      <c r="AC93" s="36">
        <v>20632164.670000002</v>
      </c>
      <c r="AD93" s="37">
        <v>2025.95</v>
      </c>
      <c r="AE93" s="36">
        <v>19921260.710000001</v>
      </c>
      <c r="AF93" s="69">
        <f t="shared" si="48"/>
        <v>9833.0499999999993</v>
      </c>
      <c r="AG93" s="69">
        <f t="shared" si="49"/>
        <v>10183.950000000001</v>
      </c>
      <c r="AH93" s="70">
        <f t="shared" si="46"/>
        <v>350.9</v>
      </c>
      <c r="AI93" s="37">
        <v>181.02</v>
      </c>
      <c r="AJ93" s="36">
        <v>1747525.3</v>
      </c>
      <c r="AK93" s="69">
        <f t="shared" si="50"/>
        <v>9653.77</v>
      </c>
      <c r="AL93" s="69">
        <f t="shared" si="51"/>
        <v>10149.870000000001</v>
      </c>
      <c r="AM93" s="70">
        <f t="shared" si="47"/>
        <v>496.1</v>
      </c>
      <c r="AN93" s="36">
        <v>0</v>
      </c>
      <c r="AO93" s="36">
        <v>0</v>
      </c>
    </row>
    <row r="94" spans="1:41" s="3" customFormat="1">
      <c r="A94" s="55" t="s">
        <v>783</v>
      </c>
      <c r="B94" s="55" t="s">
        <v>251</v>
      </c>
      <c r="C94" s="55" t="s">
        <v>915</v>
      </c>
      <c r="D94" s="36">
        <v>0</v>
      </c>
      <c r="E94" s="36">
        <v>0</v>
      </c>
      <c r="F94" s="36">
        <v>0</v>
      </c>
      <c r="G94" s="36">
        <v>35730.35</v>
      </c>
      <c r="H94" s="36">
        <v>2002.34</v>
      </c>
      <c r="I94" s="36">
        <v>11048.57</v>
      </c>
      <c r="J94" s="36">
        <v>24046.89</v>
      </c>
      <c r="K94" s="36">
        <v>0</v>
      </c>
      <c r="L94" s="36">
        <v>0</v>
      </c>
      <c r="M94" s="36">
        <v>0</v>
      </c>
      <c r="N94" s="49">
        <v>6.6799999999999998E-2</v>
      </c>
      <c r="O94" s="64">
        <v>0.2767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6">
        <v>0</v>
      </c>
      <c r="V94" s="36">
        <v>0</v>
      </c>
      <c r="W94" s="36">
        <v>0</v>
      </c>
      <c r="X94" s="36">
        <v>0</v>
      </c>
      <c r="Y94" s="36">
        <v>0</v>
      </c>
      <c r="Z94" s="36">
        <v>0</v>
      </c>
      <c r="AA94" s="36">
        <v>0</v>
      </c>
      <c r="AB94" s="36">
        <v>0</v>
      </c>
      <c r="AC94" s="36">
        <v>0</v>
      </c>
      <c r="AD94" s="37">
        <v>0</v>
      </c>
      <c r="AE94" s="36">
        <v>0</v>
      </c>
      <c r="AF94" s="69">
        <f t="shared" si="48"/>
        <v>0</v>
      </c>
      <c r="AG94" s="69">
        <f t="shared" si="49"/>
        <v>0</v>
      </c>
      <c r="AH94" s="70">
        <f t="shared" si="46"/>
        <v>0</v>
      </c>
      <c r="AI94" s="37">
        <v>0</v>
      </c>
      <c r="AJ94" s="36">
        <v>0</v>
      </c>
      <c r="AK94" s="69">
        <f t="shared" si="50"/>
        <v>0</v>
      </c>
      <c r="AL94" s="69">
        <f t="shared" si="51"/>
        <v>0</v>
      </c>
      <c r="AM94" s="70">
        <f t="shared" si="47"/>
        <v>0</v>
      </c>
      <c r="AN94" s="36">
        <v>0</v>
      </c>
      <c r="AO94" s="36">
        <v>0</v>
      </c>
    </row>
    <row r="95" spans="1:41" s="3" customFormat="1">
      <c r="A95" s="55" t="s">
        <v>509</v>
      </c>
      <c r="B95" s="55" t="s">
        <v>102</v>
      </c>
      <c r="C95" s="55" t="s">
        <v>916</v>
      </c>
      <c r="D95" s="36">
        <v>0</v>
      </c>
      <c r="E95" s="36">
        <v>0</v>
      </c>
      <c r="F95" s="36">
        <v>1600.19</v>
      </c>
      <c r="G95" s="36">
        <v>38607510.369999997</v>
      </c>
      <c r="H95" s="36">
        <v>8108937.5300000003</v>
      </c>
      <c r="I95" s="36">
        <v>7222000.7199999997</v>
      </c>
      <c r="J95" s="36">
        <v>11447142.029999999</v>
      </c>
      <c r="K95" s="36">
        <v>12945611.16</v>
      </c>
      <c r="L95" s="36">
        <v>728047.9</v>
      </c>
      <c r="M95" s="36">
        <v>16868261.41</v>
      </c>
      <c r="N95" s="49">
        <v>3.4599999999999999E-2</v>
      </c>
      <c r="O95" s="64">
        <v>0.1605</v>
      </c>
      <c r="P95" s="36">
        <v>0</v>
      </c>
      <c r="Q95" s="36">
        <v>0</v>
      </c>
      <c r="R95" s="36">
        <v>0</v>
      </c>
      <c r="S95" s="36">
        <v>0</v>
      </c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44087.75</v>
      </c>
      <c r="AB95" s="36">
        <v>1213632.72</v>
      </c>
      <c r="AC95" s="36">
        <v>13500518.49</v>
      </c>
      <c r="AD95" s="37">
        <v>1236.5999999999999</v>
      </c>
      <c r="AE95" s="36">
        <v>12405064.66</v>
      </c>
      <c r="AF95" s="69">
        <f t="shared" si="48"/>
        <v>10031.59</v>
      </c>
      <c r="AG95" s="69">
        <f t="shared" si="49"/>
        <v>10917.45</v>
      </c>
      <c r="AH95" s="70">
        <f t="shared" si="46"/>
        <v>885.86</v>
      </c>
      <c r="AI95" s="37">
        <v>117.25</v>
      </c>
      <c r="AJ95" s="36">
        <v>1155300.94</v>
      </c>
      <c r="AK95" s="69">
        <f t="shared" si="50"/>
        <v>9853.31</v>
      </c>
      <c r="AL95" s="69">
        <f t="shared" si="51"/>
        <v>10350.81</v>
      </c>
      <c r="AM95" s="70">
        <f t="shared" si="47"/>
        <v>497.5</v>
      </c>
      <c r="AN95" s="36">
        <v>0</v>
      </c>
      <c r="AO95" s="36">
        <v>0</v>
      </c>
    </row>
    <row r="96" spans="1:41" s="3" customFormat="1">
      <c r="A96" s="55" t="s">
        <v>676</v>
      </c>
      <c r="B96" s="55" t="s">
        <v>273</v>
      </c>
      <c r="C96" s="55" t="s">
        <v>917</v>
      </c>
      <c r="D96" s="36">
        <v>0</v>
      </c>
      <c r="E96" s="36">
        <v>48542.720000000001</v>
      </c>
      <c r="F96" s="36">
        <v>0</v>
      </c>
      <c r="G96" s="36">
        <v>8864749.8900000006</v>
      </c>
      <c r="H96" s="36">
        <v>1465084.28</v>
      </c>
      <c r="I96" s="36">
        <v>976124.26</v>
      </c>
      <c r="J96" s="36">
        <v>1744397.63</v>
      </c>
      <c r="K96" s="36">
        <v>940273.05</v>
      </c>
      <c r="L96" s="36">
        <v>150532.35999999999</v>
      </c>
      <c r="M96" s="36">
        <v>3739570.34</v>
      </c>
      <c r="N96" s="49">
        <v>4.3700000000000003E-2</v>
      </c>
      <c r="O96" s="64">
        <v>0.16750000000000001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70082.36</v>
      </c>
      <c r="AB96" s="36">
        <v>265449.09999999998</v>
      </c>
      <c r="AC96" s="36">
        <v>3974702.67</v>
      </c>
      <c r="AD96" s="37">
        <v>375.9</v>
      </c>
      <c r="AE96" s="36">
        <v>3626991.15</v>
      </c>
      <c r="AF96" s="69">
        <f t="shared" si="48"/>
        <v>9648.82</v>
      </c>
      <c r="AG96" s="69">
        <f t="shared" si="49"/>
        <v>10573.83</v>
      </c>
      <c r="AH96" s="70">
        <f t="shared" si="46"/>
        <v>925.01</v>
      </c>
      <c r="AI96" s="37">
        <v>26.68</v>
      </c>
      <c r="AJ96" s="36">
        <v>252643.27</v>
      </c>
      <c r="AK96" s="69">
        <f t="shared" si="50"/>
        <v>9469.39</v>
      </c>
      <c r="AL96" s="69">
        <f t="shared" si="51"/>
        <v>9949.3700000000008</v>
      </c>
      <c r="AM96" s="70">
        <f t="shared" si="47"/>
        <v>479.98</v>
      </c>
      <c r="AN96" s="36">
        <v>0</v>
      </c>
      <c r="AO96" s="36">
        <v>0</v>
      </c>
    </row>
    <row r="97" spans="1:41" s="3" customFormat="1">
      <c r="A97" s="55" t="s">
        <v>606</v>
      </c>
      <c r="B97" s="55" t="s">
        <v>200</v>
      </c>
      <c r="C97" s="55" t="s">
        <v>918</v>
      </c>
      <c r="D97" s="36">
        <v>0</v>
      </c>
      <c r="E97" s="36">
        <v>0</v>
      </c>
      <c r="F97" s="36">
        <v>596.66999999999996</v>
      </c>
      <c r="G97" s="36">
        <v>5782043.1600000001</v>
      </c>
      <c r="H97" s="36">
        <v>1252336.68</v>
      </c>
      <c r="I97" s="36">
        <v>838187.86</v>
      </c>
      <c r="J97" s="36">
        <v>1441864.9</v>
      </c>
      <c r="K97" s="36">
        <v>1433235.09</v>
      </c>
      <c r="L97" s="36">
        <v>133818.26999999999</v>
      </c>
      <c r="M97" s="36">
        <v>3228755.05</v>
      </c>
      <c r="N97" s="49">
        <v>2.87E-2</v>
      </c>
      <c r="O97" s="64">
        <v>0.14499999999999999</v>
      </c>
      <c r="P97" s="36">
        <v>0</v>
      </c>
      <c r="Q97" s="36">
        <v>0</v>
      </c>
      <c r="R97" s="36">
        <v>0</v>
      </c>
      <c r="S97" s="36">
        <v>0</v>
      </c>
      <c r="T97" s="36">
        <v>0</v>
      </c>
      <c r="U97" s="36">
        <v>0</v>
      </c>
      <c r="V97" s="36">
        <v>0</v>
      </c>
      <c r="W97" s="36">
        <v>0</v>
      </c>
      <c r="X97" s="36">
        <v>0</v>
      </c>
      <c r="Y97" s="36">
        <v>0</v>
      </c>
      <c r="Z97" s="36">
        <v>6179.11</v>
      </c>
      <c r="AA97" s="36">
        <v>115248.7</v>
      </c>
      <c r="AB97" s="36">
        <v>679576.6</v>
      </c>
      <c r="AC97" s="36">
        <v>3411811.95</v>
      </c>
      <c r="AD97" s="37">
        <v>317.8</v>
      </c>
      <c r="AE97" s="36">
        <v>3188021.06</v>
      </c>
      <c r="AF97" s="69">
        <f t="shared" si="48"/>
        <v>10031.530000000001</v>
      </c>
      <c r="AG97" s="69">
        <f t="shared" si="49"/>
        <v>10735.72</v>
      </c>
      <c r="AH97" s="70">
        <f t="shared" si="46"/>
        <v>704.19</v>
      </c>
      <c r="AI97" s="37">
        <v>65.64</v>
      </c>
      <c r="AJ97" s="36">
        <v>646894.01</v>
      </c>
      <c r="AK97" s="69">
        <f t="shared" si="50"/>
        <v>9855.18</v>
      </c>
      <c r="AL97" s="69">
        <f t="shared" si="51"/>
        <v>10353.09</v>
      </c>
      <c r="AM97" s="70">
        <f t="shared" si="47"/>
        <v>497.91</v>
      </c>
      <c r="AN97" s="36">
        <v>0</v>
      </c>
      <c r="AO97" s="36">
        <v>0</v>
      </c>
    </row>
    <row r="98" spans="1:41" s="3" customFormat="1">
      <c r="A98" s="55" t="s">
        <v>429</v>
      </c>
      <c r="B98" s="55" t="s">
        <v>22</v>
      </c>
      <c r="C98" s="55" t="s">
        <v>919</v>
      </c>
      <c r="D98" s="36">
        <v>0</v>
      </c>
      <c r="E98" s="36">
        <v>7929.7</v>
      </c>
      <c r="F98" s="36">
        <v>18249.599999999999</v>
      </c>
      <c r="G98" s="36">
        <v>1391846</v>
      </c>
      <c r="H98" s="36">
        <v>265164.5</v>
      </c>
      <c r="I98" s="36">
        <v>271664.81</v>
      </c>
      <c r="J98" s="36">
        <v>426669.72</v>
      </c>
      <c r="K98" s="36">
        <v>309727.28999999998</v>
      </c>
      <c r="L98" s="36">
        <v>26754.86</v>
      </c>
      <c r="M98" s="36">
        <v>712618.5</v>
      </c>
      <c r="N98" s="49">
        <v>3.2800000000000003E-2</v>
      </c>
      <c r="O98" s="64">
        <v>0.18859999999999999</v>
      </c>
      <c r="P98" s="36">
        <v>0</v>
      </c>
      <c r="Q98" s="36">
        <v>0</v>
      </c>
      <c r="R98" s="36">
        <v>0</v>
      </c>
      <c r="S98" s="36">
        <v>0</v>
      </c>
      <c r="T98" s="36">
        <v>0</v>
      </c>
      <c r="U98" s="36">
        <v>0</v>
      </c>
      <c r="V98" s="36">
        <v>0</v>
      </c>
      <c r="W98" s="36">
        <v>0</v>
      </c>
      <c r="X98" s="36">
        <v>0</v>
      </c>
      <c r="Y98" s="36">
        <v>0</v>
      </c>
      <c r="Z98" s="36">
        <v>3608.08</v>
      </c>
      <c r="AA98" s="36">
        <v>49140.29</v>
      </c>
      <c r="AB98" s="36">
        <v>50781.67</v>
      </c>
      <c r="AC98" s="36">
        <v>722352.39</v>
      </c>
      <c r="AD98" s="37">
        <v>74.27</v>
      </c>
      <c r="AE98" s="36">
        <v>688324.24</v>
      </c>
      <c r="AF98" s="69">
        <f t="shared" si="48"/>
        <v>9267.86</v>
      </c>
      <c r="AG98" s="69">
        <f t="shared" si="49"/>
        <v>9726.0300000000007</v>
      </c>
      <c r="AH98" s="70">
        <f t="shared" si="46"/>
        <v>458.17</v>
      </c>
      <c r="AI98" s="37">
        <v>5.32</v>
      </c>
      <c r="AJ98" s="36">
        <v>48436.77</v>
      </c>
      <c r="AK98" s="69">
        <f t="shared" si="50"/>
        <v>9104.66</v>
      </c>
      <c r="AL98" s="69">
        <f t="shared" si="51"/>
        <v>9545.43</v>
      </c>
      <c r="AM98" s="70">
        <f t="shared" si="47"/>
        <v>440.77</v>
      </c>
      <c r="AN98" s="36">
        <v>0</v>
      </c>
      <c r="AO98" s="36">
        <v>0</v>
      </c>
    </row>
    <row r="99" spans="1:41" s="3" customFormat="1">
      <c r="A99" s="55" t="s">
        <v>602</v>
      </c>
      <c r="B99" s="55" t="s">
        <v>196</v>
      </c>
      <c r="C99" s="55" t="s">
        <v>920</v>
      </c>
      <c r="D99" s="36">
        <v>0</v>
      </c>
      <c r="E99" s="36">
        <v>0</v>
      </c>
      <c r="F99" s="36">
        <v>0</v>
      </c>
      <c r="G99" s="36">
        <v>13595770.710000001</v>
      </c>
      <c r="H99" s="36">
        <v>2995174.98</v>
      </c>
      <c r="I99" s="36">
        <v>2356782.84</v>
      </c>
      <c r="J99" s="36">
        <v>3710320.52</v>
      </c>
      <c r="K99" s="36">
        <v>2120241.1</v>
      </c>
      <c r="L99" s="36">
        <v>227450.85</v>
      </c>
      <c r="M99" s="36">
        <v>6389807.4199999999</v>
      </c>
      <c r="N99" s="49">
        <v>3.5200000000000002E-2</v>
      </c>
      <c r="O99" s="64">
        <v>0.1202</v>
      </c>
      <c r="P99" s="36">
        <v>0</v>
      </c>
      <c r="Q99" s="36">
        <v>0</v>
      </c>
      <c r="R99" s="36">
        <v>0</v>
      </c>
      <c r="S99" s="36">
        <v>0</v>
      </c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1185794.7</v>
      </c>
      <c r="AC99" s="36">
        <v>4235671</v>
      </c>
      <c r="AD99" s="37">
        <v>418.3</v>
      </c>
      <c r="AE99" s="36">
        <v>4036092.04</v>
      </c>
      <c r="AF99" s="69">
        <f t="shared" si="48"/>
        <v>9648.7999999999993</v>
      </c>
      <c r="AG99" s="69">
        <f t="shared" si="49"/>
        <v>10125.92</v>
      </c>
      <c r="AH99" s="70">
        <f t="shared" si="46"/>
        <v>477.12</v>
      </c>
      <c r="AI99" s="37">
        <v>119.16</v>
      </c>
      <c r="AJ99" s="36">
        <v>1128293.02</v>
      </c>
      <c r="AK99" s="69">
        <f t="shared" si="50"/>
        <v>9468.7199999999993</v>
      </c>
      <c r="AL99" s="69">
        <f t="shared" si="51"/>
        <v>9951.2800000000007</v>
      </c>
      <c r="AM99" s="70">
        <f t="shared" si="47"/>
        <v>482.56</v>
      </c>
      <c r="AN99" s="36">
        <v>0</v>
      </c>
      <c r="AO99" s="36">
        <v>0</v>
      </c>
    </row>
    <row r="100" spans="1:41" s="3" customFormat="1">
      <c r="A100" s="55" t="s">
        <v>643</v>
      </c>
      <c r="B100" s="55" t="s">
        <v>237</v>
      </c>
      <c r="C100" s="55" t="s">
        <v>921</v>
      </c>
      <c r="D100" s="36">
        <v>0</v>
      </c>
      <c r="E100" s="36">
        <v>0</v>
      </c>
      <c r="F100" s="36">
        <v>0</v>
      </c>
      <c r="G100" s="36">
        <v>1302990.97</v>
      </c>
      <c r="H100" s="36">
        <v>184157.73</v>
      </c>
      <c r="I100" s="36">
        <v>0</v>
      </c>
      <c r="J100" s="36">
        <v>148475.12</v>
      </c>
      <c r="K100" s="36">
        <v>7610.53</v>
      </c>
      <c r="L100" s="36">
        <v>26669.5</v>
      </c>
      <c r="M100" s="36">
        <v>1056706.19</v>
      </c>
      <c r="N100" s="49">
        <v>3.2899999999999999E-2</v>
      </c>
      <c r="O100" s="64">
        <v>0.222</v>
      </c>
      <c r="P100" s="36">
        <v>0</v>
      </c>
      <c r="Q100" s="36">
        <v>0</v>
      </c>
      <c r="R100" s="36">
        <v>0</v>
      </c>
      <c r="S100" s="36">
        <v>0</v>
      </c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257089.99</v>
      </c>
      <c r="AC100" s="36">
        <v>1068734.1100000001</v>
      </c>
      <c r="AD100" s="37">
        <v>109.13</v>
      </c>
      <c r="AE100" s="36">
        <v>1031297.66</v>
      </c>
      <c r="AF100" s="69">
        <f t="shared" si="48"/>
        <v>9450.18</v>
      </c>
      <c r="AG100" s="69">
        <f t="shared" si="49"/>
        <v>9793.2199999999993</v>
      </c>
      <c r="AH100" s="70">
        <f t="shared" si="46"/>
        <v>343.04</v>
      </c>
      <c r="AI100" s="37">
        <v>26.38</v>
      </c>
      <c r="AJ100" s="36">
        <v>244621.21</v>
      </c>
      <c r="AK100" s="69">
        <f t="shared" si="50"/>
        <v>9272.98</v>
      </c>
      <c r="AL100" s="69">
        <f t="shared" si="51"/>
        <v>9745.64</v>
      </c>
      <c r="AM100" s="70">
        <f t="shared" si="47"/>
        <v>472.66</v>
      </c>
      <c r="AN100" s="36">
        <v>0</v>
      </c>
      <c r="AO100" s="36">
        <v>0</v>
      </c>
    </row>
    <row r="101" spans="1:41" s="3" customFormat="1">
      <c r="A101" s="55" t="s">
        <v>688</v>
      </c>
      <c r="B101" s="55" t="s">
        <v>285</v>
      </c>
      <c r="C101" s="55" t="s">
        <v>922</v>
      </c>
      <c r="D101" s="36">
        <v>0</v>
      </c>
      <c r="E101" s="36">
        <v>0</v>
      </c>
      <c r="F101" s="36">
        <v>0</v>
      </c>
      <c r="G101" s="36">
        <v>222537.88</v>
      </c>
      <c r="H101" s="36">
        <v>26159.31</v>
      </c>
      <c r="I101" s="36">
        <v>14839.74</v>
      </c>
      <c r="J101" s="36">
        <v>45927.39</v>
      </c>
      <c r="K101" s="36">
        <v>0</v>
      </c>
      <c r="L101" s="36">
        <v>0</v>
      </c>
      <c r="M101" s="36">
        <v>456836.21</v>
      </c>
      <c r="N101" s="49">
        <v>3.7600000000000001E-2</v>
      </c>
      <c r="O101" s="64">
        <v>0.28110000000000002</v>
      </c>
      <c r="P101" s="36">
        <v>0</v>
      </c>
      <c r="Q101" s="36">
        <v>0</v>
      </c>
      <c r="R101" s="36">
        <v>0</v>
      </c>
      <c r="S101" s="36">
        <v>0</v>
      </c>
      <c r="T101" s="36">
        <v>0</v>
      </c>
      <c r="U101" s="36">
        <v>0</v>
      </c>
      <c r="V101" s="36">
        <v>0</v>
      </c>
      <c r="W101" s="36">
        <v>0</v>
      </c>
      <c r="X101" s="36">
        <v>0</v>
      </c>
      <c r="Y101" s="36">
        <v>0</v>
      </c>
      <c r="Z101" s="36">
        <v>0</v>
      </c>
      <c r="AA101" s="36">
        <v>8639.08</v>
      </c>
      <c r="AB101" s="36">
        <v>0</v>
      </c>
      <c r="AC101" s="36">
        <v>89191.03</v>
      </c>
      <c r="AD101" s="37">
        <v>9.24</v>
      </c>
      <c r="AE101" s="36">
        <v>85658.35</v>
      </c>
      <c r="AF101" s="69">
        <f t="shared" si="48"/>
        <v>9270.3799999999992</v>
      </c>
      <c r="AG101" s="69">
        <f t="shared" si="49"/>
        <v>9652.7099999999991</v>
      </c>
      <c r="AH101" s="70">
        <f t="shared" si="46"/>
        <v>382.33</v>
      </c>
      <c r="AI101" s="37">
        <v>0</v>
      </c>
      <c r="AJ101" s="36">
        <v>0</v>
      </c>
      <c r="AK101" s="69">
        <f t="shared" si="50"/>
        <v>0</v>
      </c>
      <c r="AL101" s="69">
        <f t="shared" si="51"/>
        <v>0</v>
      </c>
      <c r="AM101" s="70">
        <f t="shared" si="47"/>
        <v>0</v>
      </c>
      <c r="AN101" s="36">
        <v>0</v>
      </c>
      <c r="AO101" s="36">
        <v>0</v>
      </c>
    </row>
    <row r="102" spans="1:41" s="3" customFormat="1">
      <c r="A102" s="55" t="s">
        <v>542</v>
      </c>
      <c r="B102" s="55" t="s">
        <v>135</v>
      </c>
      <c r="C102" s="55" t="s">
        <v>923</v>
      </c>
      <c r="D102" s="36">
        <v>0</v>
      </c>
      <c r="E102" s="36">
        <v>1231.9100000000001</v>
      </c>
      <c r="F102" s="36">
        <v>0</v>
      </c>
      <c r="G102" s="36">
        <v>0</v>
      </c>
      <c r="H102" s="36">
        <v>0</v>
      </c>
      <c r="I102" s="36">
        <v>8852.4699999999993</v>
      </c>
      <c r="J102" s="36">
        <v>17368.78</v>
      </c>
      <c r="K102" s="36">
        <v>0</v>
      </c>
      <c r="L102" s="36">
        <v>0</v>
      </c>
      <c r="M102" s="36">
        <v>129847.6</v>
      </c>
      <c r="N102" s="49">
        <v>6.4799999999999996E-2</v>
      </c>
      <c r="O102" s="64">
        <v>0.2878</v>
      </c>
      <c r="P102" s="36">
        <v>0</v>
      </c>
      <c r="Q102" s="36">
        <v>0</v>
      </c>
      <c r="R102" s="36">
        <v>0</v>
      </c>
      <c r="S102" s="36">
        <v>0</v>
      </c>
      <c r="T102" s="36">
        <v>0</v>
      </c>
      <c r="U102" s="36">
        <v>0</v>
      </c>
      <c r="V102" s="36">
        <v>0</v>
      </c>
      <c r="W102" s="36">
        <v>0</v>
      </c>
      <c r="X102" s="36">
        <v>0</v>
      </c>
      <c r="Y102" s="36">
        <v>0</v>
      </c>
      <c r="Z102" s="36">
        <v>0</v>
      </c>
      <c r="AA102" s="36">
        <v>0</v>
      </c>
      <c r="AB102" s="36">
        <v>0</v>
      </c>
      <c r="AC102" s="36">
        <v>0</v>
      </c>
      <c r="AD102" s="37">
        <v>0</v>
      </c>
      <c r="AE102" s="36">
        <v>0</v>
      </c>
      <c r="AF102" s="69">
        <f t="shared" si="48"/>
        <v>0</v>
      </c>
      <c r="AG102" s="69">
        <f t="shared" si="49"/>
        <v>0</v>
      </c>
      <c r="AH102" s="70">
        <f t="shared" si="46"/>
        <v>0</v>
      </c>
      <c r="AI102" s="37">
        <v>0</v>
      </c>
      <c r="AJ102" s="36">
        <v>0</v>
      </c>
      <c r="AK102" s="69">
        <f t="shared" si="50"/>
        <v>0</v>
      </c>
      <c r="AL102" s="69">
        <f t="shared" si="51"/>
        <v>0</v>
      </c>
      <c r="AM102" s="70">
        <f t="shared" si="47"/>
        <v>0</v>
      </c>
      <c r="AN102" s="36">
        <v>0</v>
      </c>
      <c r="AO102" s="36">
        <v>0</v>
      </c>
    </row>
    <row r="103" spans="1:41" s="3" customFormat="1">
      <c r="A103" s="55" t="s">
        <v>545</v>
      </c>
      <c r="B103" s="55" t="s">
        <v>138</v>
      </c>
      <c r="C103" s="55" t="s">
        <v>924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273072.94</v>
      </c>
      <c r="J103" s="36">
        <v>979639.73</v>
      </c>
      <c r="K103" s="36">
        <v>233281.68</v>
      </c>
      <c r="L103" s="36">
        <v>92071.39</v>
      </c>
      <c r="M103" s="36">
        <v>699251.69</v>
      </c>
      <c r="N103" s="49">
        <v>7.2999999999999995E-2</v>
      </c>
      <c r="O103" s="64">
        <v>7.4899999999999994E-2</v>
      </c>
      <c r="P103" s="36">
        <v>0</v>
      </c>
      <c r="Q103" s="36">
        <v>0</v>
      </c>
      <c r="R103" s="36">
        <v>0</v>
      </c>
      <c r="S103" s="36">
        <v>0</v>
      </c>
      <c r="T103" s="36">
        <v>0</v>
      </c>
      <c r="U103" s="36">
        <v>0</v>
      </c>
      <c r="V103" s="36">
        <v>0</v>
      </c>
      <c r="W103" s="36">
        <v>0</v>
      </c>
      <c r="X103" s="36">
        <v>0</v>
      </c>
      <c r="Y103" s="36">
        <v>0</v>
      </c>
      <c r="Z103" s="36">
        <v>18752.080000000002</v>
      </c>
      <c r="AA103" s="36">
        <v>0</v>
      </c>
      <c r="AB103" s="36">
        <v>146125.35</v>
      </c>
      <c r="AC103" s="36">
        <v>952631.88</v>
      </c>
      <c r="AD103" s="37">
        <v>88.36</v>
      </c>
      <c r="AE103" s="36">
        <v>818717.43</v>
      </c>
      <c r="AF103" s="69">
        <f t="shared" si="48"/>
        <v>9265.7000000000007</v>
      </c>
      <c r="AG103" s="69">
        <f t="shared" si="49"/>
        <v>10781.26</v>
      </c>
      <c r="AH103" s="70">
        <f t="shared" si="46"/>
        <v>1515.56</v>
      </c>
      <c r="AI103" s="37">
        <v>15.29</v>
      </c>
      <c r="AJ103" s="36">
        <v>138896.56</v>
      </c>
      <c r="AK103" s="69">
        <f t="shared" si="50"/>
        <v>9084.14</v>
      </c>
      <c r="AL103" s="69">
        <f t="shared" si="51"/>
        <v>9556.92</v>
      </c>
      <c r="AM103" s="70">
        <f t="shared" si="47"/>
        <v>472.78</v>
      </c>
      <c r="AN103" s="36">
        <v>0</v>
      </c>
      <c r="AO103" s="36">
        <v>0</v>
      </c>
    </row>
    <row r="104" spans="1:41" s="3" customFormat="1">
      <c r="A104" s="55" t="s">
        <v>486</v>
      </c>
      <c r="B104" s="55" t="s">
        <v>79</v>
      </c>
      <c r="C104" s="55" t="s">
        <v>925</v>
      </c>
      <c r="D104" s="36">
        <v>0</v>
      </c>
      <c r="E104" s="36">
        <v>34919.18</v>
      </c>
      <c r="F104" s="36">
        <v>19702.509999999998</v>
      </c>
      <c r="G104" s="36">
        <v>935628.75</v>
      </c>
      <c r="H104" s="36">
        <v>166250.23999999999</v>
      </c>
      <c r="I104" s="36">
        <v>223029.43</v>
      </c>
      <c r="J104" s="36">
        <v>357345.37</v>
      </c>
      <c r="K104" s="36">
        <v>0</v>
      </c>
      <c r="L104" s="36">
        <v>20580.68</v>
      </c>
      <c r="M104" s="36">
        <v>593166.80000000005</v>
      </c>
      <c r="N104" s="49">
        <v>4.3099999999999999E-2</v>
      </c>
      <c r="O104" s="64">
        <v>0.2369</v>
      </c>
      <c r="P104" s="36">
        <v>0</v>
      </c>
      <c r="Q104" s="36">
        <v>0</v>
      </c>
      <c r="R104" s="36">
        <v>0</v>
      </c>
      <c r="S104" s="36">
        <v>0</v>
      </c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9345.32</v>
      </c>
      <c r="AA104" s="36">
        <v>27884.87</v>
      </c>
      <c r="AB104" s="36">
        <v>97681.78</v>
      </c>
      <c r="AC104" s="36">
        <v>378871.39</v>
      </c>
      <c r="AD104" s="37">
        <v>34.74</v>
      </c>
      <c r="AE104" s="36">
        <v>321890.27</v>
      </c>
      <c r="AF104" s="69">
        <f t="shared" si="48"/>
        <v>9265.7000000000007</v>
      </c>
      <c r="AG104" s="69">
        <f t="shared" si="49"/>
        <v>10905.91</v>
      </c>
      <c r="AH104" s="70">
        <f t="shared" si="46"/>
        <v>1640.21</v>
      </c>
      <c r="AI104" s="37">
        <v>10.24</v>
      </c>
      <c r="AJ104" s="36">
        <v>93010.66</v>
      </c>
      <c r="AK104" s="69">
        <f t="shared" si="50"/>
        <v>9083.07</v>
      </c>
      <c r="AL104" s="69">
        <f t="shared" si="51"/>
        <v>9539.24</v>
      </c>
      <c r="AM104" s="70">
        <f t="shared" si="47"/>
        <v>456.17</v>
      </c>
      <c r="AN104" s="36">
        <v>0</v>
      </c>
      <c r="AO104" s="36">
        <v>0</v>
      </c>
    </row>
    <row r="105" spans="1:41" s="3" customFormat="1">
      <c r="A105" s="55" t="s">
        <v>700</v>
      </c>
      <c r="B105" s="55" t="s">
        <v>298</v>
      </c>
      <c r="C105" s="55" t="s">
        <v>926</v>
      </c>
      <c r="D105" s="36">
        <v>166434.51999999999</v>
      </c>
      <c r="E105" s="36">
        <v>53744.45</v>
      </c>
      <c r="F105" s="36">
        <v>0</v>
      </c>
      <c r="G105" s="36">
        <v>6617658.6600000001</v>
      </c>
      <c r="H105" s="36">
        <v>1516283.41</v>
      </c>
      <c r="I105" s="36">
        <v>1135402.8799999999</v>
      </c>
      <c r="J105" s="36">
        <v>2173210.1</v>
      </c>
      <c r="K105" s="36">
        <v>1934382.82</v>
      </c>
      <c r="L105" s="36">
        <v>107344.43</v>
      </c>
      <c r="M105" s="36">
        <v>1717105.24</v>
      </c>
      <c r="N105" s="49">
        <v>5.3699999999999998E-2</v>
      </c>
      <c r="O105" s="64">
        <v>0.17269999999999999</v>
      </c>
      <c r="P105" s="36">
        <v>0</v>
      </c>
      <c r="Q105" s="36">
        <v>0</v>
      </c>
      <c r="R105" s="36">
        <v>0</v>
      </c>
      <c r="S105" s="36">
        <v>0</v>
      </c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16501.22</v>
      </c>
      <c r="AA105" s="36">
        <v>0</v>
      </c>
      <c r="AB105" s="36">
        <v>402594.36</v>
      </c>
      <c r="AC105" s="36">
        <v>3141621.81</v>
      </c>
      <c r="AD105" s="37">
        <v>321.67</v>
      </c>
      <c r="AE105" s="36">
        <v>2980746.29</v>
      </c>
      <c r="AF105" s="69">
        <f t="shared" si="48"/>
        <v>9266.4699999999993</v>
      </c>
      <c r="AG105" s="69">
        <f t="shared" si="49"/>
        <v>9766.6</v>
      </c>
      <c r="AH105" s="70">
        <f t="shared" si="46"/>
        <v>500.13</v>
      </c>
      <c r="AI105" s="37">
        <v>42.17</v>
      </c>
      <c r="AJ105" s="36">
        <v>383063.02</v>
      </c>
      <c r="AK105" s="69">
        <f t="shared" si="50"/>
        <v>9083.7800000000007</v>
      </c>
      <c r="AL105" s="69">
        <f t="shared" si="51"/>
        <v>9546.94</v>
      </c>
      <c r="AM105" s="70">
        <f t="shared" si="47"/>
        <v>463.16</v>
      </c>
      <c r="AN105" s="36">
        <v>0</v>
      </c>
      <c r="AO105" s="36">
        <v>0</v>
      </c>
    </row>
    <row r="106" spans="1:41" s="3" customFormat="1">
      <c r="A106" s="55" t="s">
        <v>704</v>
      </c>
      <c r="B106" s="55" t="s">
        <v>302</v>
      </c>
      <c r="C106" s="55" t="s">
        <v>927</v>
      </c>
      <c r="D106" s="36">
        <v>172560.96</v>
      </c>
      <c r="E106" s="36">
        <v>50175.47</v>
      </c>
      <c r="F106" s="36">
        <v>2.98</v>
      </c>
      <c r="G106" s="36">
        <v>2479129.12</v>
      </c>
      <c r="H106" s="36">
        <v>494676.46</v>
      </c>
      <c r="I106" s="36">
        <v>433277.19</v>
      </c>
      <c r="J106" s="36">
        <v>864063.04</v>
      </c>
      <c r="K106" s="36">
        <v>1205430.8500000001</v>
      </c>
      <c r="L106" s="36">
        <v>43111.08</v>
      </c>
      <c r="M106" s="36">
        <v>662215.09</v>
      </c>
      <c r="N106" s="49">
        <v>6.6199999999999995E-2</v>
      </c>
      <c r="O106" s="64">
        <v>0.14699999999999999</v>
      </c>
      <c r="P106" s="36">
        <v>0</v>
      </c>
      <c r="Q106" s="36">
        <v>0</v>
      </c>
      <c r="R106" s="36">
        <v>0</v>
      </c>
      <c r="S106" s="36">
        <v>0</v>
      </c>
      <c r="T106" s="36">
        <v>0</v>
      </c>
      <c r="U106" s="36">
        <v>0</v>
      </c>
      <c r="V106" s="36">
        <v>0</v>
      </c>
      <c r="W106" s="36">
        <v>0</v>
      </c>
      <c r="X106" s="36">
        <v>0</v>
      </c>
      <c r="Y106" s="36">
        <v>0</v>
      </c>
      <c r="Z106" s="36">
        <v>0</v>
      </c>
      <c r="AA106" s="36">
        <v>0</v>
      </c>
      <c r="AB106" s="36">
        <v>308988.17</v>
      </c>
      <c r="AC106" s="36">
        <v>1540019.3</v>
      </c>
      <c r="AD106" s="37">
        <v>159.35</v>
      </c>
      <c r="AE106" s="36">
        <v>1476556.74</v>
      </c>
      <c r="AF106" s="69">
        <f t="shared" si="48"/>
        <v>9266.1200000000008</v>
      </c>
      <c r="AG106" s="69">
        <f t="shared" si="49"/>
        <v>9664.3799999999992</v>
      </c>
      <c r="AH106" s="70">
        <f t="shared" si="46"/>
        <v>398.26</v>
      </c>
      <c r="AI106" s="37">
        <v>32.36</v>
      </c>
      <c r="AJ106" s="36">
        <v>293767.07</v>
      </c>
      <c r="AK106" s="69">
        <f t="shared" si="50"/>
        <v>9078.09</v>
      </c>
      <c r="AL106" s="69">
        <f t="shared" si="51"/>
        <v>9548.4599999999991</v>
      </c>
      <c r="AM106" s="70">
        <f t="shared" si="47"/>
        <v>470.37</v>
      </c>
      <c r="AN106" s="36">
        <v>0</v>
      </c>
      <c r="AO106" s="36">
        <v>0</v>
      </c>
    </row>
    <row r="107" spans="1:41" s="3" customFormat="1">
      <c r="A107" s="55" t="s">
        <v>634</v>
      </c>
      <c r="B107" s="55" t="s">
        <v>228</v>
      </c>
      <c r="C107" s="55" t="s">
        <v>928</v>
      </c>
      <c r="D107" s="36">
        <v>0</v>
      </c>
      <c r="E107" s="36">
        <v>0</v>
      </c>
      <c r="F107" s="36">
        <v>0</v>
      </c>
      <c r="G107" s="36">
        <v>4988707.3499999996</v>
      </c>
      <c r="H107" s="36">
        <v>1184172.6499999999</v>
      </c>
      <c r="I107" s="36">
        <v>259863.36</v>
      </c>
      <c r="J107" s="36">
        <v>792744.67</v>
      </c>
      <c r="K107" s="36">
        <v>176564.76</v>
      </c>
      <c r="L107" s="36">
        <v>76416.33</v>
      </c>
      <c r="M107" s="36">
        <v>2134752.15</v>
      </c>
      <c r="N107" s="49">
        <v>4.3200000000000002E-2</v>
      </c>
      <c r="O107" s="64">
        <v>0.15770000000000001</v>
      </c>
      <c r="P107" s="36">
        <v>0</v>
      </c>
      <c r="Q107" s="36">
        <v>0</v>
      </c>
      <c r="R107" s="36">
        <v>0</v>
      </c>
      <c r="S107" s="36">
        <v>0</v>
      </c>
      <c r="T107" s="36">
        <v>0</v>
      </c>
      <c r="U107" s="36">
        <v>0</v>
      </c>
      <c r="V107" s="36">
        <v>0</v>
      </c>
      <c r="W107" s="36">
        <v>0</v>
      </c>
      <c r="X107" s="36">
        <v>0</v>
      </c>
      <c r="Y107" s="36">
        <v>0</v>
      </c>
      <c r="Z107" s="36">
        <v>0</v>
      </c>
      <c r="AA107" s="36">
        <v>0</v>
      </c>
      <c r="AB107" s="36">
        <v>346794.3</v>
      </c>
      <c r="AC107" s="36">
        <v>951662.44</v>
      </c>
      <c r="AD107" s="37">
        <v>90.32</v>
      </c>
      <c r="AE107" s="36">
        <v>906048.64</v>
      </c>
      <c r="AF107" s="69">
        <f t="shared" si="48"/>
        <v>10031.540000000001</v>
      </c>
      <c r="AG107" s="69">
        <f t="shared" si="49"/>
        <v>10536.56</v>
      </c>
      <c r="AH107" s="70">
        <f t="shared" si="46"/>
        <v>505.02</v>
      </c>
      <c r="AI107" s="37">
        <v>33.5</v>
      </c>
      <c r="AJ107" s="36">
        <v>330126.74</v>
      </c>
      <c r="AK107" s="69">
        <f t="shared" si="50"/>
        <v>9854.5300000000007</v>
      </c>
      <c r="AL107" s="69">
        <f t="shared" si="51"/>
        <v>10352.07</v>
      </c>
      <c r="AM107" s="70">
        <f t="shared" si="47"/>
        <v>497.54</v>
      </c>
      <c r="AN107" s="36">
        <v>0</v>
      </c>
      <c r="AO107" s="36">
        <v>0</v>
      </c>
    </row>
    <row r="108" spans="1:41" s="3" customFormat="1">
      <c r="A108" s="55" t="s">
        <v>570</v>
      </c>
      <c r="B108" s="55" t="s">
        <v>163</v>
      </c>
      <c r="C108" s="55" t="s">
        <v>929</v>
      </c>
      <c r="D108" s="36">
        <v>0</v>
      </c>
      <c r="E108" s="36">
        <v>0</v>
      </c>
      <c r="F108" s="36">
        <v>0</v>
      </c>
      <c r="G108" s="36">
        <v>390254.04</v>
      </c>
      <c r="H108" s="36">
        <v>26072.01</v>
      </c>
      <c r="I108" s="36">
        <v>0</v>
      </c>
      <c r="J108" s="36">
        <v>83185.929999999993</v>
      </c>
      <c r="K108" s="36">
        <v>0</v>
      </c>
      <c r="L108" s="36">
        <v>6951.15</v>
      </c>
      <c r="M108" s="36">
        <v>203707.62</v>
      </c>
      <c r="N108" s="49">
        <v>6.0699999999999997E-2</v>
      </c>
      <c r="O108" s="64">
        <v>0.24709999999999999</v>
      </c>
      <c r="P108" s="36">
        <v>0</v>
      </c>
      <c r="Q108" s="36">
        <v>0</v>
      </c>
      <c r="R108" s="36">
        <v>0</v>
      </c>
      <c r="S108" s="36">
        <v>0</v>
      </c>
      <c r="T108" s="36">
        <v>0</v>
      </c>
      <c r="U108" s="36">
        <v>0</v>
      </c>
      <c r="V108" s="36">
        <v>0</v>
      </c>
      <c r="W108" s="36">
        <v>0</v>
      </c>
      <c r="X108" s="36">
        <v>0</v>
      </c>
      <c r="Y108" s="36">
        <v>0</v>
      </c>
      <c r="Z108" s="36">
        <v>0</v>
      </c>
      <c r="AA108" s="36">
        <v>0</v>
      </c>
      <c r="AB108" s="36">
        <v>5996.45</v>
      </c>
      <c r="AC108" s="36">
        <v>0</v>
      </c>
      <c r="AD108" s="37">
        <v>0</v>
      </c>
      <c r="AE108" s="36">
        <v>0</v>
      </c>
      <c r="AF108" s="69">
        <f t="shared" si="48"/>
        <v>0</v>
      </c>
      <c r="AG108" s="69">
        <f t="shared" si="49"/>
        <v>0</v>
      </c>
      <c r="AH108" s="70">
        <f t="shared" si="46"/>
        <v>0</v>
      </c>
      <c r="AI108" s="37">
        <v>0.59</v>
      </c>
      <c r="AJ108" s="36">
        <v>5720.21</v>
      </c>
      <c r="AK108" s="69">
        <f t="shared" si="50"/>
        <v>9695.27</v>
      </c>
      <c r="AL108" s="69">
        <f t="shared" si="51"/>
        <v>10163.469999999999</v>
      </c>
      <c r="AM108" s="70">
        <f t="shared" si="47"/>
        <v>468.2</v>
      </c>
      <c r="AN108" s="36">
        <v>0</v>
      </c>
      <c r="AO108" s="36">
        <v>0</v>
      </c>
    </row>
    <row r="109" spans="1:41" s="3" customFormat="1">
      <c r="A109" s="55" t="s">
        <v>638</v>
      </c>
      <c r="B109" s="55" t="s">
        <v>232</v>
      </c>
      <c r="C109" s="55" t="s">
        <v>930</v>
      </c>
      <c r="D109" s="36">
        <v>236.47</v>
      </c>
      <c r="E109" s="36">
        <v>967.55</v>
      </c>
      <c r="F109" s="36">
        <v>0</v>
      </c>
      <c r="G109" s="36">
        <v>80377.600000000006</v>
      </c>
      <c r="H109" s="36">
        <v>6224.38</v>
      </c>
      <c r="I109" s="36">
        <v>0</v>
      </c>
      <c r="J109" s="36">
        <v>13648.23</v>
      </c>
      <c r="K109" s="36">
        <v>0</v>
      </c>
      <c r="L109" s="36">
        <v>0</v>
      </c>
      <c r="M109" s="36">
        <v>118495.74</v>
      </c>
      <c r="N109" s="49">
        <v>0.10059999999999999</v>
      </c>
      <c r="O109" s="64">
        <v>0.32219999999999999</v>
      </c>
      <c r="P109" s="36">
        <v>0</v>
      </c>
      <c r="Q109" s="36">
        <v>0</v>
      </c>
      <c r="R109" s="36">
        <v>0</v>
      </c>
      <c r="S109" s="36">
        <v>0</v>
      </c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7">
        <v>0</v>
      </c>
      <c r="AE109" s="36">
        <v>0</v>
      </c>
      <c r="AF109" s="69">
        <f t="shared" si="48"/>
        <v>0</v>
      </c>
      <c r="AG109" s="69">
        <f t="shared" si="49"/>
        <v>0</v>
      </c>
      <c r="AH109" s="70">
        <f t="shared" si="46"/>
        <v>0</v>
      </c>
      <c r="AI109" s="37">
        <v>0</v>
      </c>
      <c r="AJ109" s="36">
        <v>0</v>
      </c>
      <c r="AK109" s="69">
        <f t="shared" si="50"/>
        <v>0</v>
      </c>
      <c r="AL109" s="69">
        <f t="shared" si="51"/>
        <v>0</v>
      </c>
      <c r="AM109" s="70">
        <f t="shared" si="47"/>
        <v>0</v>
      </c>
      <c r="AN109" s="36">
        <v>0</v>
      </c>
      <c r="AO109" s="36">
        <v>0</v>
      </c>
    </row>
    <row r="110" spans="1:41" s="3" customFormat="1">
      <c r="A110" s="55" t="s">
        <v>447</v>
      </c>
      <c r="B110" s="55" t="s">
        <v>40</v>
      </c>
      <c r="C110" s="55" t="s">
        <v>931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37604.61</v>
      </c>
      <c r="K110" s="36">
        <v>0</v>
      </c>
      <c r="L110" s="36">
        <v>5355.8</v>
      </c>
      <c r="M110" s="36">
        <v>176803.01</v>
      </c>
      <c r="N110" s="49">
        <v>9.0899999999999995E-2</v>
      </c>
      <c r="O110" s="64">
        <v>0.28460000000000002</v>
      </c>
      <c r="P110" s="36">
        <v>0</v>
      </c>
      <c r="Q110" s="36">
        <v>0</v>
      </c>
      <c r="R110" s="36">
        <v>0</v>
      </c>
      <c r="S110" s="36">
        <v>0</v>
      </c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7">
        <v>0</v>
      </c>
      <c r="AE110" s="36">
        <v>0</v>
      </c>
      <c r="AF110" s="69">
        <f t="shared" si="48"/>
        <v>0</v>
      </c>
      <c r="AG110" s="69">
        <f t="shared" si="49"/>
        <v>0</v>
      </c>
      <c r="AH110" s="70">
        <f t="shared" si="46"/>
        <v>0</v>
      </c>
      <c r="AI110" s="37">
        <v>0</v>
      </c>
      <c r="AJ110" s="36">
        <v>0</v>
      </c>
      <c r="AK110" s="69">
        <f t="shared" si="50"/>
        <v>0</v>
      </c>
      <c r="AL110" s="69">
        <f t="shared" si="51"/>
        <v>0</v>
      </c>
      <c r="AM110" s="70">
        <f t="shared" si="47"/>
        <v>0</v>
      </c>
      <c r="AN110" s="36">
        <v>0</v>
      </c>
      <c r="AO110" s="36">
        <v>0</v>
      </c>
    </row>
    <row r="111" spans="1:41" s="3" customFormat="1">
      <c r="A111" s="55" t="s">
        <v>664</v>
      </c>
      <c r="B111" s="55" t="s">
        <v>261</v>
      </c>
      <c r="C111" s="55" t="s">
        <v>932</v>
      </c>
      <c r="D111" s="36">
        <v>0</v>
      </c>
      <c r="E111" s="36">
        <v>0</v>
      </c>
      <c r="F111" s="36">
        <v>0</v>
      </c>
      <c r="G111" s="36">
        <v>1046060.98</v>
      </c>
      <c r="H111" s="36">
        <v>110383.34</v>
      </c>
      <c r="I111" s="36">
        <v>0</v>
      </c>
      <c r="J111" s="36">
        <v>95970.9</v>
      </c>
      <c r="K111" s="36">
        <v>0</v>
      </c>
      <c r="L111" s="36">
        <v>17331.099999999999</v>
      </c>
      <c r="M111" s="36">
        <v>684641.51</v>
      </c>
      <c r="N111" s="49">
        <v>5.1299999999999998E-2</v>
      </c>
      <c r="O111" s="64">
        <v>0.23680000000000001</v>
      </c>
      <c r="P111" s="36">
        <v>0</v>
      </c>
      <c r="Q111" s="36">
        <v>0</v>
      </c>
      <c r="R111" s="36">
        <v>0</v>
      </c>
      <c r="S111" s="36">
        <v>0</v>
      </c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6">
        <v>0</v>
      </c>
      <c r="AB111" s="36">
        <v>0</v>
      </c>
      <c r="AC111" s="36">
        <v>0</v>
      </c>
      <c r="AD111" s="37">
        <v>0</v>
      </c>
      <c r="AE111" s="36">
        <v>0</v>
      </c>
      <c r="AF111" s="69">
        <f t="shared" si="48"/>
        <v>0</v>
      </c>
      <c r="AG111" s="69">
        <f t="shared" si="49"/>
        <v>0</v>
      </c>
      <c r="AH111" s="70">
        <f t="shared" si="46"/>
        <v>0</v>
      </c>
      <c r="AI111" s="37">
        <v>0</v>
      </c>
      <c r="AJ111" s="36">
        <v>0</v>
      </c>
      <c r="AK111" s="69">
        <f t="shared" si="50"/>
        <v>0</v>
      </c>
      <c r="AL111" s="69">
        <f t="shared" si="51"/>
        <v>0</v>
      </c>
      <c r="AM111" s="70">
        <f t="shared" si="47"/>
        <v>0</v>
      </c>
      <c r="AN111" s="36">
        <v>0</v>
      </c>
      <c r="AO111" s="36">
        <v>0</v>
      </c>
    </row>
    <row r="112" spans="1:41" s="3" customFormat="1">
      <c r="A112" s="55" t="s">
        <v>567</v>
      </c>
      <c r="B112" s="55" t="s">
        <v>160</v>
      </c>
      <c r="C112" s="55" t="s">
        <v>933</v>
      </c>
      <c r="D112" s="36">
        <v>0</v>
      </c>
      <c r="E112" s="36">
        <v>0</v>
      </c>
      <c r="F112" s="36">
        <v>3544.05</v>
      </c>
      <c r="G112" s="36">
        <v>229082.15</v>
      </c>
      <c r="H112" s="36">
        <v>25735.07</v>
      </c>
      <c r="I112" s="36">
        <v>36530.47</v>
      </c>
      <c r="J112" s="36">
        <v>43141.83</v>
      </c>
      <c r="K112" s="36">
        <v>0</v>
      </c>
      <c r="L112" s="36">
        <v>0</v>
      </c>
      <c r="M112" s="36">
        <v>323677.68</v>
      </c>
      <c r="N112" s="49">
        <v>4.7800000000000002E-2</v>
      </c>
      <c r="O112" s="64">
        <v>0.2006</v>
      </c>
      <c r="P112" s="36">
        <v>0</v>
      </c>
      <c r="Q112" s="36">
        <v>0</v>
      </c>
      <c r="R112" s="36">
        <v>0</v>
      </c>
      <c r="S112" s="36">
        <v>0</v>
      </c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1044.3499999999999</v>
      </c>
      <c r="AA112" s="36">
        <v>0</v>
      </c>
      <c r="AB112" s="36">
        <v>15674.61</v>
      </c>
      <c r="AC112" s="36">
        <v>45729.11</v>
      </c>
      <c r="AD112" s="37">
        <v>4.6900000000000004</v>
      </c>
      <c r="AE112" s="36">
        <v>44385.45</v>
      </c>
      <c r="AF112" s="69">
        <f t="shared" si="48"/>
        <v>9463.85</v>
      </c>
      <c r="AG112" s="69">
        <f t="shared" si="49"/>
        <v>9750.34</v>
      </c>
      <c r="AH112" s="70">
        <f t="shared" si="46"/>
        <v>286.49</v>
      </c>
      <c r="AI112" s="37">
        <v>1.61</v>
      </c>
      <c r="AJ112" s="36">
        <v>14856.54</v>
      </c>
      <c r="AK112" s="69">
        <f t="shared" si="50"/>
        <v>9227.66</v>
      </c>
      <c r="AL112" s="69">
        <f t="shared" si="51"/>
        <v>9735.7800000000007</v>
      </c>
      <c r="AM112" s="70">
        <f t="shared" si="47"/>
        <v>508.12</v>
      </c>
      <c r="AN112" s="36">
        <v>0</v>
      </c>
      <c r="AO112" s="36">
        <v>0</v>
      </c>
    </row>
    <row r="113" spans="1:41" s="3" customFormat="1">
      <c r="A113" s="55" t="s">
        <v>703</v>
      </c>
      <c r="B113" s="55" t="s">
        <v>301</v>
      </c>
      <c r="C113" s="55" t="s">
        <v>934</v>
      </c>
      <c r="D113" s="36">
        <v>0</v>
      </c>
      <c r="E113" s="36">
        <v>38147.69</v>
      </c>
      <c r="F113" s="36">
        <v>1282.55</v>
      </c>
      <c r="G113" s="36">
        <v>1548178.46</v>
      </c>
      <c r="H113" s="36">
        <v>279575.74</v>
      </c>
      <c r="I113" s="36">
        <v>343697.13</v>
      </c>
      <c r="J113" s="36">
        <v>603338.5</v>
      </c>
      <c r="K113" s="36">
        <v>566465.07999999996</v>
      </c>
      <c r="L113" s="36">
        <v>31195.95</v>
      </c>
      <c r="M113" s="36">
        <v>834309.31</v>
      </c>
      <c r="N113" s="49">
        <v>4.3700000000000003E-2</v>
      </c>
      <c r="O113" s="64">
        <v>0.1933</v>
      </c>
      <c r="P113" s="36">
        <v>0</v>
      </c>
      <c r="Q113" s="36">
        <v>0</v>
      </c>
      <c r="R113" s="36">
        <v>0</v>
      </c>
      <c r="S113" s="36">
        <v>0</v>
      </c>
      <c r="T113" s="36">
        <v>0</v>
      </c>
      <c r="U113" s="36">
        <v>0</v>
      </c>
      <c r="V113" s="36">
        <v>0</v>
      </c>
      <c r="W113" s="36">
        <v>0</v>
      </c>
      <c r="X113" s="36">
        <v>0</v>
      </c>
      <c r="Y113" s="36">
        <v>0</v>
      </c>
      <c r="Z113" s="36">
        <v>0</v>
      </c>
      <c r="AA113" s="36">
        <v>0</v>
      </c>
      <c r="AB113" s="36">
        <v>0</v>
      </c>
      <c r="AC113" s="36">
        <v>311782.45</v>
      </c>
      <c r="AD113" s="37">
        <v>31.68</v>
      </c>
      <c r="AE113" s="36">
        <v>293489.34999999998</v>
      </c>
      <c r="AF113" s="69">
        <f t="shared" si="48"/>
        <v>9264.18</v>
      </c>
      <c r="AG113" s="69">
        <f t="shared" si="49"/>
        <v>9841.6200000000008</v>
      </c>
      <c r="AH113" s="70">
        <f t="shared" si="46"/>
        <v>577.44000000000005</v>
      </c>
      <c r="AI113" s="37">
        <v>0</v>
      </c>
      <c r="AJ113" s="36">
        <v>0</v>
      </c>
      <c r="AK113" s="69">
        <f t="shared" si="50"/>
        <v>0</v>
      </c>
      <c r="AL113" s="69">
        <f t="shared" si="51"/>
        <v>0</v>
      </c>
      <c r="AM113" s="70">
        <f t="shared" si="47"/>
        <v>0</v>
      </c>
      <c r="AN113" s="36">
        <v>20000</v>
      </c>
      <c r="AO113" s="36">
        <v>0</v>
      </c>
    </row>
    <row r="114" spans="1:41" s="3" customFormat="1">
      <c r="A114" s="55" t="s">
        <v>512</v>
      </c>
      <c r="B114" s="55" t="s">
        <v>105</v>
      </c>
      <c r="C114" s="55" t="s">
        <v>935</v>
      </c>
      <c r="D114" s="36">
        <v>0</v>
      </c>
      <c r="E114" s="36">
        <v>951102.94</v>
      </c>
      <c r="F114" s="36">
        <v>483796.92</v>
      </c>
      <c r="G114" s="36">
        <v>36718855.840000004</v>
      </c>
      <c r="H114" s="36">
        <v>6311649.9100000001</v>
      </c>
      <c r="I114" s="36">
        <v>5175651.0199999996</v>
      </c>
      <c r="J114" s="36">
        <v>9980270.9900000002</v>
      </c>
      <c r="K114" s="36">
        <v>13202011.98</v>
      </c>
      <c r="L114" s="36">
        <v>636625.61</v>
      </c>
      <c r="M114" s="36">
        <v>9219711.3300000001</v>
      </c>
      <c r="N114" s="49">
        <v>3.6799999999999999E-2</v>
      </c>
      <c r="O114" s="64">
        <v>0.14069999999999999</v>
      </c>
      <c r="P114" s="36">
        <v>0</v>
      </c>
      <c r="Q114" s="36">
        <v>0</v>
      </c>
      <c r="R114" s="36">
        <v>0</v>
      </c>
      <c r="S114" s="36">
        <v>0</v>
      </c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626030.35</v>
      </c>
      <c r="AB114" s="36">
        <v>925731.73</v>
      </c>
      <c r="AC114" s="36">
        <v>8155771.7800000003</v>
      </c>
      <c r="AD114" s="37">
        <v>697.4</v>
      </c>
      <c r="AE114" s="36">
        <v>7262828.7300000004</v>
      </c>
      <c r="AF114" s="69">
        <f t="shared" si="48"/>
        <v>10414.15</v>
      </c>
      <c r="AG114" s="69">
        <f t="shared" si="49"/>
        <v>11694.54</v>
      </c>
      <c r="AH114" s="70">
        <f t="shared" si="46"/>
        <v>1280.3900000000001</v>
      </c>
      <c r="AI114" s="37">
        <v>86.09</v>
      </c>
      <c r="AJ114" s="36">
        <v>881290.35</v>
      </c>
      <c r="AK114" s="69">
        <f t="shared" si="50"/>
        <v>10236.85</v>
      </c>
      <c r="AL114" s="69">
        <f t="shared" si="51"/>
        <v>10753.07</v>
      </c>
      <c r="AM114" s="70">
        <f t="shared" si="47"/>
        <v>516.22</v>
      </c>
      <c r="AN114" s="36">
        <v>0</v>
      </c>
      <c r="AO114" s="36">
        <v>0</v>
      </c>
    </row>
    <row r="115" spans="1:41" s="3" customFormat="1">
      <c r="A115" s="55" t="s">
        <v>445</v>
      </c>
      <c r="B115" s="55" t="s">
        <v>38</v>
      </c>
      <c r="C115" s="55" t="s">
        <v>936</v>
      </c>
      <c r="D115" s="36">
        <v>0</v>
      </c>
      <c r="E115" s="36">
        <v>6638.36</v>
      </c>
      <c r="F115" s="36">
        <v>0</v>
      </c>
      <c r="G115" s="36">
        <v>2742474.44</v>
      </c>
      <c r="H115" s="36">
        <v>316632.69</v>
      </c>
      <c r="I115" s="36">
        <v>0</v>
      </c>
      <c r="J115" s="36">
        <v>377413.45</v>
      </c>
      <c r="K115" s="36">
        <v>183725.06</v>
      </c>
      <c r="L115" s="36">
        <v>65751.08</v>
      </c>
      <c r="M115" s="36">
        <v>1811355.26</v>
      </c>
      <c r="N115" s="49">
        <v>3.4200000000000001E-2</v>
      </c>
      <c r="O115" s="64">
        <v>0.21079999999999999</v>
      </c>
      <c r="P115" s="36">
        <v>0</v>
      </c>
      <c r="Q115" s="36">
        <v>0</v>
      </c>
      <c r="R115" s="36">
        <v>0</v>
      </c>
      <c r="S115" s="36">
        <v>0</v>
      </c>
      <c r="T115" s="36">
        <v>0</v>
      </c>
      <c r="U115" s="36">
        <v>0</v>
      </c>
      <c r="V115" s="36">
        <v>0</v>
      </c>
      <c r="W115" s="36">
        <v>0</v>
      </c>
      <c r="X115" s="36">
        <v>0</v>
      </c>
      <c r="Y115" s="36">
        <v>0</v>
      </c>
      <c r="Z115" s="36">
        <v>0</v>
      </c>
      <c r="AA115" s="36">
        <v>71035.990000000005</v>
      </c>
      <c r="AB115" s="36">
        <v>108814.26</v>
      </c>
      <c r="AC115" s="36">
        <v>819227.25</v>
      </c>
      <c r="AD115" s="37">
        <v>81.16</v>
      </c>
      <c r="AE115" s="36">
        <v>782963.04</v>
      </c>
      <c r="AF115" s="69">
        <f t="shared" si="48"/>
        <v>9647.15</v>
      </c>
      <c r="AG115" s="69">
        <f t="shared" si="49"/>
        <v>10093.98</v>
      </c>
      <c r="AH115" s="70">
        <f t="shared" si="46"/>
        <v>446.83</v>
      </c>
      <c r="AI115" s="37">
        <v>10.94</v>
      </c>
      <c r="AJ115" s="36">
        <v>103495.12</v>
      </c>
      <c r="AK115" s="69">
        <f t="shared" si="50"/>
        <v>9460.25</v>
      </c>
      <c r="AL115" s="69">
        <f t="shared" si="51"/>
        <v>9946.4599999999991</v>
      </c>
      <c r="AM115" s="70">
        <f t="shared" si="47"/>
        <v>486.21</v>
      </c>
      <c r="AN115" s="36">
        <v>0</v>
      </c>
      <c r="AO115" s="36">
        <v>0</v>
      </c>
    </row>
    <row r="116" spans="1:41" s="3" customFormat="1">
      <c r="A116" s="55" t="s">
        <v>575</v>
      </c>
      <c r="B116" s="55" t="s">
        <v>168</v>
      </c>
      <c r="C116" s="55" t="s">
        <v>937</v>
      </c>
      <c r="D116" s="36">
        <v>0</v>
      </c>
      <c r="E116" s="36">
        <v>15090.62</v>
      </c>
      <c r="F116" s="36">
        <v>9913.2000000000007</v>
      </c>
      <c r="G116" s="36">
        <v>660857.96</v>
      </c>
      <c r="H116" s="36">
        <v>57847.37</v>
      </c>
      <c r="I116" s="36">
        <v>102253.42</v>
      </c>
      <c r="J116" s="36">
        <v>167786.59</v>
      </c>
      <c r="K116" s="36">
        <v>0</v>
      </c>
      <c r="L116" s="36">
        <v>9532.11</v>
      </c>
      <c r="M116" s="36">
        <v>523616.42</v>
      </c>
      <c r="N116" s="49">
        <v>7.0400000000000004E-2</v>
      </c>
      <c r="O116" s="64">
        <v>0.22639999999999999</v>
      </c>
      <c r="P116" s="36">
        <v>0</v>
      </c>
      <c r="Q116" s="36">
        <v>0</v>
      </c>
      <c r="R116" s="36">
        <v>0</v>
      </c>
      <c r="S116" s="36">
        <v>0</v>
      </c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6">
        <v>0</v>
      </c>
      <c r="AB116" s="36">
        <v>0</v>
      </c>
      <c r="AC116" s="36">
        <v>0</v>
      </c>
      <c r="AD116" s="37">
        <v>0</v>
      </c>
      <c r="AE116" s="36">
        <v>0</v>
      </c>
      <c r="AF116" s="69">
        <f t="shared" si="48"/>
        <v>0</v>
      </c>
      <c r="AG116" s="69">
        <f t="shared" si="49"/>
        <v>0</v>
      </c>
      <c r="AH116" s="70">
        <f t="shared" si="46"/>
        <v>0</v>
      </c>
      <c r="AI116" s="37">
        <v>0</v>
      </c>
      <c r="AJ116" s="36">
        <v>0</v>
      </c>
      <c r="AK116" s="69">
        <f t="shared" si="50"/>
        <v>0</v>
      </c>
      <c r="AL116" s="69">
        <f t="shared" si="51"/>
        <v>0</v>
      </c>
      <c r="AM116" s="70">
        <f t="shared" si="47"/>
        <v>0</v>
      </c>
      <c r="AN116" s="36">
        <v>0</v>
      </c>
      <c r="AO116" s="36">
        <v>0</v>
      </c>
    </row>
    <row r="117" spans="1:41" s="3" customFormat="1">
      <c r="A117" s="55" t="s">
        <v>488</v>
      </c>
      <c r="B117" s="55" t="s">
        <v>81</v>
      </c>
      <c r="C117" s="55" t="s">
        <v>938</v>
      </c>
      <c r="D117" s="36">
        <v>0</v>
      </c>
      <c r="E117" s="36">
        <v>70900.72</v>
      </c>
      <c r="F117" s="36">
        <v>43866.05</v>
      </c>
      <c r="G117" s="36">
        <v>2935241.59</v>
      </c>
      <c r="H117" s="36">
        <v>481135.72</v>
      </c>
      <c r="I117" s="36">
        <v>505634.48</v>
      </c>
      <c r="J117" s="36">
        <v>754227.27</v>
      </c>
      <c r="K117" s="36">
        <v>224219.11</v>
      </c>
      <c r="L117" s="36">
        <v>48310.400000000001</v>
      </c>
      <c r="M117" s="36">
        <v>1482131.28</v>
      </c>
      <c r="N117" s="49">
        <v>2.4299999999999999E-2</v>
      </c>
      <c r="O117" s="64">
        <v>0.19170000000000001</v>
      </c>
      <c r="P117" s="36">
        <v>0</v>
      </c>
      <c r="Q117" s="36">
        <v>0</v>
      </c>
      <c r="R117" s="36">
        <v>0</v>
      </c>
      <c r="S117" s="36">
        <v>0</v>
      </c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60960.07</v>
      </c>
      <c r="AB117" s="36">
        <v>257074.09</v>
      </c>
      <c r="AC117" s="36">
        <v>1024968.29</v>
      </c>
      <c r="AD117" s="37">
        <v>104.26</v>
      </c>
      <c r="AE117" s="36">
        <v>966176.8</v>
      </c>
      <c r="AF117" s="69">
        <f t="shared" si="48"/>
        <v>9266.99</v>
      </c>
      <c r="AG117" s="69">
        <f t="shared" si="49"/>
        <v>9830.89</v>
      </c>
      <c r="AH117" s="70">
        <f t="shared" si="46"/>
        <v>563.9</v>
      </c>
      <c r="AI117" s="37">
        <v>26.92</v>
      </c>
      <c r="AJ117" s="36">
        <v>244576.58</v>
      </c>
      <c r="AK117" s="69">
        <f t="shared" si="50"/>
        <v>9085.31</v>
      </c>
      <c r="AL117" s="69">
        <f t="shared" si="51"/>
        <v>9549.56</v>
      </c>
      <c r="AM117" s="70">
        <f t="shared" si="47"/>
        <v>464.25</v>
      </c>
      <c r="AN117" s="36">
        <v>0</v>
      </c>
      <c r="AO117" s="36">
        <v>0</v>
      </c>
    </row>
    <row r="118" spans="1:41" s="3" customFormat="1">
      <c r="A118" s="55" t="s">
        <v>813</v>
      </c>
      <c r="B118" s="60" t="s">
        <v>814</v>
      </c>
      <c r="C118" s="56" t="s">
        <v>939</v>
      </c>
      <c r="D118" s="36">
        <v>0</v>
      </c>
      <c r="E118" s="36">
        <v>0</v>
      </c>
      <c r="F118" s="36">
        <v>0</v>
      </c>
      <c r="G118" s="36">
        <v>396580.48</v>
      </c>
      <c r="H118" s="36">
        <v>24823.06</v>
      </c>
      <c r="I118" s="36">
        <v>45705.81</v>
      </c>
      <c r="J118" s="36">
        <v>52342.54</v>
      </c>
      <c r="K118" s="36">
        <v>82088.12</v>
      </c>
      <c r="L118" s="36">
        <v>7262.84</v>
      </c>
      <c r="M118" s="36">
        <v>90827.04</v>
      </c>
      <c r="N118" s="49">
        <v>3.5000000000000003E-2</v>
      </c>
      <c r="O118" s="64">
        <v>0.14979999999999999</v>
      </c>
      <c r="P118" s="36">
        <v>0</v>
      </c>
      <c r="Q118" s="36">
        <v>0</v>
      </c>
      <c r="R118" s="36">
        <v>0</v>
      </c>
      <c r="S118" s="36">
        <v>0</v>
      </c>
      <c r="T118" s="36">
        <v>0</v>
      </c>
      <c r="U118" s="36">
        <v>0</v>
      </c>
      <c r="V118" s="36">
        <v>0</v>
      </c>
      <c r="W118" s="36">
        <v>0</v>
      </c>
      <c r="X118" s="36">
        <v>0</v>
      </c>
      <c r="Y118" s="36">
        <v>0</v>
      </c>
      <c r="Z118" s="36">
        <v>0</v>
      </c>
      <c r="AA118" s="36">
        <v>0</v>
      </c>
      <c r="AB118" s="36">
        <v>0</v>
      </c>
      <c r="AC118" s="36">
        <v>0</v>
      </c>
      <c r="AD118" s="37">
        <v>0</v>
      </c>
      <c r="AE118" s="36">
        <v>0</v>
      </c>
      <c r="AF118" s="69">
        <f t="shared" si="48"/>
        <v>0</v>
      </c>
      <c r="AG118" s="69">
        <f t="shared" si="49"/>
        <v>0</v>
      </c>
      <c r="AH118" s="70">
        <f t="shared" si="46"/>
        <v>0</v>
      </c>
      <c r="AI118" s="37">
        <v>0</v>
      </c>
      <c r="AJ118" s="36">
        <v>0</v>
      </c>
      <c r="AK118" s="69">
        <f t="shared" si="50"/>
        <v>0</v>
      </c>
      <c r="AL118" s="69">
        <f t="shared" si="51"/>
        <v>0</v>
      </c>
      <c r="AM118" s="70">
        <f t="shared" si="47"/>
        <v>0</v>
      </c>
      <c r="AN118" s="36">
        <v>0</v>
      </c>
      <c r="AO118" s="36">
        <v>0</v>
      </c>
    </row>
    <row r="119" spans="1:41" s="3" customFormat="1">
      <c r="A119" s="55" t="s">
        <v>770</v>
      </c>
      <c r="B119" s="56" t="s">
        <v>743</v>
      </c>
      <c r="C119" s="56" t="s">
        <v>940</v>
      </c>
      <c r="D119" s="36">
        <v>0</v>
      </c>
      <c r="E119" s="36">
        <v>0</v>
      </c>
      <c r="F119" s="36">
        <v>0</v>
      </c>
      <c r="G119" s="36">
        <v>928479.63</v>
      </c>
      <c r="H119" s="36">
        <v>80716.91</v>
      </c>
      <c r="I119" s="36">
        <v>177063.06</v>
      </c>
      <c r="J119" s="36">
        <v>260961.4</v>
      </c>
      <c r="K119" s="36">
        <v>263273.59000000003</v>
      </c>
      <c r="L119" s="36">
        <v>17781.43</v>
      </c>
      <c r="M119" s="36">
        <v>263344.48</v>
      </c>
      <c r="N119" s="49">
        <v>0.20680000000000001</v>
      </c>
      <c r="O119" s="64">
        <v>0.3543</v>
      </c>
      <c r="P119" s="36">
        <v>0</v>
      </c>
      <c r="Q119" s="36">
        <v>0</v>
      </c>
      <c r="R119" s="36">
        <v>0</v>
      </c>
      <c r="S119" s="36">
        <v>0</v>
      </c>
      <c r="T119" s="36">
        <v>0</v>
      </c>
      <c r="U119" s="36">
        <v>0</v>
      </c>
      <c r="V119" s="36">
        <v>0</v>
      </c>
      <c r="W119" s="36">
        <v>0</v>
      </c>
      <c r="X119" s="36">
        <v>0</v>
      </c>
      <c r="Y119" s="36">
        <v>0</v>
      </c>
      <c r="Z119" s="36">
        <v>0</v>
      </c>
      <c r="AA119" s="36">
        <v>0</v>
      </c>
      <c r="AB119" s="36">
        <v>0</v>
      </c>
      <c r="AC119" s="36">
        <v>0</v>
      </c>
      <c r="AD119" s="37">
        <v>0</v>
      </c>
      <c r="AE119" s="36">
        <v>0</v>
      </c>
      <c r="AF119" s="69">
        <f t="shared" si="48"/>
        <v>0</v>
      </c>
      <c r="AG119" s="69">
        <f t="shared" si="49"/>
        <v>0</v>
      </c>
      <c r="AH119" s="70">
        <f t="shared" si="46"/>
        <v>0</v>
      </c>
      <c r="AI119" s="37">
        <v>0</v>
      </c>
      <c r="AJ119" s="36">
        <v>0</v>
      </c>
      <c r="AK119" s="69">
        <f t="shared" si="50"/>
        <v>0</v>
      </c>
      <c r="AL119" s="69">
        <f t="shared" si="51"/>
        <v>0</v>
      </c>
      <c r="AM119" s="70">
        <f t="shared" si="47"/>
        <v>0</v>
      </c>
      <c r="AN119" s="36">
        <v>0</v>
      </c>
      <c r="AO119" s="36">
        <v>0</v>
      </c>
    </row>
    <row r="120" spans="1:41" s="3" customFormat="1">
      <c r="A120" s="55" t="s">
        <v>772</v>
      </c>
      <c r="B120" s="56" t="s">
        <v>771</v>
      </c>
      <c r="C120" s="56" t="s">
        <v>941</v>
      </c>
      <c r="D120" s="36">
        <v>0</v>
      </c>
      <c r="E120" s="36">
        <v>0</v>
      </c>
      <c r="F120" s="36">
        <v>0</v>
      </c>
      <c r="G120" s="36">
        <v>472563.13</v>
      </c>
      <c r="H120" s="36">
        <v>36903.629999999997</v>
      </c>
      <c r="I120" s="36">
        <v>114452.36</v>
      </c>
      <c r="J120" s="36">
        <v>143628.94</v>
      </c>
      <c r="K120" s="36">
        <v>166271.57</v>
      </c>
      <c r="L120" s="36">
        <v>13899.56</v>
      </c>
      <c r="M120" s="36">
        <v>131981.32999999999</v>
      </c>
      <c r="N120" s="49">
        <v>3.5000000000000003E-2</v>
      </c>
      <c r="O120" s="64">
        <v>0.14979999999999999</v>
      </c>
      <c r="P120" s="36">
        <v>0</v>
      </c>
      <c r="Q120" s="36">
        <v>0</v>
      </c>
      <c r="R120" s="36">
        <v>0</v>
      </c>
      <c r="S120" s="36">
        <v>0</v>
      </c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7">
        <v>0</v>
      </c>
      <c r="AE120" s="36">
        <v>0</v>
      </c>
      <c r="AF120" s="69">
        <f t="shared" si="48"/>
        <v>0</v>
      </c>
      <c r="AG120" s="69">
        <f t="shared" si="49"/>
        <v>0</v>
      </c>
      <c r="AH120" s="70">
        <f t="shared" si="46"/>
        <v>0</v>
      </c>
      <c r="AI120" s="37">
        <v>0</v>
      </c>
      <c r="AJ120" s="36">
        <v>0</v>
      </c>
      <c r="AK120" s="69">
        <f t="shared" si="50"/>
        <v>0</v>
      </c>
      <c r="AL120" s="69">
        <f t="shared" si="51"/>
        <v>0</v>
      </c>
      <c r="AM120" s="70">
        <f t="shared" si="47"/>
        <v>0</v>
      </c>
      <c r="AN120" s="36">
        <v>0</v>
      </c>
      <c r="AO120" s="36">
        <v>0</v>
      </c>
    </row>
    <row r="121" spans="1:41" s="3" customFormat="1">
      <c r="A121" s="55" t="s">
        <v>811</v>
      </c>
      <c r="B121" s="56" t="s">
        <v>797</v>
      </c>
      <c r="C121" s="56" t="s">
        <v>942</v>
      </c>
      <c r="D121" s="36">
        <v>0</v>
      </c>
      <c r="E121" s="36">
        <v>0</v>
      </c>
      <c r="F121" s="36">
        <v>0</v>
      </c>
      <c r="G121" s="36">
        <v>505230.14</v>
      </c>
      <c r="H121" s="36">
        <v>65077.24</v>
      </c>
      <c r="I121" s="36">
        <v>87896.72</v>
      </c>
      <c r="J121" s="36">
        <v>125088.39</v>
      </c>
      <c r="K121" s="36">
        <v>34018.15</v>
      </c>
      <c r="L121" s="36">
        <v>7892.76</v>
      </c>
      <c r="M121" s="36">
        <v>207372.37</v>
      </c>
      <c r="N121" s="49">
        <v>3.5000000000000003E-2</v>
      </c>
      <c r="O121" s="64">
        <v>0.14979999999999999</v>
      </c>
      <c r="P121" s="36">
        <v>0</v>
      </c>
      <c r="Q121" s="36">
        <v>0</v>
      </c>
      <c r="R121" s="36">
        <v>0</v>
      </c>
      <c r="S121" s="36">
        <v>0</v>
      </c>
      <c r="T121" s="36">
        <v>0</v>
      </c>
      <c r="U121" s="36">
        <v>0</v>
      </c>
      <c r="V121" s="36">
        <v>0</v>
      </c>
      <c r="W121" s="36">
        <v>0</v>
      </c>
      <c r="X121" s="36">
        <v>0</v>
      </c>
      <c r="Y121" s="36">
        <v>0</v>
      </c>
      <c r="Z121" s="36">
        <v>0</v>
      </c>
      <c r="AA121" s="36">
        <v>0</v>
      </c>
      <c r="AB121" s="36">
        <v>0</v>
      </c>
      <c r="AC121" s="36">
        <v>0</v>
      </c>
      <c r="AD121" s="37">
        <v>0</v>
      </c>
      <c r="AE121" s="36">
        <v>0</v>
      </c>
      <c r="AF121" s="69">
        <f t="shared" si="48"/>
        <v>0</v>
      </c>
      <c r="AG121" s="69">
        <f t="shared" si="49"/>
        <v>0</v>
      </c>
      <c r="AH121" s="70">
        <f t="shared" si="46"/>
        <v>0</v>
      </c>
      <c r="AI121" s="37">
        <v>0</v>
      </c>
      <c r="AJ121" s="36">
        <v>0</v>
      </c>
      <c r="AK121" s="69">
        <f t="shared" si="50"/>
        <v>0</v>
      </c>
      <c r="AL121" s="69">
        <f t="shared" si="51"/>
        <v>0</v>
      </c>
      <c r="AM121" s="70">
        <f t="shared" si="47"/>
        <v>0</v>
      </c>
      <c r="AN121" s="36">
        <v>0</v>
      </c>
      <c r="AO121" s="36">
        <v>0</v>
      </c>
    </row>
    <row r="122" spans="1:41" s="3" customFormat="1">
      <c r="A122" s="55" t="s">
        <v>470</v>
      </c>
      <c r="B122" s="55" t="s">
        <v>63</v>
      </c>
      <c r="C122" s="55" t="s">
        <v>943</v>
      </c>
      <c r="D122" s="36">
        <v>0</v>
      </c>
      <c r="E122" s="36">
        <v>0</v>
      </c>
      <c r="F122" s="36">
        <v>0</v>
      </c>
      <c r="G122" s="36">
        <v>265240.36</v>
      </c>
      <c r="H122" s="36">
        <v>35860.68</v>
      </c>
      <c r="I122" s="36">
        <v>58600.74</v>
      </c>
      <c r="J122" s="36">
        <v>105286.37</v>
      </c>
      <c r="K122" s="36">
        <v>0</v>
      </c>
      <c r="L122" s="36">
        <v>0</v>
      </c>
      <c r="M122" s="36">
        <v>0</v>
      </c>
      <c r="N122" s="49">
        <v>2.1600000000000001E-2</v>
      </c>
      <c r="O122" s="64">
        <v>0.26629999999999998</v>
      </c>
      <c r="P122" s="36">
        <v>0</v>
      </c>
      <c r="Q122" s="36">
        <v>0</v>
      </c>
      <c r="R122" s="36">
        <v>0</v>
      </c>
      <c r="S122" s="36">
        <v>0</v>
      </c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27469.45</v>
      </c>
      <c r="AC122" s="36">
        <v>70189.759999999995</v>
      </c>
      <c r="AD122" s="37">
        <v>6.36</v>
      </c>
      <c r="AE122" s="36">
        <v>58966.34</v>
      </c>
      <c r="AF122" s="69">
        <f t="shared" si="48"/>
        <v>9271.44</v>
      </c>
      <c r="AG122" s="69">
        <f t="shared" si="49"/>
        <v>11036.13</v>
      </c>
      <c r="AH122" s="70">
        <f t="shared" si="46"/>
        <v>1764.69</v>
      </c>
      <c r="AI122" s="37">
        <v>2.88</v>
      </c>
      <c r="AJ122" s="36">
        <v>26301.66</v>
      </c>
      <c r="AK122" s="69">
        <f t="shared" si="50"/>
        <v>9132.52</v>
      </c>
      <c r="AL122" s="69">
        <f t="shared" si="51"/>
        <v>9538</v>
      </c>
      <c r="AM122" s="70">
        <f t="shared" si="47"/>
        <v>405.48</v>
      </c>
      <c r="AN122" s="36">
        <v>0</v>
      </c>
      <c r="AO122" s="36">
        <v>0</v>
      </c>
    </row>
    <row r="123" spans="1:41" s="3" customFormat="1">
      <c r="A123" s="55" t="s">
        <v>628</v>
      </c>
      <c r="B123" s="55" t="s">
        <v>222</v>
      </c>
      <c r="C123" s="55" t="s">
        <v>944</v>
      </c>
      <c r="D123" s="36">
        <v>2227.27</v>
      </c>
      <c r="E123" s="36">
        <v>0</v>
      </c>
      <c r="F123" s="36">
        <v>0</v>
      </c>
      <c r="G123" s="36">
        <v>71674.600000000006</v>
      </c>
      <c r="H123" s="36">
        <v>5377.47</v>
      </c>
      <c r="I123" s="36">
        <v>8765.49</v>
      </c>
      <c r="J123" s="36">
        <v>10017.719999999999</v>
      </c>
      <c r="K123" s="36">
        <v>0</v>
      </c>
      <c r="L123" s="36">
        <v>0</v>
      </c>
      <c r="M123" s="36">
        <v>92863.02</v>
      </c>
      <c r="N123" s="49">
        <v>9.5899999999999999E-2</v>
      </c>
      <c r="O123" s="64">
        <v>0.41289999999999999</v>
      </c>
      <c r="P123" s="36">
        <v>0</v>
      </c>
      <c r="Q123" s="36">
        <v>0</v>
      </c>
      <c r="R123" s="36">
        <v>0</v>
      </c>
      <c r="S123" s="36">
        <v>0</v>
      </c>
      <c r="T123" s="36">
        <v>0</v>
      </c>
      <c r="U123" s="36">
        <v>0</v>
      </c>
      <c r="V123" s="36">
        <v>0</v>
      </c>
      <c r="W123" s="36">
        <v>0</v>
      </c>
      <c r="X123" s="36">
        <v>0</v>
      </c>
      <c r="Y123" s="36">
        <v>0</v>
      </c>
      <c r="Z123" s="36">
        <v>0</v>
      </c>
      <c r="AA123" s="36">
        <v>0</v>
      </c>
      <c r="AB123" s="36">
        <v>0</v>
      </c>
      <c r="AC123" s="36">
        <v>0</v>
      </c>
      <c r="AD123" s="37">
        <v>0</v>
      </c>
      <c r="AE123" s="36">
        <v>0</v>
      </c>
      <c r="AF123" s="69">
        <f t="shared" si="48"/>
        <v>0</v>
      </c>
      <c r="AG123" s="69">
        <f t="shared" si="49"/>
        <v>0</v>
      </c>
      <c r="AH123" s="70">
        <f t="shared" si="46"/>
        <v>0</v>
      </c>
      <c r="AI123" s="37">
        <v>0</v>
      </c>
      <c r="AJ123" s="36">
        <v>0</v>
      </c>
      <c r="AK123" s="69">
        <f t="shared" si="50"/>
        <v>0</v>
      </c>
      <c r="AL123" s="69">
        <f t="shared" si="51"/>
        <v>0</v>
      </c>
      <c r="AM123" s="70">
        <f t="shared" si="47"/>
        <v>0</v>
      </c>
      <c r="AN123" s="36">
        <v>0</v>
      </c>
      <c r="AO123" s="36">
        <v>0</v>
      </c>
    </row>
    <row r="124" spans="1:41" s="3" customFormat="1">
      <c r="A124" s="55" t="s">
        <v>522</v>
      </c>
      <c r="B124" s="55" t="s">
        <v>115</v>
      </c>
      <c r="C124" s="55" t="s">
        <v>945</v>
      </c>
      <c r="D124" s="36">
        <v>0</v>
      </c>
      <c r="E124" s="36">
        <v>0</v>
      </c>
      <c r="F124" s="36">
        <v>0</v>
      </c>
      <c r="G124" s="36">
        <v>25133857.140000001</v>
      </c>
      <c r="H124" s="36">
        <v>4367542.18</v>
      </c>
      <c r="I124" s="36">
        <v>0</v>
      </c>
      <c r="J124" s="36">
        <v>1971485.77</v>
      </c>
      <c r="K124" s="36">
        <v>3021483.52</v>
      </c>
      <c r="L124" s="36">
        <v>673691.15</v>
      </c>
      <c r="M124" s="36">
        <v>14189408.15</v>
      </c>
      <c r="N124" s="49">
        <v>1.11E-2</v>
      </c>
      <c r="O124" s="64">
        <v>0.14499999999999999</v>
      </c>
      <c r="P124" s="36">
        <v>0</v>
      </c>
      <c r="Q124" s="36">
        <v>0</v>
      </c>
      <c r="R124" s="36">
        <v>0</v>
      </c>
      <c r="S124" s="36">
        <v>2767305.61</v>
      </c>
      <c r="T124" s="36">
        <v>0</v>
      </c>
      <c r="U124" s="36">
        <v>88714.64</v>
      </c>
      <c r="V124" s="36">
        <v>0</v>
      </c>
      <c r="W124" s="36">
        <v>0</v>
      </c>
      <c r="X124" s="36">
        <v>0</v>
      </c>
      <c r="Y124" s="36">
        <v>0</v>
      </c>
      <c r="Z124" s="36">
        <v>11095.6</v>
      </c>
      <c r="AA124" s="36">
        <v>185356.15</v>
      </c>
      <c r="AB124" s="36">
        <v>563022.75</v>
      </c>
      <c r="AC124" s="36">
        <v>12332697.210000001</v>
      </c>
      <c r="AD124" s="37">
        <v>1041.22</v>
      </c>
      <c r="AE124" s="36">
        <v>10843552.68</v>
      </c>
      <c r="AF124" s="69">
        <f t="shared" si="48"/>
        <v>10414.280000000001</v>
      </c>
      <c r="AG124" s="69">
        <f t="shared" si="49"/>
        <v>11844.47</v>
      </c>
      <c r="AH124" s="70">
        <f t="shared" si="46"/>
        <v>1430.19</v>
      </c>
      <c r="AI124" s="37">
        <v>52.34</v>
      </c>
      <c r="AJ124" s="36">
        <v>535877.02</v>
      </c>
      <c r="AK124" s="69">
        <f t="shared" si="50"/>
        <v>10238.379999999999</v>
      </c>
      <c r="AL124" s="69">
        <f t="shared" si="51"/>
        <v>10757.03</v>
      </c>
      <c r="AM124" s="70">
        <f t="shared" si="47"/>
        <v>518.65</v>
      </c>
      <c r="AN124" s="36">
        <v>25000</v>
      </c>
      <c r="AO124" s="36">
        <v>0</v>
      </c>
    </row>
    <row r="125" spans="1:41" s="3" customFormat="1">
      <c r="A125" s="55" t="s">
        <v>475</v>
      </c>
      <c r="B125" s="55" t="s">
        <v>68</v>
      </c>
      <c r="C125" s="55" t="s">
        <v>946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15514.02</v>
      </c>
      <c r="J125" s="36">
        <v>23380.28</v>
      </c>
      <c r="K125" s="36">
        <v>0</v>
      </c>
      <c r="L125" s="36">
        <v>1748.06</v>
      </c>
      <c r="M125" s="36">
        <v>93964.22</v>
      </c>
      <c r="N125" s="49">
        <v>2.8999999999999998E-3</v>
      </c>
      <c r="O125" s="64">
        <v>0.3569</v>
      </c>
      <c r="P125" s="36">
        <v>0</v>
      </c>
      <c r="Q125" s="36">
        <v>0</v>
      </c>
      <c r="R125" s="36">
        <v>0</v>
      </c>
      <c r="S125" s="36">
        <v>0</v>
      </c>
      <c r="T125" s="36">
        <v>0</v>
      </c>
      <c r="U125" s="36">
        <v>0</v>
      </c>
      <c r="V125" s="36">
        <v>0</v>
      </c>
      <c r="W125" s="36">
        <v>0</v>
      </c>
      <c r="X125" s="36">
        <v>0</v>
      </c>
      <c r="Y125" s="36">
        <v>0</v>
      </c>
      <c r="Z125" s="36">
        <v>0</v>
      </c>
      <c r="AA125" s="36">
        <v>0</v>
      </c>
      <c r="AB125" s="36">
        <v>9100.9699999999993</v>
      </c>
      <c r="AC125" s="36">
        <v>38610.839999999997</v>
      </c>
      <c r="AD125" s="37">
        <v>4.0199999999999996</v>
      </c>
      <c r="AE125" s="36">
        <v>37585.85</v>
      </c>
      <c r="AF125" s="69">
        <f t="shared" si="48"/>
        <v>9349.7099999999991</v>
      </c>
      <c r="AG125" s="69">
        <f t="shared" si="49"/>
        <v>9604.69</v>
      </c>
      <c r="AH125" s="70">
        <f t="shared" si="46"/>
        <v>254.98</v>
      </c>
      <c r="AI125" s="37">
        <v>0.94</v>
      </c>
      <c r="AJ125" s="36">
        <v>8708.07</v>
      </c>
      <c r="AK125" s="69">
        <f t="shared" si="50"/>
        <v>9263.9</v>
      </c>
      <c r="AL125" s="69">
        <f t="shared" si="51"/>
        <v>9681.8799999999992</v>
      </c>
      <c r="AM125" s="70">
        <f t="shared" si="47"/>
        <v>417.98</v>
      </c>
      <c r="AN125" s="36">
        <v>0</v>
      </c>
      <c r="AO125" s="36">
        <v>0</v>
      </c>
    </row>
    <row r="126" spans="1:41" s="3" customFormat="1">
      <c r="A126" s="55" t="s">
        <v>458</v>
      </c>
      <c r="B126" s="55" t="s">
        <v>51</v>
      </c>
      <c r="C126" s="55" t="s">
        <v>947</v>
      </c>
      <c r="D126" s="36">
        <v>0</v>
      </c>
      <c r="E126" s="36">
        <v>23849.05</v>
      </c>
      <c r="F126" s="36">
        <v>0</v>
      </c>
      <c r="G126" s="36">
        <v>0</v>
      </c>
      <c r="H126" s="36">
        <v>0</v>
      </c>
      <c r="I126" s="36">
        <v>0</v>
      </c>
      <c r="J126" s="36">
        <v>281196.89</v>
      </c>
      <c r="K126" s="36">
        <v>61092.51</v>
      </c>
      <c r="L126" s="36">
        <v>0</v>
      </c>
      <c r="M126" s="36">
        <v>0</v>
      </c>
      <c r="N126" s="49">
        <v>2.0299999999999999E-2</v>
      </c>
      <c r="O126" s="64">
        <v>0.23150000000000001</v>
      </c>
      <c r="P126" s="36">
        <v>0</v>
      </c>
      <c r="Q126" s="36">
        <v>0</v>
      </c>
      <c r="R126" s="36">
        <v>0</v>
      </c>
      <c r="S126" s="36">
        <v>0</v>
      </c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2830.5</v>
      </c>
      <c r="AB126" s="36">
        <v>50781.67</v>
      </c>
      <c r="AC126" s="36">
        <v>312715.05</v>
      </c>
      <c r="AD126" s="37">
        <v>30.66</v>
      </c>
      <c r="AE126" s="36">
        <v>283971.02</v>
      </c>
      <c r="AF126" s="69">
        <f t="shared" si="48"/>
        <v>9261.94</v>
      </c>
      <c r="AG126" s="69">
        <f t="shared" si="49"/>
        <v>10199.450000000001</v>
      </c>
      <c r="AH126" s="70">
        <f t="shared" si="46"/>
        <v>937.51</v>
      </c>
      <c r="AI126" s="37">
        <v>5.32</v>
      </c>
      <c r="AJ126" s="36">
        <v>48436.77</v>
      </c>
      <c r="AK126" s="69">
        <f t="shared" si="50"/>
        <v>9104.66</v>
      </c>
      <c r="AL126" s="69">
        <f t="shared" si="51"/>
        <v>9545.43</v>
      </c>
      <c r="AM126" s="70">
        <f t="shared" si="47"/>
        <v>440.77</v>
      </c>
      <c r="AN126" s="36">
        <v>0</v>
      </c>
      <c r="AO126" s="36">
        <v>0</v>
      </c>
    </row>
    <row r="127" spans="1:41" s="3" customFormat="1">
      <c r="A127" s="55" t="s">
        <v>467</v>
      </c>
      <c r="B127" s="55" t="s">
        <v>60</v>
      </c>
      <c r="C127" s="55" t="s">
        <v>948</v>
      </c>
      <c r="D127" s="36">
        <v>803.65</v>
      </c>
      <c r="E127" s="36">
        <v>0</v>
      </c>
      <c r="F127" s="36">
        <v>0</v>
      </c>
      <c r="G127" s="36">
        <v>53220.27</v>
      </c>
      <c r="H127" s="36">
        <v>2932.7</v>
      </c>
      <c r="I127" s="36">
        <v>13864.88</v>
      </c>
      <c r="J127" s="36">
        <v>28163.02</v>
      </c>
      <c r="K127" s="36">
        <v>0</v>
      </c>
      <c r="L127" s="36">
        <v>0</v>
      </c>
      <c r="M127" s="36">
        <v>219943.29</v>
      </c>
      <c r="N127" s="49">
        <v>6.4699999999999994E-2</v>
      </c>
      <c r="O127" s="64">
        <v>0.2989</v>
      </c>
      <c r="P127" s="36">
        <v>0</v>
      </c>
      <c r="Q127" s="36">
        <v>0</v>
      </c>
      <c r="R127" s="36">
        <v>0</v>
      </c>
      <c r="S127" s="36">
        <v>0</v>
      </c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7">
        <v>0</v>
      </c>
      <c r="AE127" s="36">
        <v>0</v>
      </c>
      <c r="AF127" s="69">
        <f t="shared" si="48"/>
        <v>0</v>
      </c>
      <c r="AG127" s="69">
        <f t="shared" si="49"/>
        <v>0</v>
      </c>
      <c r="AH127" s="70">
        <f t="shared" si="46"/>
        <v>0</v>
      </c>
      <c r="AI127" s="37">
        <v>0</v>
      </c>
      <c r="AJ127" s="36">
        <v>0</v>
      </c>
      <c r="AK127" s="69">
        <f t="shared" si="50"/>
        <v>0</v>
      </c>
      <c r="AL127" s="69">
        <f t="shared" si="51"/>
        <v>0</v>
      </c>
      <c r="AM127" s="70">
        <f t="shared" si="47"/>
        <v>0</v>
      </c>
      <c r="AN127" s="36">
        <v>0</v>
      </c>
      <c r="AO127" s="36">
        <v>0</v>
      </c>
    </row>
    <row r="128" spans="1:41" s="3" customFormat="1">
      <c r="A128" s="55" t="s">
        <v>460</v>
      </c>
      <c r="B128" s="55" t="s">
        <v>53</v>
      </c>
      <c r="C128" s="55" t="s">
        <v>949</v>
      </c>
      <c r="D128" s="36">
        <v>0</v>
      </c>
      <c r="E128" s="36">
        <v>124714.42</v>
      </c>
      <c r="F128" s="36">
        <v>82390.350000000006</v>
      </c>
      <c r="G128" s="36">
        <v>9507258.2100000009</v>
      </c>
      <c r="H128" s="36">
        <v>1851721.4</v>
      </c>
      <c r="I128" s="36">
        <v>1501413.79</v>
      </c>
      <c r="J128" s="36">
        <v>2190757.81</v>
      </c>
      <c r="K128" s="36">
        <v>566038.6</v>
      </c>
      <c r="L128" s="36">
        <v>151971.97</v>
      </c>
      <c r="M128" s="36">
        <v>2993902.53</v>
      </c>
      <c r="N128" s="49">
        <v>4.8399999999999999E-2</v>
      </c>
      <c r="O128" s="64">
        <v>0.1646</v>
      </c>
      <c r="P128" s="36">
        <v>0</v>
      </c>
      <c r="Q128" s="36">
        <v>0</v>
      </c>
      <c r="R128" s="36">
        <v>0</v>
      </c>
      <c r="S128" s="36">
        <v>0</v>
      </c>
      <c r="T128" s="36">
        <v>0</v>
      </c>
      <c r="U128" s="36">
        <v>0</v>
      </c>
      <c r="V128" s="36">
        <v>0</v>
      </c>
      <c r="W128" s="36">
        <v>0</v>
      </c>
      <c r="X128" s="36">
        <v>0</v>
      </c>
      <c r="Y128" s="36">
        <v>0</v>
      </c>
      <c r="Z128" s="36">
        <v>29871.73</v>
      </c>
      <c r="AA128" s="36">
        <v>104786.65</v>
      </c>
      <c r="AB128" s="36">
        <v>663112.62</v>
      </c>
      <c r="AC128" s="36">
        <v>4102814.27</v>
      </c>
      <c r="AD128" s="37">
        <v>422.61</v>
      </c>
      <c r="AE128" s="36">
        <v>3915823.26</v>
      </c>
      <c r="AF128" s="69">
        <f t="shared" si="48"/>
        <v>9265.81</v>
      </c>
      <c r="AG128" s="69">
        <f t="shared" si="49"/>
        <v>9708.2800000000007</v>
      </c>
      <c r="AH128" s="70">
        <f t="shared" si="46"/>
        <v>442.47</v>
      </c>
      <c r="AI128" s="37">
        <v>69.44</v>
      </c>
      <c r="AJ128" s="36">
        <v>630708.23</v>
      </c>
      <c r="AK128" s="69">
        <f t="shared" si="50"/>
        <v>9082.7800000000007</v>
      </c>
      <c r="AL128" s="69">
        <f t="shared" si="51"/>
        <v>9549.43</v>
      </c>
      <c r="AM128" s="70">
        <f t="shared" si="47"/>
        <v>466.65</v>
      </c>
      <c r="AN128" s="36">
        <v>0</v>
      </c>
      <c r="AO128" s="36">
        <v>0</v>
      </c>
    </row>
    <row r="129" spans="1:41" s="3" customFormat="1">
      <c r="A129" s="55" t="s">
        <v>426</v>
      </c>
      <c r="B129" s="55" t="s">
        <v>19</v>
      </c>
      <c r="C129" s="55" t="s">
        <v>950</v>
      </c>
      <c r="D129" s="36">
        <v>0</v>
      </c>
      <c r="E129" s="36">
        <v>514804.97</v>
      </c>
      <c r="F129" s="36">
        <v>113835.05</v>
      </c>
      <c r="G129" s="36">
        <v>28777931.440000001</v>
      </c>
      <c r="H129" s="36">
        <v>6540293.9000000004</v>
      </c>
      <c r="I129" s="36">
        <v>4081362.84</v>
      </c>
      <c r="J129" s="36">
        <v>7644742.7999999998</v>
      </c>
      <c r="K129" s="36">
        <v>5995701.7800000003</v>
      </c>
      <c r="L129" s="36">
        <v>585032.52</v>
      </c>
      <c r="M129" s="36">
        <v>11191243.109999999</v>
      </c>
      <c r="N129" s="49">
        <v>2.3800000000000002E-2</v>
      </c>
      <c r="O129" s="64">
        <v>0.11119999999999999</v>
      </c>
      <c r="P129" s="36">
        <v>0</v>
      </c>
      <c r="Q129" s="36">
        <v>0</v>
      </c>
      <c r="R129" s="36">
        <v>0</v>
      </c>
      <c r="S129" s="36">
        <v>535064.77</v>
      </c>
      <c r="T129" s="36">
        <v>16044.639999999956</v>
      </c>
      <c r="U129" s="36">
        <v>16568.37</v>
      </c>
      <c r="V129" s="36">
        <v>0</v>
      </c>
      <c r="W129" s="36">
        <v>0</v>
      </c>
      <c r="X129" s="36">
        <v>0</v>
      </c>
      <c r="Y129" s="36">
        <v>0</v>
      </c>
      <c r="Z129" s="36">
        <v>2834.8</v>
      </c>
      <c r="AA129" s="36">
        <v>161987.51</v>
      </c>
      <c r="AB129" s="36">
        <v>1236282.32</v>
      </c>
      <c r="AC129" s="36">
        <v>9508788.3200000003</v>
      </c>
      <c r="AD129" s="37">
        <v>953.62</v>
      </c>
      <c r="AE129" s="36">
        <v>8836044.0999999996</v>
      </c>
      <c r="AF129" s="69">
        <f t="shared" si="48"/>
        <v>9265.7900000000009</v>
      </c>
      <c r="AG129" s="69">
        <f t="shared" si="49"/>
        <v>9971.26</v>
      </c>
      <c r="AH129" s="70">
        <f t="shared" si="46"/>
        <v>705.47</v>
      </c>
      <c r="AI129" s="37">
        <v>129.44999999999999</v>
      </c>
      <c r="AJ129" s="36">
        <v>1175932.08</v>
      </c>
      <c r="AK129" s="69">
        <f t="shared" si="50"/>
        <v>9084.06</v>
      </c>
      <c r="AL129" s="69">
        <f t="shared" si="51"/>
        <v>9550.27</v>
      </c>
      <c r="AM129" s="70">
        <f t="shared" si="47"/>
        <v>466.21</v>
      </c>
      <c r="AN129" s="36">
        <v>0</v>
      </c>
      <c r="AO129" s="36">
        <v>0</v>
      </c>
    </row>
    <row r="130" spans="1:41" s="3" customFormat="1">
      <c r="A130" s="55" t="s">
        <v>525</v>
      </c>
      <c r="B130" s="55" t="s">
        <v>118</v>
      </c>
      <c r="C130" s="55" t="s">
        <v>951</v>
      </c>
      <c r="D130" s="36">
        <v>0</v>
      </c>
      <c r="E130" s="36">
        <v>882769.83</v>
      </c>
      <c r="F130" s="36">
        <v>436670.45</v>
      </c>
      <c r="G130" s="36">
        <v>45082130.829999998</v>
      </c>
      <c r="H130" s="36">
        <v>9845787.6899999995</v>
      </c>
      <c r="I130" s="36">
        <v>4928839.63</v>
      </c>
      <c r="J130" s="36">
        <v>11443983.970000001</v>
      </c>
      <c r="K130" s="36">
        <v>15001910.970000001</v>
      </c>
      <c r="L130" s="36">
        <v>910359.59</v>
      </c>
      <c r="M130" s="36">
        <v>18389058.329999998</v>
      </c>
      <c r="N130" s="49">
        <v>4.7600000000000003E-2</v>
      </c>
      <c r="O130" s="64">
        <v>0.1487</v>
      </c>
      <c r="P130" s="36">
        <v>0</v>
      </c>
      <c r="Q130" s="36">
        <v>0</v>
      </c>
      <c r="R130" s="36">
        <v>0</v>
      </c>
      <c r="S130" s="36">
        <v>0</v>
      </c>
      <c r="T130" s="36">
        <v>0</v>
      </c>
      <c r="U130" s="36">
        <v>0</v>
      </c>
      <c r="V130" s="36">
        <v>0</v>
      </c>
      <c r="W130" s="36">
        <v>0</v>
      </c>
      <c r="X130" s="36">
        <v>0</v>
      </c>
      <c r="Y130" s="36">
        <v>0</v>
      </c>
      <c r="Z130" s="36">
        <v>298032.23</v>
      </c>
      <c r="AA130" s="36">
        <v>398838.49</v>
      </c>
      <c r="AB130" s="36">
        <v>3509872.55</v>
      </c>
      <c r="AC130" s="36">
        <v>19803684.059999999</v>
      </c>
      <c r="AD130" s="37">
        <v>1750.39</v>
      </c>
      <c r="AE130" s="36">
        <v>18228958.539999999</v>
      </c>
      <c r="AF130" s="69">
        <f t="shared" si="48"/>
        <v>10414.23</v>
      </c>
      <c r="AG130" s="69">
        <f t="shared" si="49"/>
        <v>11313.87</v>
      </c>
      <c r="AH130" s="70">
        <f t="shared" si="46"/>
        <v>899.64</v>
      </c>
      <c r="AI130" s="37">
        <v>326.41000000000003</v>
      </c>
      <c r="AJ130" s="36">
        <v>3341162.48</v>
      </c>
      <c r="AK130" s="69">
        <f t="shared" si="50"/>
        <v>10236.09</v>
      </c>
      <c r="AL130" s="69">
        <f t="shared" si="51"/>
        <v>10752.96</v>
      </c>
      <c r="AM130" s="70">
        <f t="shared" si="47"/>
        <v>516.87</v>
      </c>
      <c r="AN130" s="36">
        <v>0</v>
      </c>
      <c r="AO130" s="36">
        <v>0</v>
      </c>
    </row>
    <row r="131" spans="1:41" s="3" customFormat="1">
      <c r="A131" s="55" t="s">
        <v>658</v>
      </c>
      <c r="B131" s="55" t="s">
        <v>255</v>
      </c>
      <c r="C131" s="55" t="s">
        <v>952</v>
      </c>
      <c r="D131" s="36">
        <v>0</v>
      </c>
      <c r="E131" s="36">
        <v>30120.11</v>
      </c>
      <c r="F131" s="36">
        <v>0</v>
      </c>
      <c r="G131" s="36">
        <v>1766765.59</v>
      </c>
      <c r="H131" s="36">
        <v>272066.65999999997</v>
      </c>
      <c r="I131" s="36">
        <v>236643.41</v>
      </c>
      <c r="J131" s="36">
        <v>412432.53</v>
      </c>
      <c r="K131" s="36">
        <v>0</v>
      </c>
      <c r="L131" s="36">
        <v>33650.129999999997</v>
      </c>
      <c r="M131" s="36">
        <v>908261.67</v>
      </c>
      <c r="N131" s="49">
        <v>3.3399999999999999E-2</v>
      </c>
      <c r="O131" s="64">
        <v>0.2114</v>
      </c>
      <c r="P131" s="36">
        <v>0</v>
      </c>
      <c r="Q131" s="36">
        <v>0</v>
      </c>
      <c r="R131" s="36">
        <v>0</v>
      </c>
      <c r="S131" s="36">
        <v>0</v>
      </c>
      <c r="T131" s="36">
        <v>0</v>
      </c>
      <c r="U131" s="36">
        <v>0</v>
      </c>
      <c r="V131" s="36">
        <v>0</v>
      </c>
      <c r="W131" s="36">
        <v>0</v>
      </c>
      <c r="X131" s="36">
        <v>0</v>
      </c>
      <c r="Y131" s="36">
        <v>0</v>
      </c>
      <c r="Z131" s="36">
        <v>0</v>
      </c>
      <c r="AA131" s="36">
        <v>31680.53</v>
      </c>
      <c r="AB131" s="36">
        <v>0</v>
      </c>
      <c r="AC131" s="36">
        <v>638561.99</v>
      </c>
      <c r="AD131" s="37">
        <v>58.14</v>
      </c>
      <c r="AE131" s="36">
        <v>541445.06000000006</v>
      </c>
      <c r="AF131" s="69">
        <f t="shared" si="48"/>
        <v>9312.7800000000007</v>
      </c>
      <c r="AG131" s="69">
        <f t="shared" si="49"/>
        <v>10983.18</v>
      </c>
      <c r="AH131" s="70">
        <f t="shared" si="46"/>
        <v>1670.4</v>
      </c>
      <c r="AI131" s="37">
        <v>0</v>
      </c>
      <c r="AJ131" s="36">
        <v>0</v>
      </c>
      <c r="AK131" s="69">
        <f t="shared" si="50"/>
        <v>0</v>
      </c>
      <c r="AL131" s="69">
        <f t="shared" si="51"/>
        <v>0</v>
      </c>
      <c r="AM131" s="70">
        <f t="shared" si="47"/>
        <v>0</v>
      </c>
      <c r="AN131" s="36">
        <v>0</v>
      </c>
      <c r="AO131" s="36">
        <v>0</v>
      </c>
    </row>
    <row r="132" spans="1:41" s="3" customFormat="1">
      <c r="A132" s="55" t="s">
        <v>428</v>
      </c>
      <c r="B132" s="55" t="s">
        <v>21</v>
      </c>
      <c r="C132" s="55" t="s">
        <v>953</v>
      </c>
      <c r="D132" s="36">
        <v>0</v>
      </c>
      <c r="E132" s="36">
        <v>80014.45</v>
      </c>
      <c r="F132" s="36">
        <v>43652.480000000003</v>
      </c>
      <c r="G132" s="36">
        <v>2230730.2799999998</v>
      </c>
      <c r="H132" s="36">
        <v>340195.63</v>
      </c>
      <c r="I132" s="36">
        <v>446770.08</v>
      </c>
      <c r="J132" s="36">
        <v>697104.76</v>
      </c>
      <c r="K132" s="36">
        <v>596488.4</v>
      </c>
      <c r="L132" s="36">
        <v>0</v>
      </c>
      <c r="M132" s="36">
        <v>840217.26</v>
      </c>
      <c r="N132" s="49">
        <v>3.8899999999999997E-2</v>
      </c>
      <c r="O132" s="64">
        <v>0.17979999999999999</v>
      </c>
      <c r="P132" s="36">
        <v>0</v>
      </c>
      <c r="Q132" s="36">
        <v>0</v>
      </c>
      <c r="R132" s="36">
        <v>0</v>
      </c>
      <c r="S132" s="36">
        <v>0</v>
      </c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725.13</v>
      </c>
      <c r="AA132" s="36">
        <v>32162.71</v>
      </c>
      <c r="AB132" s="36">
        <v>136049.07</v>
      </c>
      <c r="AC132" s="36">
        <v>818480.09</v>
      </c>
      <c r="AD132" s="37">
        <v>80.64</v>
      </c>
      <c r="AE132" s="36">
        <v>762094.5</v>
      </c>
      <c r="AF132" s="69">
        <f t="shared" si="48"/>
        <v>9450.58</v>
      </c>
      <c r="AG132" s="69">
        <f t="shared" si="49"/>
        <v>10149.799999999999</v>
      </c>
      <c r="AH132" s="70">
        <f t="shared" si="46"/>
        <v>699.22</v>
      </c>
      <c r="AI132" s="37">
        <v>13.96</v>
      </c>
      <c r="AJ132" s="36">
        <v>129491.47</v>
      </c>
      <c r="AK132" s="69">
        <f t="shared" si="50"/>
        <v>9275.89</v>
      </c>
      <c r="AL132" s="69">
        <f t="shared" si="51"/>
        <v>9745.64</v>
      </c>
      <c r="AM132" s="70">
        <f t="shared" si="47"/>
        <v>469.75</v>
      </c>
      <c r="AN132" s="36">
        <v>0</v>
      </c>
      <c r="AO132" s="36">
        <v>0</v>
      </c>
    </row>
    <row r="133" spans="1:41" s="3" customFormat="1">
      <c r="A133" s="55" t="s">
        <v>536</v>
      </c>
      <c r="B133" s="55" t="s">
        <v>129</v>
      </c>
      <c r="C133" s="55" t="s">
        <v>954</v>
      </c>
      <c r="D133" s="36">
        <v>0</v>
      </c>
      <c r="E133" s="36">
        <v>1769.9</v>
      </c>
      <c r="F133" s="36">
        <v>10004.93</v>
      </c>
      <c r="G133" s="36">
        <v>874307.24</v>
      </c>
      <c r="H133" s="36">
        <v>132651.04</v>
      </c>
      <c r="I133" s="36">
        <v>100520.3</v>
      </c>
      <c r="J133" s="36">
        <v>214797.17</v>
      </c>
      <c r="K133" s="36">
        <v>0</v>
      </c>
      <c r="L133" s="36">
        <v>0</v>
      </c>
      <c r="M133" s="36">
        <v>429645.35</v>
      </c>
      <c r="N133" s="49">
        <v>9.4899999999999998E-2</v>
      </c>
      <c r="O133" s="64">
        <v>0.3085</v>
      </c>
      <c r="P133" s="36">
        <v>0</v>
      </c>
      <c r="Q133" s="36">
        <v>0</v>
      </c>
      <c r="R133" s="36">
        <v>0</v>
      </c>
      <c r="S133" s="36">
        <v>198055.18</v>
      </c>
      <c r="T133" s="36">
        <v>18817.569</v>
      </c>
      <c r="U133" s="36">
        <v>5903.51</v>
      </c>
      <c r="V133" s="36">
        <v>0</v>
      </c>
      <c r="W133" s="36">
        <v>0</v>
      </c>
      <c r="X133" s="36">
        <v>0</v>
      </c>
      <c r="Y133" s="36">
        <v>0</v>
      </c>
      <c r="Z133" s="36">
        <v>0</v>
      </c>
      <c r="AA133" s="36">
        <v>0</v>
      </c>
      <c r="AB133" s="36">
        <v>158292.70000000001</v>
      </c>
      <c r="AC133" s="36">
        <v>315289.32</v>
      </c>
      <c r="AD133" s="37">
        <v>33.03</v>
      </c>
      <c r="AE133" s="36">
        <v>306046.65000000002</v>
      </c>
      <c r="AF133" s="69">
        <f t="shared" si="48"/>
        <v>9265.7199999999993</v>
      </c>
      <c r="AG133" s="69">
        <f t="shared" si="49"/>
        <v>9545.5400000000009</v>
      </c>
      <c r="AH133" s="70">
        <f t="shared" si="46"/>
        <v>279.82</v>
      </c>
      <c r="AI133" s="37">
        <v>16.579999999999998</v>
      </c>
      <c r="AJ133" s="36">
        <v>150540.38</v>
      </c>
      <c r="AK133" s="69">
        <f t="shared" si="50"/>
        <v>9079.64</v>
      </c>
      <c r="AL133" s="69">
        <f t="shared" si="51"/>
        <v>9547.2099999999991</v>
      </c>
      <c r="AM133" s="70">
        <f t="shared" si="47"/>
        <v>467.57</v>
      </c>
      <c r="AN133" s="36">
        <v>0</v>
      </c>
      <c r="AO133" s="36">
        <v>0</v>
      </c>
    </row>
    <row r="134" spans="1:41" s="3" customFormat="1">
      <c r="A134" s="55" t="s">
        <v>543</v>
      </c>
      <c r="B134" s="55" t="s">
        <v>136</v>
      </c>
      <c r="C134" s="55" t="s">
        <v>955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33392.9</v>
      </c>
      <c r="K134" s="36">
        <v>0</v>
      </c>
      <c r="L134" s="36">
        <v>2353.19</v>
      </c>
      <c r="M134" s="36">
        <v>0</v>
      </c>
      <c r="N134" s="49">
        <v>6.9699999999999998E-2</v>
      </c>
      <c r="O134" s="64">
        <v>0.35730000000000001</v>
      </c>
      <c r="P134" s="36">
        <v>0</v>
      </c>
      <c r="Q134" s="36">
        <v>0</v>
      </c>
      <c r="R134" s="36">
        <v>0</v>
      </c>
      <c r="S134" s="36">
        <v>0</v>
      </c>
      <c r="T134" s="36">
        <v>0</v>
      </c>
      <c r="U134" s="36">
        <v>0</v>
      </c>
      <c r="V134" s="36">
        <v>0</v>
      </c>
      <c r="W134" s="36">
        <v>0</v>
      </c>
      <c r="X134" s="36">
        <v>0</v>
      </c>
      <c r="Y134" s="36">
        <v>0</v>
      </c>
      <c r="Z134" s="36">
        <v>0</v>
      </c>
      <c r="AA134" s="36">
        <v>0</v>
      </c>
      <c r="AB134" s="36">
        <v>0</v>
      </c>
      <c r="AC134" s="36">
        <v>0</v>
      </c>
      <c r="AD134" s="37">
        <v>0</v>
      </c>
      <c r="AE134" s="36">
        <v>0</v>
      </c>
      <c r="AF134" s="69">
        <f t="shared" si="48"/>
        <v>0</v>
      </c>
      <c r="AG134" s="69">
        <f t="shared" si="49"/>
        <v>0</v>
      </c>
      <c r="AH134" s="70">
        <f t="shared" si="46"/>
        <v>0</v>
      </c>
      <c r="AI134" s="37">
        <v>0</v>
      </c>
      <c r="AJ134" s="36">
        <v>0</v>
      </c>
      <c r="AK134" s="69">
        <f t="shared" si="50"/>
        <v>0</v>
      </c>
      <c r="AL134" s="69">
        <f t="shared" si="51"/>
        <v>0</v>
      </c>
      <c r="AM134" s="70">
        <f t="shared" si="47"/>
        <v>0</v>
      </c>
      <c r="AN134" s="36">
        <v>0</v>
      </c>
      <c r="AO134" s="36">
        <v>0</v>
      </c>
    </row>
    <row r="135" spans="1:41" s="3" customFormat="1">
      <c r="A135" s="55" t="s">
        <v>615</v>
      </c>
      <c r="B135" s="55" t="s">
        <v>209</v>
      </c>
      <c r="C135" s="55" t="s">
        <v>956</v>
      </c>
      <c r="D135" s="36">
        <v>0</v>
      </c>
      <c r="E135" s="36">
        <v>17259.599999999999</v>
      </c>
      <c r="F135" s="36">
        <v>18169.240000000002</v>
      </c>
      <c r="G135" s="36">
        <v>950536.45</v>
      </c>
      <c r="H135" s="36">
        <v>187200.88</v>
      </c>
      <c r="I135" s="36">
        <v>177649</v>
      </c>
      <c r="J135" s="36">
        <v>243815.43</v>
      </c>
      <c r="K135" s="36">
        <v>31792.71</v>
      </c>
      <c r="L135" s="36">
        <v>16390.96</v>
      </c>
      <c r="M135" s="36">
        <v>388484.42</v>
      </c>
      <c r="N135" s="49">
        <v>6.1400000000000003E-2</v>
      </c>
      <c r="O135" s="64">
        <v>0.23380000000000001</v>
      </c>
      <c r="P135" s="36">
        <v>0</v>
      </c>
      <c r="Q135" s="36">
        <v>0</v>
      </c>
      <c r="R135" s="36">
        <v>0</v>
      </c>
      <c r="S135" s="36">
        <v>0</v>
      </c>
      <c r="T135" s="36">
        <v>0</v>
      </c>
      <c r="U135" s="36">
        <v>0</v>
      </c>
      <c r="V135" s="36">
        <v>0</v>
      </c>
      <c r="W135" s="36">
        <v>0</v>
      </c>
      <c r="X135" s="36">
        <v>0</v>
      </c>
      <c r="Y135" s="36">
        <v>0</v>
      </c>
      <c r="Z135" s="36">
        <v>1281.26</v>
      </c>
      <c r="AA135" s="36">
        <v>22943.08</v>
      </c>
      <c r="AB135" s="36">
        <v>59885.03</v>
      </c>
      <c r="AC135" s="36">
        <v>171314.55</v>
      </c>
      <c r="AD135" s="37">
        <v>16.11</v>
      </c>
      <c r="AE135" s="36">
        <v>162245.25</v>
      </c>
      <c r="AF135" s="69">
        <f t="shared" si="48"/>
        <v>10071.09</v>
      </c>
      <c r="AG135" s="69">
        <f t="shared" si="49"/>
        <v>10634.05</v>
      </c>
      <c r="AH135" s="70">
        <f t="shared" ref="AH135:AH198" si="52">ROUND(AG135-AF135,2)</f>
        <v>562.96</v>
      </c>
      <c r="AI135" s="37">
        <v>5.76</v>
      </c>
      <c r="AJ135" s="36">
        <v>56840.37</v>
      </c>
      <c r="AK135" s="69">
        <f t="shared" si="50"/>
        <v>9868.1200000000008</v>
      </c>
      <c r="AL135" s="69">
        <f t="shared" si="51"/>
        <v>10396.709999999999</v>
      </c>
      <c r="AM135" s="70">
        <f t="shared" ref="AM135:AM198" si="53">ROUND(AL135-AK135,2)</f>
        <v>528.59</v>
      </c>
      <c r="AN135" s="36">
        <v>0</v>
      </c>
      <c r="AO135" s="36">
        <v>0</v>
      </c>
    </row>
    <row r="136" spans="1:41" s="3" customFormat="1">
      <c r="A136" s="55" t="s">
        <v>446</v>
      </c>
      <c r="B136" s="55" t="s">
        <v>39</v>
      </c>
      <c r="C136" s="55" t="s">
        <v>957</v>
      </c>
      <c r="D136" s="36">
        <v>0</v>
      </c>
      <c r="E136" s="36">
        <v>18221.46</v>
      </c>
      <c r="F136" s="36">
        <v>0</v>
      </c>
      <c r="G136" s="36">
        <v>3082390.03</v>
      </c>
      <c r="H136" s="36">
        <v>540685.23</v>
      </c>
      <c r="I136" s="36">
        <v>0</v>
      </c>
      <c r="J136" s="36">
        <v>397088.55</v>
      </c>
      <c r="K136" s="36">
        <v>100088.34</v>
      </c>
      <c r="L136" s="36">
        <v>60963.8</v>
      </c>
      <c r="M136" s="36">
        <v>0</v>
      </c>
      <c r="N136" s="49">
        <v>3.1E-2</v>
      </c>
      <c r="O136" s="64">
        <v>0.18410000000000001</v>
      </c>
      <c r="P136" s="36">
        <v>0</v>
      </c>
      <c r="Q136" s="36">
        <v>0</v>
      </c>
      <c r="R136" s="36">
        <v>0</v>
      </c>
      <c r="S136" s="36">
        <v>0</v>
      </c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6">
        <v>47619.44</v>
      </c>
      <c r="AB136" s="36">
        <v>68334.38</v>
      </c>
      <c r="AC136" s="36">
        <v>1180869.03</v>
      </c>
      <c r="AD136" s="37">
        <v>115.09</v>
      </c>
      <c r="AE136" s="36">
        <v>1131759.57</v>
      </c>
      <c r="AF136" s="69">
        <f t="shared" ref="AF136:AF199" si="54">IFERROR(ROUND(AE136/AD136,2),0)</f>
        <v>9833.69</v>
      </c>
      <c r="AG136" s="69">
        <f t="shared" ref="AG136:AG199" si="55">IFERROR(ROUND(AC136/AD136,2),0)</f>
        <v>10260.4</v>
      </c>
      <c r="AH136" s="70">
        <f t="shared" si="52"/>
        <v>426.71</v>
      </c>
      <c r="AI136" s="37">
        <v>6.72</v>
      </c>
      <c r="AJ136" s="36">
        <v>64883.95</v>
      </c>
      <c r="AK136" s="69">
        <f t="shared" ref="AK136:AK199" si="56">IFERROR(ROUND(AJ136/AI136,2),0)</f>
        <v>9655.35</v>
      </c>
      <c r="AL136" s="69">
        <f t="shared" ref="AL136:AL199" si="57">IFERROR(ROUND(AB136/AI136,2),0)</f>
        <v>10168.81</v>
      </c>
      <c r="AM136" s="70">
        <f t="shared" si="53"/>
        <v>513.46</v>
      </c>
      <c r="AN136" s="36">
        <v>0</v>
      </c>
      <c r="AO136" s="36">
        <v>0</v>
      </c>
    </row>
    <row r="137" spans="1:41" s="3" customFormat="1">
      <c r="A137" s="55" t="s">
        <v>682</v>
      </c>
      <c r="B137" s="55" t="s">
        <v>279</v>
      </c>
      <c r="C137" s="55" t="s">
        <v>958</v>
      </c>
      <c r="D137" s="36">
        <v>0</v>
      </c>
      <c r="E137" s="36">
        <v>0</v>
      </c>
      <c r="F137" s="36">
        <v>0</v>
      </c>
      <c r="G137" s="36">
        <v>140078.35</v>
      </c>
      <c r="H137" s="36">
        <v>9183.17</v>
      </c>
      <c r="I137" s="36">
        <v>11034.61</v>
      </c>
      <c r="J137" s="36">
        <v>26767.15</v>
      </c>
      <c r="K137" s="36">
        <v>0</v>
      </c>
      <c r="L137" s="36">
        <v>0</v>
      </c>
      <c r="M137" s="36">
        <v>323902.95</v>
      </c>
      <c r="N137" s="49">
        <v>4.5100000000000001E-2</v>
      </c>
      <c r="O137" s="64">
        <v>0.25190000000000001</v>
      </c>
      <c r="P137" s="36">
        <v>0</v>
      </c>
      <c r="Q137" s="36">
        <v>0</v>
      </c>
      <c r="R137" s="36">
        <v>0</v>
      </c>
      <c r="S137" s="36">
        <v>0</v>
      </c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588.32000000000005</v>
      </c>
      <c r="AA137" s="36">
        <v>0</v>
      </c>
      <c r="AB137" s="36">
        <v>6881.14</v>
      </c>
      <c r="AC137" s="36">
        <v>61664.72</v>
      </c>
      <c r="AD137" s="37">
        <v>6.29</v>
      </c>
      <c r="AE137" s="36">
        <v>58720.21</v>
      </c>
      <c r="AF137" s="69">
        <f t="shared" si="54"/>
        <v>9335.49</v>
      </c>
      <c r="AG137" s="69">
        <f t="shared" si="55"/>
        <v>9803.61</v>
      </c>
      <c r="AH137" s="70">
        <f t="shared" si="52"/>
        <v>468.12</v>
      </c>
      <c r="AI137" s="37">
        <v>0.71</v>
      </c>
      <c r="AJ137" s="36">
        <v>6533.49</v>
      </c>
      <c r="AK137" s="69">
        <f t="shared" si="56"/>
        <v>9202.1</v>
      </c>
      <c r="AL137" s="69">
        <f t="shared" si="57"/>
        <v>9691.75</v>
      </c>
      <c r="AM137" s="70">
        <f t="shared" si="53"/>
        <v>489.65</v>
      </c>
      <c r="AN137" s="36">
        <v>0</v>
      </c>
      <c r="AO137" s="36">
        <v>0</v>
      </c>
    </row>
    <row r="138" spans="1:41" s="3" customFormat="1">
      <c r="A138" s="55" t="s">
        <v>435</v>
      </c>
      <c r="B138" s="55" t="s">
        <v>28</v>
      </c>
      <c r="C138" s="55" t="s">
        <v>959</v>
      </c>
      <c r="D138" s="36">
        <v>0</v>
      </c>
      <c r="E138" s="36">
        <v>33216.78</v>
      </c>
      <c r="F138" s="36">
        <v>15343.82</v>
      </c>
      <c r="G138" s="36">
        <v>1681752.48</v>
      </c>
      <c r="H138" s="36">
        <v>184953.11</v>
      </c>
      <c r="I138" s="36">
        <v>401647.95</v>
      </c>
      <c r="J138" s="36">
        <v>499027</v>
      </c>
      <c r="K138" s="36">
        <v>627770.81999999995</v>
      </c>
      <c r="L138" s="36">
        <v>38886.629999999997</v>
      </c>
      <c r="M138" s="36">
        <v>918425.81</v>
      </c>
      <c r="N138" s="49">
        <v>3.73E-2</v>
      </c>
      <c r="O138" s="64">
        <v>0.18</v>
      </c>
      <c r="P138" s="36">
        <v>0</v>
      </c>
      <c r="Q138" s="36">
        <v>0</v>
      </c>
      <c r="R138" s="36">
        <v>0</v>
      </c>
      <c r="S138" s="36">
        <v>0</v>
      </c>
      <c r="T138" s="36">
        <v>0</v>
      </c>
      <c r="U138" s="36">
        <v>0</v>
      </c>
      <c r="V138" s="36">
        <v>0</v>
      </c>
      <c r="W138" s="36">
        <v>0</v>
      </c>
      <c r="X138" s="36">
        <v>0</v>
      </c>
      <c r="Y138" s="36">
        <v>0</v>
      </c>
      <c r="Z138" s="36">
        <v>0</v>
      </c>
      <c r="AA138" s="36">
        <v>36937.550000000003</v>
      </c>
      <c r="AB138" s="36">
        <v>115228.41</v>
      </c>
      <c r="AC138" s="36">
        <v>1401196.13</v>
      </c>
      <c r="AD138" s="37">
        <v>145.34</v>
      </c>
      <c r="AE138" s="36">
        <v>1346629.33</v>
      </c>
      <c r="AF138" s="69">
        <f t="shared" si="54"/>
        <v>9265.3700000000008</v>
      </c>
      <c r="AG138" s="69">
        <f t="shared" si="55"/>
        <v>9640.82</v>
      </c>
      <c r="AH138" s="70">
        <f t="shared" si="52"/>
        <v>375.45</v>
      </c>
      <c r="AI138" s="37">
        <v>12.07</v>
      </c>
      <c r="AJ138" s="36">
        <v>109650.54</v>
      </c>
      <c r="AK138" s="69">
        <f t="shared" si="56"/>
        <v>9084.5499999999993</v>
      </c>
      <c r="AL138" s="69">
        <f t="shared" si="57"/>
        <v>9546.68</v>
      </c>
      <c r="AM138" s="70">
        <f t="shared" si="53"/>
        <v>462.13</v>
      </c>
      <c r="AN138" s="36">
        <v>0</v>
      </c>
      <c r="AO138" s="36">
        <v>0</v>
      </c>
    </row>
    <row r="139" spans="1:41" s="3" customFormat="1">
      <c r="A139" s="55" t="s">
        <v>623</v>
      </c>
      <c r="B139" s="55" t="s">
        <v>217</v>
      </c>
      <c r="C139" s="55" t="s">
        <v>960</v>
      </c>
      <c r="D139" s="36">
        <v>0</v>
      </c>
      <c r="E139" s="36">
        <v>146967.42000000001</v>
      </c>
      <c r="F139" s="36">
        <v>0</v>
      </c>
      <c r="G139" s="36">
        <v>20566648.690000001</v>
      </c>
      <c r="H139" s="36">
        <v>3919878.95</v>
      </c>
      <c r="I139" s="36">
        <v>0</v>
      </c>
      <c r="J139" s="36">
        <v>2201642.7000000002</v>
      </c>
      <c r="K139" s="36">
        <v>1529599.84</v>
      </c>
      <c r="L139" s="36">
        <v>353625.23</v>
      </c>
      <c r="M139" s="36">
        <v>9205922.6400000006</v>
      </c>
      <c r="N139" s="49">
        <v>3.27E-2</v>
      </c>
      <c r="O139" s="64">
        <v>0.1361</v>
      </c>
      <c r="P139" s="36">
        <v>0</v>
      </c>
      <c r="Q139" s="36">
        <v>0</v>
      </c>
      <c r="R139" s="36">
        <v>0</v>
      </c>
      <c r="S139" s="36">
        <v>0</v>
      </c>
      <c r="T139" s="36">
        <v>0</v>
      </c>
      <c r="U139" s="36">
        <v>0</v>
      </c>
      <c r="V139" s="36">
        <v>0</v>
      </c>
      <c r="W139" s="36">
        <v>0</v>
      </c>
      <c r="X139" s="36">
        <v>0</v>
      </c>
      <c r="Y139" s="36">
        <v>0</v>
      </c>
      <c r="Z139" s="36">
        <v>97784.15</v>
      </c>
      <c r="AA139" s="36">
        <v>401762.71</v>
      </c>
      <c r="AB139" s="36">
        <v>1349832.76</v>
      </c>
      <c r="AC139" s="36">
        <v>5016250.8099999996</v>
      </c>
      <c r="AD139" s="37">
        <v>450.5</v>
      </c>
      <c r="AE139" s="36">
        <v>4691536</v>
      </c>
      <c r="AF139" s="69">
        <f t="shared" si="54"/>
        <v>10414.06</v>
      </c>
      <c r="AG139" s="69">
        <f t="shared" si="55"/>
        <v>11134.85</v>
      </c>
      <c r="AH139" s="70">
        <f t="shared" si="52"/>
        <v>720.79</v>
      </c>
      <c r="AI139" s="37">
        <v>125.52</v>
      </c>
      <c r="AJ139" s="36">
        <v>1284730.21</v>
      </c>
      <c r="AK139" s="69">
        <f t="shared" si="56"/>
        <v>10235.26</v>
      </c>
      <c r="AL139" s="69">
        <f t="shared" si="57"/>
        <v>10753.93</v>
      </c>
      <c r="AM139" s="70">
        <f t="shared" si="53"/>
        <v>518.66999999999996</v>
      </c>
      <c r="AN139" s="36">
        <v>0</v>
      </c>
      <c r="AO139" s="36">
        <v>0</v>
      </c>
    </row>
    <row r="140" spans="1:41" s="3" customFormat="1">
      <c r="A140" s="55" t="s">
        <v>524</v>
      </c>
      <c r="B140" s="55" t="s">
        <v>117</v>
      </c>
      <c r="C140" s="55" t="s">
        <v>961</v>
      </c>
      <c r="D140" s="36">
        <v>0</v>
      </c>
      <c r="E140" s="36">
        <v>44601.57</v>
      </c>
      <c r="F140" s="36">
        <v>0</v>
      </c>
      <c r="G140" s="36">
        <v>36607009.369999997</v>
      </c>
      <c r="H140" s="36">
        <v>6123351.7999999998</v>
      </c>
      <c r="I140" s="36">
        <v>0</v>
      </c>
      <c r="J140" s="36">
        <v>3064042.5</v>
      </c>
      <c r="K140" s="36">
        <v>8111562.8700000001</v>
      </c>
      <c r="L140" s="36">
        <v>1104077.1100000001</v>
      </c>
      <c r="M140" s="36">
        <v>19116790.870000001</v>
      </c>
      <c r="N140" s="49">
        <v>3.3300000000000003E-2</v>
      </c>
      <c r="O140" s="64">
        <v>0.12089999999999999</v>
      </c>
      <c r="P140" s="36">
        <v>0</v>
      </c>
      <c r="Q140" s="36">
        <v>0</v>
      </c>
      <c r="R140" s="36">
        <v>0</v>
      </c>
      <c r="S140" s="36">
        <v>0</v>
      </c>
      <c r="T140" s="36">
        <v>0</v>
      </c>
      <c r="U140" s="36">
        <v>0</v>
      </c>
      <c r="V140" s="36">
        <v>0</v>
      </c>
      <c r="W140" s="36">
        <v>0</v>
      </c>
      <c r="X140" s="36">
        <v>0</v>
      </c>
      <c r="Y140" s="36">
        <v>0</v>
      </c>
      <c r="Z140" s="36">
        <v>316138.21999999997</v>
      </c>
      <c r="AA140" s="36">
        <v>672005.28</v>
      </c>
      <c r="AB140" s="36">
        <v>3436403.41</v>
      </c>
      <c r="AC140" s="36">
        <v>21191189.850000001</v>
      </c>
      <c r="AD140" s="37">
        <v>1893.75</v>
      </c>
      <c r="AE140" s="36">
        <v>19721929.18</v>
      </c>
      <c r="AF140" s="69">
        <f t="shared" si="54"/>
        <v>10414.219999999999</v>
      </c>
      <c r="AG140" s="69">
        <f t="shared" si="55"/>
        <v>11190.07</v>
      </c>
      <c r="AH140" s="70">
        <f t="shared" si="52"/>
        <v>775.85</v>
      </c>
      <c r="AI140" s="37">
        <v>319.58</v>
      </c>
      <c r="AJ140" s="36">
        <v>3271263.06</v>
      </c>
      <c r="AK140" s="69">
        <f t="shared" si="56"/>
        <v>10236.129999999999</v>
      </c>
      <c r="AL140" s="69">
        <f t="shared" si="57"/>
        <v>10752.87</v>
      </c>
      <c r="AM140" s="70">
        <f t="shared" si="53"/>
        <v>516.74</v>
      </c>
      <c r="AN140" s="36">
        <v>0</v>
      </c>
      <c r="AO140" s="36">
        <v>0</v>
      </c>
    </row>
    <row r="141" spans="1:41" s="3" customFormat="1">
      <c r="A141" s="55" t="s">
        <v>631</v>
      </c>
      <c r="B141" s="55" t="s">
        <v>225</v>
      </c>
      <c r="C141" s="55" t="s">
        <v>962</v>
      </c>
      <c r="D141" s="36">
        <v>0</v>
      </c>
      <c r="E141" s="36">
        <v>0</v>
      </c>
      <c r="F141" s="36">
        <v>0</v>
      </c>
      <c r="G141" s="36">
        <v>5455430.0700000003</v>
      </c>
      <c r="H141" s="36">
        <v>1152881.8500000001</v>
      </c>
      <c r="I141" s="36">
        <v>150440.91</v>
      </c>
      <c r="J141" s="36">
        <v>890447.54</v>
      </c>
      <c r="K141" s="36">
        <v>567008.31000000006</v>
      </c>
      <c r="L141" s="36">
        <v>89929.71</v>
      </c>
      <c r="M141" s="36">
        <v>2643637.0099999998</v>
      </c>
      <c r="N141" s="49">
        <v>3.61E-2</v>
      </c>
      <c r="O141" s="64">
        <v>0.16900000000000001</v>
      </c>
      <c r="P141" s="36">
        <v>0</v>
      </c>
      <c r="Q141" s="36">
        <v>0</v>
      </c>
      <c r="R141" s="36">
        <v>0</v>
      </c>
      <c r="S141" s="36">
        <v>0</v>
      </c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29740.15</v>
      </c>
      <c r="AB141" s="36">
        <v>228951.88</v>
      </c>
      <c r="AC141" s="36">
        <v>1499168.04</v>
      </c>
      <c r="AD141" s="37">
        <v>141.58000000000001</v>
      </c>
      <c r="AE141" s="36">
        <v>1420238.25</v>
      </c>
      <c r="AF141" s="69">
        <f t="shared" si="54"/>
        <v>10031.35</v>
      </c>
      <c r="AG141" s="69">
        <f t="shared" si="55"/>
        <v>10588.84</v>
      </c>
      <c r="AH141" s="70">
        <f t="shared" si="52"/>
        <v>557.49</v>
      </c>
      <c r="AI141" s="37">
        <v>22.12</v>
      </c>
      <c r="AJ141" s="36">
        <v>217842.33</v>
      </c>
      <c r="AK141" s="69">
        <f t="shared" si="56"/>
        <v>9848.2099999999991</v>
      </c>
      <c r="AL141" s="69">
        <f t="shared" si="57"/>
        <v>10350.450000000001</v>
      </c>
      <c r="AM141" s="70">
        <f t="shared" si="53"/>
        <v>502.24</v>
      </c>
      <c r="AN141" s="36">
        <v>0</v>
      </c>
      <c r="AO141" s="36">
        <v>0</v>
      </c>
    </row>
    <row r="142" spans="1:41" s="3" customFormat="1">
      <c r="A142" s="55" t="s">
        <v>683</v>
      </c>
      <c r="B142" s="55" t="s">
        <v>280</v>
      </c>
      <c r="C142" s="55" t="s">
        <v>963</v>
      </c>
      <c r="D142" s="36">
        <v>0</v>
      </c>
      <c r="E142" s="36">
        <v>0</v>
      </c>
      <c r="F142" s="36">
        <v>0</v>
      </c>
      <c r="G142" s="36">
        <v>48394.06</v>
      </c>
      <c r="H142" s="36">
        <v>23914.04</v>
      </c>
      <c r="I142" s="36">
        <v>7690.68</v>
      </c>
      <c r="J142" s="36">
        <v>12998.33</v>
      </c>
      <c r="K142" s="36">
        <v>0</v>
      </c>
      <c r="L142" s="36">
        <v>974.87</v>
      </c>
      <c r="M142" s="36">
        <v>61865.17</v>
      </c>
      <c r="N142" s="49">
        <v>0.12230000000000001</v>
      </c>
      <c r="O142" s="64">
        <v>0.31369999999999998</v>
      </c>
      <c r="P142" s="36">
        <v>0</v>
      </c>
      <c r="Q142" s="36">
        <v>0</v>
      </c>
      <c r="R142" s="36">
        <v>0</v>
      </c>
      <c r="S142" s="36">
        <v>0</v>
      </c>
      <c r="T142" s="36">
        <v>0</v>
      </c>
      <c r="U142" s="36">
        <v>0</v>
      </c>
      <c r="V142" s="36">
        <v>0</v>
      </c>
      <c r="W142" s="36">
        <v>0</v>
      </c>
      <c r="X142" s="36">
        <v>0</v>
      </c>
      <c r="Y142" s="36">
        <v>0</v>
      </c>
      <c r="Z142" s="36">
        <v>0</v>
      </c>
      <c r="AA142" s="36">
        <v>0</v>
      </c>
      <c r="AB142" s="36">
        <v>0</v>
      </c>
      <c r="AC142" s="36">
        <v>0</v>
      </c>
      <c r="AD142" s="37">
        <v>0</v>
      </c>
      <c r="AE142" s="36">
        <v>0</v>
      </c>
      <c r="AF142" s="69">
        <f t="shared" si="54"/>
        <v>0</v>
      </c>
      <c r="AG142" s="69">
        <f t="shared" si="55"/>
        <v>0</v>
      </c>
      <c r="AH142" s="70">
        <f t="shared" si="52"/>
        <v>0</v>
      </c>
      <c r="AI142" s="37">
        <v>0</v>
      </c>
      <c r="AJ142" s="36">
        <v>0</v>
      </c>
      <c r="AK142" s="69">
        <f t="shared" si="56"/>
        <v>0</v>
      </c>
      <c r="AL142" s="69">
        <f t="shared" si="57"/>
        <v>0</v>
      </c>
      <c r="AM142" s="70">
        <f t="shared" si="53"/>
        <v>0</v>
      </c>
      <c r="AN142" s="36">
        <v>0</v>
      </c>
      <c r="AO142" s="36">
        <v>0</v>
      </c>
    </row>
    <row r="143" spans="1:41" s="3" customFormat="1">
      <c r="A143" s="55" t="s">
        <v>646</v>
      </c>
      <c r="B143" s="55" t="s">
        <v>240</v>
      </c>
      <c r="C143" s="55" t="s">
        <v>964</v>
      </c>
      <c r="D143" s="36">
        <v>0</v>
      </c>
      <c r="E143" s="36">
        <v>0</v>
      </c>
      <c r="F143" s="36">
        <v>0</v>
      </c>
      <c r="G143" s="36">
        <v>733804.56</v>
      </c>
      <c r="H143" s="36">
        <v>151054.74</v>
      </c>
      <c r="I143" s="36">
        <v>0</v>
      </c>
      <c r="J143" s="36">
        <v>162370.63</v>
      </c>
      <c r="K143" s="36">
        <v>0</v>
      </c>
      <c r="L143" s="36">
        <v>18089.32</v>
      </c>
      <c r="M143" s="36">
        <v>812617.36</v>
      </c>
      <c r="N143" s="49">
        <v>3.2800000000000003E-2</v>
      </c>
      <c r="O143" s="64">
        <v>0.21360000000000001</v>
      </c>
      <c r="P143" s="36">
        <v>0</v>
      </c>
      <c r="Q143" s="36">
        <v>0</v>
      </c>
      <c r="R143" s="36">
        <v>0</v>
      </c>
      <c r="S143" s="36">
        <v>0</v>
      </c>
      <c r="T143" s="36">
        <v>0</v>
      </c>
      <c r="U143" s="36">
        <v>0</v>
      </c>
      <c r="V143" s="36">
        <v>0</v>
      </c>
      <c r="W143" s="36">
        <v>0</v>
      </c>
      <c r="X143" s="36">
        <v>0</v>
      </c>
      <c r="Y143" s="36">
        <v>0</v>
      </c>
      <c r="Z143" s="36">
        <v>0</v>
      </c>
      <c r="AA143" s="36">
        <v>0</v>
      </c>
      <c r="AB143" s="36">
        <v>0</v>
      </c>
      <c r="AC143" s="36">
        <v>267946.59000000003</v>
      </c>
      <c r="AD143" s="37">
        <v>26.46</v>
      </c>
      <c r="AE143" s="36">
        <v>245274.14</v>
      </c>
      <c r="AF143" s="69">
        <f t="shared" si="54"/>
        <v>9269.6200000000008</v>
      </c>
      <c r="AG143" s="69">
        <f t="shared" si="55"/>
        <v>10126.48</v>
      </c>
      <c r="AH143" s="70">
        <f t="shared" si="52"/>
        <v>856.86</v>
      </c>
      <c r="AI143" s="37">
        <v>0</v>
      </c>
      <c r="AJ143" s="36">
        <v>0</v>
      </c>
      <c r="AK143" s="69">
        <f t="shared" si="56"/>
        <v>0</v>
      </c>
      <c r="AL143" s="69">
        <f t="shared" si="57"/>
        <v>0</v>
      </c>
      <c r="AM143" s="70">
        <f t="shared" si="53"/>
        <v>0</v>
      </c>
      <c r="AN143" s="36">
        <v>0</v>
      </c>
      <c r="AO143" s="36">
        <v>0</v>
      </c>
    </row>
    <row r="144" spans="1:41" s="3" customFormat="1">
      <c r="A144" s="55" t="s">
        <v>422</v>
      </c>
      <c r="B144" s="55" t="s">
        <v>15</v>
      </c>
      <c r="C144" s="55" t="s">
        <v>965</v>
      </c>
      <c r="D144" s="36">
        <v>0</v>
      </c>
      <c r="E144" s="36">
        <v>0</v>
      </c>
      <c r="F144" s="36">
        <v>0</v>
      </c>
      <c r="G144" s="36">
        <v>164349.38</v>
      </c>
      <c r="H144" s="36">
        <v>16550.669999999998</v>
      </c>
      <c r="I144" s="36">
        <v>57842.51</v>
      </c>
      <c r="J144" s="36">
        <v>93371.23</v>
      </c>
      <c r="K144" s="36">
        <v>40941.57</v>
      </c>
      <c r="L144" s="36">
        <v>5307.65</v>
      </c>
      <c r="M144" s="36">
        <v>1293243.2</v>
      </c>
      <c r="N144" s="49">
        <v>6.6699999999999995E-2</v>
      </c>
      <c r="O144" s="64">
        <v>0.16170000000000001</v>
      </c>
      <c r="P144" s="36">
        <v>0</v>
      </c>
      <c r="Q144" s="36">
        <v>0</v>
      </c>
      <c r="R144" s="36">
        <v>0</v>
      </c>
      <c r="S144" s="36">
        <v>0</v>
      </c>
      <c r="T144" s="36">
        <v>0</v>
      </c>
      <c r="U144" s="36">
        <v>0</v>
      </c>
      <c r="V144" s="36">
        <v>0</v>
      </c>
      <c r="W144" s="36">
        <v>0</v>
      </c>
      <c r="X144" s="36">
        <v>0</v>
      </c>
      <c r="Y144" s="36">
        <v>0</v>
      </c>
      <c r="Z144" s="36">
        <v>0</v>
      </c>
      <c r="AA144" s="36">
        <v>0</v>
      </c>
      <c r="AB144" s="36">
        <v>47975.35</v>
      </c>
      <c r="AC144" s="36">
        <v>135903.19</v>
      </c>
      <c r="AD144" s="37">
        <v>13.77</v>
      </c>
      <c r="AE144" s="36">
        <v>127611.43</v>
      </c>
      <c r="AF144" s="69">
        <f t="shared" si="54"/>
        <v>9267.35</v>
      </c>
      <c r="AG144" s="69">
        <f t="shared" si="55"/>
        <v>9869.51</v>
      </c>
      <c r="AH144" s="70">
        <f t="shared" si="52"/>
        <v>602.16</v>
      </c>
      <c r="AI144" s="37">
        <v>5.03</v>
      </c>
      <c r="AJ144" s="36">
        <v>45875.21</v>
      </c>
      <c r="AK144" s="69">
        <f t="shared" si="56"/>
        <v>9120.32</v>
      </c>
      <c r="AL144" s="69">
        <f t="shared" si="57"/>
        <v>9537.84</v>
      </c>
      <c r="AM144" s="70">
        <f t="shared" si="53"/>
        <v>417.52</v>
      </c>
      <c r="AN144" s="36">
        <v>0</v>
      </c>
      <c r="AO144" s="36">
        <v>0</v>
      </c>
    </row>
    <row r="145" spans="1:41" s="3" customFormat="1">
      <c r="A145" s="55" t="s">
        <v>455</v>
      </c>
      <c r="B145" s="55" t="s">
        <v>48</v>
      </c>
      <c r="C145" s="55" t="s">
        <v>966</v>
      </c>
      <c r="D145" s="36">
        <v>0</v>
      </c>
      <c r="E145" s="36">
        <v>270491.02</v>
      </c>
      <c r="F145" s="36">
        <v>59578.84</v>
      </c>
      <c r="G145" s="36">
        <v>12238229.369999999</v>
      </c>
      <c r="H145" s="36">
        <v>2625032.41</v>
      </c>
      <c r="I145" s="36">
        <v>1821822.28</v>
      </c>
      <c r="J145" s="36">
        <v>2733979.09</v>
      </c>
      <c r="K145" s="36">
        <v>914468.45</v>
      </c>
      <c r="L145" s="36">
        <v>192700.03</v>
      </c>
      <c r="M145" s="36">
        <v>3590853.76</v>
      </c>
      <c r="N145" s="49">
        <v>4.1599999999999998E-2</v>
      </c>
      <c r="O145" s="64">
        <v>0.15049999999999999</v>
      </c>
      <c r="P145" s="36">
        <v>0</v>
      </c>
      <c r="Q145" s="36">
        <v>0</v>
      </c>
      <c r="R145" s="36">
        <v>0</v>
      </c>
      <c r="S145" s="36">
        <v>0</v>
      </c>
      <c r="T145" s="36">
        <v>0</v>
      </c>
      <c r="U145" s="36">
        <v>0</v>
      </c>
      <c r="V145" s="36">
        <v>0</v>
      </c>
      <c r="W145" s="36">
        <v>0</v>
      </c>
      <c r="X145" s="36">
        <v>0</v>
      </c>
      <c r="Y145" s="36">
        <v>0</v>
      </c>
      <c r="Z145" s="36">
        <v>39075.31</v>
      </c>
      <c r="AA145" s="36">
        <v>165544.72</v>
      </c>
      <c r="AB145" s="36">
        <v>436338.02</v>
      </c>
      <c r="AC145" s="36">
        <v>3406491.24</v>
      </c>
      <c r="AD145" s="37">
        <v>343.88</v>
      </c>
      <c r="AE145" s="36">
        <v>3186278.67</v>
      </c>
      <c r="AF145" s="69">
        <f t="shared" si="54"/>
        <v>9265.67</v>
      </c>
      <c r="AG145" s="69">
        <f t="shared" si="55"/>
        <v>9906.0499999999993</v>
      </c>
      <c r="AH145" s="70">
        <f t="shared" si="52"/>
        <v>640.38</v>
      </c>
      <c r="AI145" s="37">
        <v>45.68</v>
      </c>
      <c r="AJ145" s="36">
        <v>415022.11</v>
      </c>
      <c r="AK145" s="69">
        <f t="shared" si="56"/>
        <v>9085.42</v>
      </c>
      <c r="AL145" s="69">
        <f t="shared" si="57"/>
        <v>9552.06</v>
      </c>
      <c r="AM145" s="70">
        <f t="shared" si="53"/>
        <v>466.64</v>
      </c>
      <c r="AN145" s="36">
        <v>0</v>
      </c>
      <c r="AO145" s="36">
        <v>0</v>
      </c>
    </row>
    <row r="146" spans="1:41" s="3" customFormat="1">
      <c r="A146" s="55" t="s">
        <v>654</v>
      </c>
      <c r="B146" s="55" t="s">
        <v>249</v>
      </c>
      <c r="C146" s="55" t="s">
        <v>967</v>
      </c>
      <c r="D146" s="36">
        <v>0</v>
      </c>
      <c r="E146" s="36">
        <v>0</v>
      </c>
      <c r="F146" s="36">
        <v>0</v>
      </c>
      <c r="G146" s="36">
        <v>191299.07</v>
      </c>
      <c r="H146" s="36">
        <v>27585.3</v>
      </c>
      <c r="I146" s="36">
        <v>31520.92</v>
      </c>
      <c r="J146" s="36">
        <v>86547.12</v>
      </c>
      <c r="K146" s="36">
        <v>0</v>
      </c>
      <c r="L146" s="36">
        <v>8015.64</v>
      </c>
      <c r="M146" s="36">
        <v>0</v>
      </c>
      <c r="N146" s="49">
        <v>8.5199999999999998E-2</v>
      </c>
      <c r="O146" s="64">
        <v>0.34670000000000001</v>
      </c>
      <c r="P146" s="36">
        <v>0</v>
      </c>
      <c r="Q146" s="36">
        <v>0</v>
      </c>
      <c r="R146" s="36">
        <v>0</v>
      </c>
      <c r="S146" s="36">
        <v>0</v>
      </c>
      <c r="T146" s="36">
        <v>0</v>
      </c>
      <c r="U146" s="36">
        <v>0</v>
      </c>
      <c r="V146" s="36">
        <v>0</v>
      </c>
      <c r="W146" s="36">
        <v>0</v>
      </c>
      <c r="X146" s="36">
        <v>0</v>
      </c>
      <c r="Y146" s="36">
        <v>0</v>
      </c>
      <c r="Z146" s="36">
        <v>0</v>
      </c>
      <c r="AA146" s="36">
        <v>0</v>
      </c>
      <c r="AB146" s="36">
        <v>0</v>
      </c>
      <c r="AC146" s="36">
        <v>0</v>
      </c>
      <c r="AD146" s="37">
        <v>0</v>
      </c>
      <c r="AE146" s="36">
        <v>0</v>
      </c>
      <c r="AF146" s="69">
        <f t="shared" si="54"/>
        <v>0</v>
      </c>
      <c r="AG146" s="69">
        <f t="shared" si="55"/>
        <v>0</v>
      </c>
      <c r="AH146" s="70">
        <f t="shared" si="52"/>
        <v>0</v>
      </c>
      <c r="AI146" s="37">
        <v>0</v>
      </c>
      <c r="AJ146" s="36">
        <v>0</v>
      </c>
      <c r="AK146" s="69">
        <f t="shared" si="56"/>
        <v>0</v>
      </c>
      <c r="AL146" s="69">
        <f t="shared" si="57"/>
        <v>0</v>
      </c>
      <c r="AM146" s="70">
        <f t="shared" si="53"/>
        <v>0</v>
      </c>
      <c r="AN146" s="36">
        <v>0</v>
      </c>
      <c r="AO146" s="36">
        <v>0</v>
      </c>
    </row>
    <row r="147" spans="1:41" s="3" customFormat="1">
      <c r="A147" s="55" t="s">
        <v>609</v>
      </c>
      <c r="B147" s="55" t="s">
        <v>203</v>
      </c>
      <c r="C147" s="55" t="s">
        <v>968</v>
      </c>
      <c r="D147" s="36">
        <v>0</v>
      </c>
      <c r="E147" s="36">
        <v>8216.3799999999992</v>
      </c>
      <c r="F147" s="36">
        <v>0</v>
      </c>
      <c r="G147" s="36">
        <v>413210.98</v>
      </c>
      <c r="H147" s="36">
        <v>53905.13</v>
      </c>
      <c r="I147" s="36">
        <v>74981.289999999994</v>
      </c>
      <c r="J147" s="36">
        <v>100812.16</v>
      </c>
      <c r="K147" s="36">
        <v>38726.54</v>
      </c>
      <c r="L147" s="36">
        <v>6816.48</v>
      </c>
      <c r="M147" s="36">
        <v>265665.49</v>
      </c>
      <c r="N147" s="49">
        <v>5.6899999999999999E-2</v>
      </c>
      <c r="O147" s="64">
        <v>0.24479999999999999</v>
      </c>
      <c r="P147" s="36">
        <v>0</v>
      </c>
      <c r="Q147" s="36">
        <v>0</v>
      </c>
      <c r="R147" s="36">
        <v>0</v>
      </c>
      <c r="S147" s="36">
        <v>0</v>
      </c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6">
        <v>0</v>
      </c>
      <c r="AB147" s="36">
        <v>0</v>
      </c>
      <c r="AC147" s="36">
        <v>42173.21</v>
      </c>
      <c r="AD147" s="37">
        <v>4.08</v>
      </c>
      <c r="AE147" s="36">
        <v>40935.29</v>
      </c>
      <c r="AF147" s="69">
        <f t="shared" si="54"/>
        <v>10033.16</v>
      </c>
      <c r="AG147" s="69">
        <f t="shared" si="55"/>
        <v>10336.57</v>
      </c>
      <c r="AH147" s="70">
        <f t="shared" si="52"/>
        <v>303.41000000000003</v>
      </c>
      <c r="AI147" s="37">
        <v>0</v>
      </c>
      <c r="AJ147" s="36">
        <v>0</v>
      </c>
      <c r="AK147" s="69">
        <f t="shared" si="56"/>
        <v>0</v>
      </c>
      <c r="AL147" s="69">
        <f t="shared" si="57"/>
        <v>0</v>
      </c>
      <c r="AM147" s="70">
        <f t="shared" si="53"/>
        <v>0</v>
      </c>
      <c r="AN147" s="36">
        <v>0</v>
      </c>
      <c r="AO147" s="36">
        <v>0</v>
      </c>
    </row>
    <row r="148" spans="1:41" s="3" customFormat="1">
      <c r="A148" s="55" t="s">
        <v>773</v>
      </c>
      <c r="B148" s="59" t="s">
        <v>774</v>
      </c>
      <c r="C148" s="56" t="s">
        <v>969</v>
      </c>
      <c r="D148" s="36">
        <v>0</v>
      </c>
      <c r="E148" s="36">
        <v>0</v>
      </c>
      <c r="F148" s="36">
        <v>0</v>
      </c>
      <c r="G148" s="36">
        <v>36177.65</v>
      </c>
      <c r="H148" s="36">
        <v>3659.41</v>
      </c>
      <c r="I148" s="36">
        <v>8773.8700000000008</v>
      </c>
      <c r="J148" s="36">
        <v>16681.18</v>
      </c>
      <c r="K148" s="36">
        <v>0</v>
      </c>
      <c r="L148" s="36">
        <v>0</v>
      </c>
      <c r="M148" s="36">
        <v>4137.8999999999996</v>
      </c>
      <c r="N148" s="49">
        <v>3.5000000000000003E-2</v>
      </c>
      <c r="O148" s="64">
        <v>0.14979999999999999</v>
      </c>
      <c r="P148" s="36">
        <v>0</v>
      </c>
      <c r="Q148" s="36">
        <v>0</v>
      </c>
      <c r="R148" s="36">
        <v>0</v>
      </c>
      <c r="S148" s="36">
        <v>0</v>
      </c>
      <c r="T148" s="36">
        <v>0</v>
      </c>
      <c r="U148" s="36">
        <v>0</v>
      </c>
      <c r="V148" s="36">
        <v>0</v>
      </c>
      <c r="W148" s="36">
        <v>0</v>
      </c>
      <c r="X148" s="36">
        <v>0</v>
      </c>
      <c r="Y148" s="36">
        <v>0</v>
      </c>
      <c r="Z148" s="36">
        <v>0</v>
      </c>
      <c r="AA148" s="36">
        <v>0</v>
      </c>
      <c r="AB148" s="36">
        <v>0</v>
      </c>
      <c r="AC148" s="36">
        <v>0</v>
      </c>
      <c r="AD148" s="37">
        <v>0</v>
      </c>
      <c r="AE148" s="36">
        <v>0</v>
      </c>
      <c r="AF148" s="69">
        <f t="shared" si="54"/>
        <v>0</v>
      </c>
      <c r="AG148" s="69">
        <f t="shared" si="55"/>
        <v>0</v>
      </c>
      <c r="AH148" s="70">
        <f t="shared" si="52"/>
        <v>0</v>
      </c>
      <c r="AI148" s="37">
        <v>0</v>
      </c>
      <c r="AJ148" s="36">
        <v>0</v>
      </c>
      <c r="AK148" s="69">
        <f t="shared" si="56"/>
        <v>0</v>
      </c>
      <c r="AL148" s="69">
        <f t="shared" si="57"/>
        <v>0</v>
      </c>
      <c r="AM148" s="70">
        <f t="shared" si="53"/>
        <v>0</v>
      </c>
      <c r="AN148" s="36">
        <v>0</v>
      </c>
      <c r="AO148" s="36">
        <v>0</v>
      </c>
    </row>
    <row r="149" spans="1:41" s="3" customFormat="1">
      <c r="A149" s="55" t="s">
        <v>798</v>
      </c>
      <c r="B149" s="55" t="s">
        <v>413</v>
      </c>
      <c r="C149" s="58" t="s">
        <v>970</v>
      </c>
      <c r="D149" s="36">
        <v>4664.1099999999997</v>
      </c>
      <c r="E149" s="36">
        <v>0</v>
      </c>
      <c r="F149" s="36">
        <v>0</v>
      </c>
      <c r="G149" s="36">
        <v>940222.33</v>
      </c>
      <c r="H149" s="36">
        <v>193320.53</v>
      </c>
      <c r="I149" s="36">
        <v>134464.93</v>
      </c>
      <c r="J149" s="36">
        <v>272234.51</v>
      </c>
      <c r="K149" s="36">
        <v>0</v>
      </c>
      <c r="L149" s="36">
        <v>0</v>
      </c>
      <c r="M149" s="36">
        <v>629520.67000000004</v>
      </c>
      <c r="N149" s="49">
        <v>3.5000000000000003E-2</v>
      </c>
      <c r="O149" s="64">
        <v>0.14979999999999999</v>
      </c>
      <c r="P149" s="36">
        <v>0</v>
      </c>
      <c r="Q149" s="36">
        <v>0</v>
      </c>
      <c r="R149" s="36">
        <v>0</v>
      </c>
      <c r="S149" s="36">
        <v>0</v>
      </c>
      <c r="T149" s="36">
        <v>0</v>
      </c>
      <c r="U149" s="36">
        <v>0</v>
      </c>
      <c r="V149" s="36">
        <v>0</v>
      </c>
      <c r="W149" s="36">
        <v>0</v>
      </c>
      <c r="X149" s="36">
        <v>0</v>
      </c>
      <c r="Y149" s="36">
        <v>0</v>
      </c>
      <c r="Z149" s="36">
        <v>0</v>
      </c>
      <c r="AA149" s="36">
        <v>0</v>
      </c>
      <c r="AB149" s="36">
        <v>0</v>
      </c>
      <c r="AC149" s="36">
        <v>88002.07</v>
      </c>
      <c r="AD149" s="37">
        <v>7.62</v>
      </c>
      <c r="AE149" s="36">
        <v>73520.44</v>
      </c>
      <c r="AF149" s="69">
        <f t="shared" si="54"/>
        <v>9648.35</v>
      </c>
      <c r="AG149" s="69">
        <f t="shared" si="55"/>
        <v>11548.83</v>
      </c>
      <c r="AH149" s="70">
        <f t="shared" si="52"/>
        <v>1900.48</v>
      </c>
      <c r="AI149" s="37">
        <v>0</v>
      </c>
      <c r="AJ149" s="36">
        <v>0</v>
      </c>
      <c r="AK149" s="69">
        <f t="shared" si="56"/>
        <v>0</v>
      </c>
      <c r="AL149" s="69">
        <f t="shared" si="57"/>
        <v>0</v>
      </c>
      <c r="AM149" s="70">
        <f t="shared" si="53"/>
        <v>0</v>
      </c>
      <c r="AN149" s="36">
        <v>0</v>
      </c>
      <c r="AO149" s="36">
        <v>0</v>
      </c>
    </row>
    <row r="150" spans="1:41" s="3" customFormat="1">
      <c r="A150" s="55" t="s">
        <v>547</v>
      </c>
      <c r="B150" s="55" t="s">
        <v>140</v>
      </c>
      <c r="C150" s="55" t="s">
        <v>971</v>
      </c>
      <c r="D150" s="36">
        <v>0</v>
      </c>
      <c r="E150" s="36">
        <v>10732.19</v>
      </c>
      <c r="F150" s="36">
        <v>6212.83</v>
      </c>
      <c r="G150" s="36">
        <v>0</v>
      </c>
      <c r="H150" s="36">
        <v>0</v>
      </c>
      <c r="I150" s="36">
        <v>63691.76</v>
      </c>
      <c r="J150" s="36">
        <v>86547.12</v>
      </c>
      <c r="K150" s="36">
        <v>17805.32</v>
      </c>
      <c r="L150" s="36">
        <v>0</v>
      </c>
      <c r="M150" s="36">
        <v>0</v>
      </c>
      <c r="N150" s="49">
        <v>2.35E-2</v>
      </c>
      <c r="O150" s="64">
        <v>0.19270000000000001</v>
      </c>
      <c r="P150" s="36">
        <v>0</v>
      </c>
      <c r="Q150" s="36">
        <v>0</v>
      </c>
      <c r="R150" s="36">
        <v>0</v>
      </c>
      <c r="S150" s="36">
        <v>0</v>
      </c>
      <c r="T150" s="36">
        <v>0</v>
      </c>
      <c r="U150" s="36">
        <v>0</v>
      </c>
      <c r="V150" s="36">
        <v>0</v>
      </c>
      <c r="W150" s="36">
        <v>0</v>
      </c>
      <c r="X150" s="36">
        <v>0</v>
      </c>
      <c r="Y150" s="36">
        <v>0</v>
      </c>
      <c r="Z150" s="36">
        <v>0</v>
      </c>
      <c r="AA150" s="36">
        <v>0</v>
      </c>
      <c r="AB150" s="36">
        <v>0</v>
      </c>
      <c r="AC150" s="36">
        <v>0</v>
      </c>
      <c r="AD150" s="37">
        <v>0</v>
      </c>
      <c r="AE150" s="36">
        <v>0</v>
      </c>
      <c r="AF150" s="69">
        <f t="shared" si="54"/>
        <v>0</v>
      </c>
      <c r="AG150" s="69">
        <f t="shared" si="55"/>
        <v>0</v>
      </c>
      <c r="AH150" s="70">
        <f t="shared" si="52"/>
        <v>0</v>
      </c>
      <c r="AI150" s="37">
        <v>0</v>
      </c>
      <c r="AJ150" s="36">
        <v>0</v>
      </c>
      <c r="AK150" s="69">
        <f t="shared" si="56"/>
        <v>0</v>
      </c>
      <c r="AL150" s="69">
        <f t="shared" si="57"/>
        <v>0</v>
      </c>
      <c r="AM150" s="70">
        <f t="shared" si="53"/>
        <v>0</v>
      </c>
      <c r="AN150" s="36">
        <v>0</v>
      </c>
      <c r="AO150" s="36">
        <v>0</v>
      </c>
    </row>
    <row r="151" spans="1:41" s="3" customFormat="1">
      <c r="A151" s="55" t="s">
        <v>678</v>
      </c>
      <c r="B151" s="55" t="s">
        <v>275</v>
      </c>
      <c r="C151" s="55" t="s">
        <v>972</v>
      </c>
      <c r="D151" s="36">
        <v>0</v>
      </c>
      <c r="E151" s="36">
        <v>15339.63</v>
      </c>
      <c r="F151" s="36">
        <v>0</v>
      </c>
      <c r="G151" s="36">
        <v>6480042.7599999998</v>
      </c>
      <c r="H151" s="36">
        <v>851381.53</v>
      </c>
      <c r="I151" s="36">
        <v>188350.09</v>
      </c>
      <c r="J151" s="36">
        <v>1093028.54</v>
      </c>
      <c r="K151" s="36">
        <v>872583.1</v>
      </c>
      <c r="L151" s="36">
        <v>119587.37</v>
      </c>
      <c r="M151" s="36">
        <v>2199604.36</v>
      </c>
      <c r="N151" s="49">
        <v>3.4000000000000002E-2</v>
      </c>
      <c r="O151" s="64">
        <v>0.1487</v>
      </c>
      <c r="P151" s="36">
        <v>0</v>
      </c>
      <c r="Q151" s="36">
        <v>0</v>
      </c>
      <c r="R151" s="36">
        <v>0</v>
      </c>
      <c r="S151" s="36">
        <v>0</v>
      </c>
      <c r="T151" s="36">
        <v>0</v>
      </c>
      <c r="U151" s="36">
        <v>0</v>
      </c>
      <c r="V151" s="36">
        <v>0</v>
      </c>
      <c r="W151" s="36">
        <v>0</v>
      </c>
      <c r="X151" s="36">
        <v>0</v>
      </c>
      <c r="Y151" s="36">
        <v>0</v>
      </c>
      <c r="Z151" s="36">
        <v>4199.6899999999996</v>
      </c>
      <c r="AA151" s="36">
        <v>5428.68</v>
      </c>
      <c r="AB151" s="36">
        <v>188092</v>
      </c>
      <c r="AC151" s="36">
        <v>1976483.7</v>
      </c>
      <c r="AD151" s="37">
        <v>170.43</v>
      </c>
      <c r="AE151" s="36">
        <v>1709693.88</v>
      </c>
      <c r="AF151" s="69">
        <f t="shared" si="54"/>
        <v>10031.65</v>
      </c>
      <c r="AG151" s="69">
        <f t="shared" si="55"/>
        <v>11597.04</v>
      </c>
      <c r="AH151" s="70">
        <f t="shared" si="52"/>
        <v>1565.39</v>
      </c>
      <c r="AI151" s="37">
        <v>18.170000000000002</v>
      </c>
      <c r="AJ151" s="36">
        <v>179068.12</v>
      </c>
      <c r="AK151" s="69">
        <f t="shared" si="56"/>
        <v>9855.15</v>
      </c>
      <c r="AL151" s="69">
        <f t="shared" si="57"/>
        <v>10351.790000000001</v>
      </c>
      <c r="AM151" s="70">
        <f t="shared" si="53"/>
        <v>496.64</v>
      </c>
      <c r="AN151" s="36">
        <v>0</v>
      </c>
      <c r="AO151" s="36">
        <v>0</v>
      </c>
    </row>
    <row r="152" spans="1:41" s="3" customFormat="1">
      <c r="A152" s="55" t="s">
        <v>699</v>
      </c>
      <c r="B152" s="55" t="s">
        <v>297</v>
      </c>
      <c r="C152" s="55" t="s">
        <v>973</v>
      </c>
      <c r="D152" s="36">
        <v>68965.87</v>
      </c>
      <c r="E152" s="36">
        <v>0</v>
      </c>
      <c r="F152" s="36">
        <v>0</v>
      </c>
      <c r="G152" s="36">
        <v>711272.39</v>
      </c>
      <c r="H152" s="36">
        <v>138022.76</v>
      </c>
      <c r="I152" s="36">
        <v>240577.16</v>
      </c>
      <c r="J152" s="36">
        <v>519715.98</v>
      </c>
      <c r="K152" s="36">
        <v>538957.46</v>
      </c>
      <c r="L152" s="36">
        <v>21880.49</v>
      </c>
      <c r="M152" s="36">
        <v>199882.94</v>
      </c>
      <c r="N152" s="49">
        <v>2.3E-2</v>
      </c>
      <c r="O152" s="64">
        <v>0.1923</v>
      </c>
      <c r="P152" s="36">
        <v>0</v>
      </c>
      <c r="Q152" s="36">
        <v>0</v>
      </c>
      <c r="R152" s="36">
        <v>0</v>
      </c>
      <c r="S152" s="36">
        <v>0</v>
      </c>
      <c r="T152" s="36">
        <v>0</v>
      </c>
      <c r="U152" s="36">
        <v>0</v>
      </c>
      <c r="V152" s="36">
        <v>0</v>
      </c>
      <c r="W152" s="36">
        <v>0</v>
      </c>
      <c r="X152" s="36">
        <v>0</v>
      </c>
      <c r="Y152" s="36">
        <v>0</v>
      </c>
      <c r="Z152" s="36">
        <v>12366.58</v>
      </c>
      <c r="AA152" s="36">
        <v>52574.22</v>
      </c>
      <c r="AB152" s="36">
        <v>87739.41</v>
      </c>
      <c r="AC152" s="36">
        <v>496632.44</v>
      </c>
      <c r="AD152" s="37">
        <v>46.74</v>
      </c>
      <c r="AE152" s="36">
        <v>432987.83</v>
      </c>
      <c r="AF152" s="69">
        <f t="shared" si="54"/>
        <v>9263.75</v>
      </c>
      <c r="AG152" s="69">
        <f t="shared" si="55"/>
        <v>10625.43</v>
      </c>
      <c r="AH152" s="70">
        <f t="shared" si="52"/>
        <v>1361.68</v>
      </c>
      <c r="AI152" s="37">
        <v>9.19</v>
      </c>
      <c r="AJ152" s="36">
        <v>83545.52</v>
      </c>
      <c r="AK152" s="69">
        <f t="shared" si="56"/>
        <v>9090.92</v>
      </c>
      <c r="AL152" s="69">
        <f t="shared" si="57"/>
        <v>9547.27</v>
      </c>
      <c r="AM152" s="70">
        <f t="shared" si="53"/>
        <v>456.35</v>
      </c>
      <c r="AN152" s="36">
        <v>2005</v>
      </c>
      <c r="AO152" s="36">
        <v>0</v>
      </c>
    </row>
    <row r="153" spans="1:41" s="3" customFormat="1">
      <c r="A153" s="55" t="s">
        <v>465</v>
      </c>
      <c r="B153" s="55" t="s">
        <v>58</v>
      </c>
      <c r="C153" s="55" t="s">
        <v>974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31737.55</v>
      </c>
      <c r="J153" s="36">
        <v>50910.07</v>
      </c>
      <c r="K153" s="36">
        <v>5864.04</v>
      </c>
      <c r="L153" s="36">
        <v>0</v>
      </c>
      <c r="M153" s="36">
        <v>174133.26</v>
      </c>
      <c r="N153" s="49">
        <v>8.2199999999999995E-2</v>
      </c>
      <c r="O153" s="64">
        <v>0.35859999999999997</v>
      </c>
      <c r="P153" s="36">
        <v>0</v>
      </c>
      <c r="Q153" s="36">
        <v>0</v>
      </c>
      <c r="R153" s="36">
        <v>0</v>
      </c>
      <c r="S153" s="36">
        <v>0</v>
      </c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6">
        <v>0</v>
      </c>
      <c r="AB153" s="36">
        <v>14997.42</v>
      </c>
      <c r="AC153" s="36">
        <v>44795.31</v>
      </c>
      <c r="AD153" s="37">
        <v>4.6900000000000004</v>
      </c>
      <c r="AE153" s="36">
        <v>43518.38</v>
      </c>
      <c r="AF153" s="69">
        <f t="shared" si="54"/>
        <v>9278.9699999999993</v>
      </c>
      <c r="AG153" s="69">
        <f t="shared" si="55"/>
        <v>9551.24</v>
      </c>
      <c r="AH153" s="70">
        <f t="shared" si="52"/>
        <v>272.27</v>
      </c>
      <c r="AI153" s="37">
        <v>1.57</v>
      </c>
      <c r="AJ153" s="36">
        <v>14190.03</v>
      </c>
      <c r="AK153" s="69">
        <f t="shared" si="56"/>
        <v>9038.24</v>
      </c>
      <c r="AL153" s="69">
        <f t="shared" si="57"/>
        <v>9552.5</v>
      </c>
      <c r="AM153" s="70">
        <f t="shared" si="53"/>
        <v>514.26</v>
      </c>
      <c r="AN153" s="36">
        <v>0</v>
      </c>
      <c r="AO153" s="36">
        <v>0</v>
      </c>
    </row>
    <row r="154" spans="1:41" s="3" customFormat="1">
      <c r="A154" s="55" t="s">
        <v>432</v>
      </c>
      <c r="B154" s="55" t="s">
        <v>25</v>
      </c>
      <c r="C154" s="55" t="s">
        <v>975</v>
      </c>
      <c r="D154" s="36">
        <v>18524.98</v>
      </c>
      <c r="E154" s="36">
        <v>0</v>
      </c>
      <c r="F154" s="36">
        <v>0</v>
      </c>
      <c r="G154" s="36">
        <v>0</v>
      </c>
      <c r="H154" s="36">
        <v>0</v>
      </c>
      <c r="I154" s="36">
        <v>206239.94</v>
      </c>
      <c r="J154" s="36">
        <v>295928.32000000001</v>
      </c>
      <c r="K154" s="36">
        <v>392036.91</v>
      </c>
      <c r="L154" s="36">
        <v>18955.88</v>
      </c>
      <c r="M154" s="36">
        <v>492262.82</v>
      </c>
      <c r="N154" s="49">
        <v>3.9E-2</v>
      </c>
      <c r="O154" s="64">
        <v>0.20899999999999999</v>
      </c>
      <c r="P154" s="36">
        <v>0</v>
      </c>
      <c r="Q154" s="36">
        <v>0</v>
      </c>
      <c r="R154" s="36">
        <v>0</v>
      </c>
      <c r="S154" s="36">
        <v>0</v>
      </c>
      <c r="T154" s="36">
        <v>0</v>
      </c>
      <c r="U154" s="36">
        <v>0</v>
      </c>
      <c r="V154" s="36">
        <v>0</v>
      </c>
      <c r="W154" s="36">
        <v>0</v>
      </c>
      <c r="X154" s="36">
        <v>0</v>
      </c>
      <c r="Y154" s="36">
        <v>0</v>
      </c>
      <c r="Z154" s="36">
        <v>0</v>
      </c>
      <c r="AA154" s="36">
        <v>10087.39</v>
      </c>
      <c r="AB154" s="36">
        <v>53013.71</v>
      </c>
      <c r="AC154" s="36">
        <v>514875.3</v>
      </c>
      <c r="AD154" s="37">
        <v>53.93</v>
      </c>
      <c r="AE154" s="36">
        <v>499700.44</v>
      </c>
      <c r="AF154" s="69">
        <f t="shared" si="54"/>
        <v>9265.7199999999993</v>
      </c>
      <c r="AG154" s="69">
        <f t="shared" si="55"/>
        <v>9547.1</v>
      </c>
      <c r="AH154" s="70">
        <f t="shared" si="52"/>
        <v>281.38</v>
      </c>
      <c r="AI154" s="37">
        <v>5.54</v>
      </c>
      <c r="AJ154" s="36">
        <v>50216</v>
      </c>
      <c r="AK154" s="69">
        <f t="shared" si="56"/>
        <v>9064.26</v>
      </c>
      <c r="AL154" s="69">
        <f t="shared" si="57"/>
        <v>9569.26</v>
      </c>
      <c r="AM154" s="70">
        <f t="shared" si="53"/>
        <v>505</v>
      </c>
      <c r="AN154" s="36">
        <v>0</v>
      </c>
      <c r="AO154" s="36">
        <v>0</v>
      </c>
    </row>
    <row r="155" spans="1:41" s="3" customFormat="1">
      <c r="A155" s="55" t="s">
        <v>572</v>
      </c>
      <c r="B155" s="55" t="s">
        <v>165</v>
      </c>
      <c r="C155" s="55" t="s">
        <v>976</v>
      </c>
      <c r="D155" s="36">
        <v>59867.14</v>
      </c>
      <c r="E155" s="36">
        <v>0</v>
      </c>
      <c r="F155" s="36">
        <v>0</v>
      </c>
      <c r="G155" s="36">
        <v>1283356.1000000001</v>
      </c>
      <c r="H155" s="36">
        <v>218582.56</v>
      </c>
      <c r="I155" s="36">
        <v>56217.73</v>
      </c>
      <c r="J155" s="36">
        <v>224762.55</v>
      </c>
      <c r="K155" s="36">
        <v>20790.66</v>
      </c>
      <c r="L155" s="36">
        <v>0</v>
      </c>
      <c r="M155" s="36">
        <v>414458.48</v>
      </c>
      <c r="N155" s="49">
        <v>2.3099999999999999E-2</v>
      </c>
      <c r="O155" s="64">
        <v>7.7200000000000005E-2</v>
      </c>
      <c r="P155" s="36">
        <v>0</v>
      </c>
      <c r="Q155" s="36">
        <v>0</v>
      </c>
      <c r="R155" s="36">
        <v>0</v>
      </c>
      <c r="S155" s="36">
        <v>0</v>
      </c>
      <c r="T155" s="36">
        <v>0</v>
      </c>
      <c r="U155" s="36">
        <v>0</v>
      </c>
      <c r="V155" s="36">
        <v>0</v>
      </c>
      <c r="W155" s="36">
        <v>0</v>
      </c>
      <c r="X155" s="36">
        <v>0</v>
      </c>
      <c r="Y155" s="36">
        <v>0</v>
      </c>
      <c r="Z155" s="36">
        <v>0</v>
      </c>
      <c r="AA155" s="36">
        <v>0</v>
      </c>
      <c r="AB155" s="36">
        <v>67456.56</v>
      </c>
      <c r="AC155" s="36">
        <v>120917.92</v>
      </c>
      <c r="AD155" s="37">
        <v>12.36</v>
      </c>
      <c r="AE155" s="36">
        <v>114514.81</v>
      </c>
      <c r="AF155" s="69">
        <f t="shared" si="54"/>
        <v>9264.9500000000007</v>
      </c>
      <c r="AG155" s="69">
        <f t="shared" si="55"/>
        <v>9783</v>
      </c>
      <c r="AH155" s="70">
        <f t="shared" si="52"/>
        <v>518.04999999999995</v>
      </c>
      <c r="AI155" s="37">
        <v>7.05</v>
      </c>
      <c r="AJ155" s="36">
        <v>64096.22</v>
      </c>
      <c r="AK155" s="69">
        <f t="shared" si="56"/>
        <v>9091.66</v>
      </c>
      <c r="AL155" s="69">
        <f t="shared" si="57"/>
        <v>9568.31</v>
      </c>
      <c r="AM155" s="70">
        <f t="shared" si="53"/>
        <v>476.65</v>
      </c>
      <c r="AN155" s="36">
        <v>0</v>
      </c>
      <c r="AO155" s="36">
        <v>0</v>
      </c>
    </row>
    <row r="156" spans="1:41" s="3" customFormat="1">
      <c r="A156" s="55" t="s">
        <v>656</v>
      </c>
      <c r="B156" s="55" t="s">
        <v>253</v>
      </c>
      <c r="C156" s="55" t="s">
        <v>977</v>
      </c>
      <c r="D156" s="36">
        <v>78892.990000000005</v>
      </c>
      <c r="E156" s="36">
        <v>0</v>
      </c>
      <c r="F156" s="36">
        <v>0</v>
      </c>
      <c r="G156" s="36">
        <v>1007291.04</v>
      </c>
      <c r="H156" s="36">
        <v>149191.84</v>
      </c>
      <c r="I156" s="36">
        <v>158037.85</v>
      </c>
      <c r="J156" s="36">
        <v>269823.38</v>
      </c>
      <c r="K156" s="36">
        <v>0</v>
      </c>
      <c r="L156" s="36">
        <v>0</v>
      </c>
      <c r="M156" s="36">
        <v>435392.88</v>
      </c>
      <c r="N156" s="49">
        <v>3.1699999999999999E-2</v>
      </c>
      <c r="O156" s="64">
        <v>0.2051</v>
      </c>
      <c r="P156" s="36">
        <v>0</v>
      </c>
      <c r="Q156" s="36">
        <v>0</v>
      </c>
      <c r="R156" s="36">
        <v>0</v>
      </c>
      <c r="S156" s="36">
        <v>0</v>
      </c>
      <c r="T156" s="36">
        <v>0</v>
      </c>
      <c r="U156" s="36">
        <v>0</v>
      </c>
      <c r="V156" s="36">
        <v>0</v>
      </c>
      <c r="W156" s="36">
        <v>0</v>
      </c>
      <c r="X156" s="36">
        <v>0</v>
      </c>
      <c r="Y156" s="36">
        <v>0</v>
      </c>
      <c r="Z156" s="36">
        <v>0</v>
      </c>
      <c r="AA156" s="36">
        <v>0</v>
      </c>
      <c r="AB156" s="36">
        <v>0</v>
      </c>
      <c r="AC156" s="36">
        <v>235846.26</v>
      </c>
      <c r="AD156" s="37">
        <v>24.61</v>
      </c>
      <c r="AE156" s="36">
        <v>228117.84</v>
      </c>
      <c r="AF156" s="69">
        <f t="shared" si="54"/>
        <v>9269.31</v>
      </c>
      <c r="AG156" s="69">
        <f t="shared" si="55"/>
        <v>9583.35</v>
      </c>
      <c r="AH156" s="70">
        <f t="shared" si="52"/>
        <v>314.04000000000002</v>
      </c>
      <c r="AI156" s="37">
        <v>0</v>
      </c>
      <c r="AJ156" s="36">
        <v>0</v>
      </c>
      <c r="AK156" s="69">
        <f t="shared" si="56"/>
        <v>0</v>
      </c>
      <c r="AL156" s="69">
        <f t="shared" si="57"/>
        <v>0</v>
      </c>
      <c r="AM156" s="70">
        <f t="shared" si="53"/>
        <v>0</v>
      </c>
      <c r="AN156" s="36">
        <v>0</v>
      </c>
      <c r="AO156" s="36">
        <v>14767.62</v>
      </c>
    </row>
    <row r="157" spans="1:41" s="3" customFormat="1">
      <c r="A157" s="55" t="s">
        <v>627</v>
      </c>
      <c r="B157" s="55" t="s">
        <v>221</v>
      </c>
      <c r="C157" s="55" t="s">
        <v>978</v>
      </c>
      <c r="D157" s="36">
        <v>0</v>
      </c>
      <c r="E157" s="36">
        <v>382374.61</v>
      </c>
      <c r="F157" s="36">
        <v>218109.79</v>
      </c>
      <c r="G157" s="36">
        <v>19927746.890000001</v>
      </c>
      <c r="H157" s="36">
        <v>4777737.75</v>
      </c>
      <c r="I157" s="36">
        <v>2205775</v>
      </c>
      <c r="J157" s="36">
        <v>3822758.97</v>
      </c>
      <c r="K157" s="36">
        <v>2240660.4</v>
      </c>
      <c r="L157" s="36">
        <v>333464.59999999998</v>
      </c>
      <c r="M157" s="36">
        <v>9014989.7200000007</v>
      </c>
      <c r="N157" s="49">
        <v>3.6600000000000001E-2</v>
      </c>
      <c r="O157" s="64">
        <v>0.12909999999999999</v>
      </c>
      <c r="P157" s="36">
        <v>0</v>
      </c>
      <c r="Q157" s="36">
        <v>0</v>
      </c>
      <c r="R157" s="36">
        <v>0</v>
      </c>
      <c r="S157" s="36">
        <v>0</v>
      </c>
      <c r="T157" s="36">
        <v>0</v>
      </c>
      <c r="U157" s="36">
        <v>0</v>
      </c>
      <c r="V157" s="36">
        <v>0</v>
      </c>
      <c r="W157" s="36">
        <v>0</v>
      </c>
      <c r="X157" s="36">
        <v>0</v>
      </c>
      <c r="Y157" s="36">
        <v>0</v>
      </c>
      <c r="Z157" s="36">
        <v>135186.93</v>
      </c>
      <c r="AA157" s="36">
        <v>304323.09999999998</v>
      </c>
      <c r="AB157" s="36">
        <v>2015981.04</v>
      </c>
      <c r="AC157" s="36">
        <v>6868488.2199999997</v>
      </c>
      <c r="AD157" s="37">
        <v>623.97</v>
      </c>
      <c r="AE157" s="36">
        <v>6498238.8399999999</v>
      </c>
      <c r="AF157" s="69">
        <f t="shared" si="54"/>
        <v>10414.34</v>
      </c>
      <c r="AG157" s="69">
        <f t="shared" si="55"/>
        <v>11007.72</v>
      </c>
      <c r="AH157" s="70">
        <f t="shared" si="52"/>
        <v>593.38</v>
      </c>
      <c r="AI157" s="37">
        <v>187.48</v>
      </c>
      <c r="AJ157" s="36">
        <v>1919128.97</v>
      </c>
      <c r="AK157" s="69">
        <f t="shared" si="56"/>
        <v>10236.450000000001</v>
      </c>
      <c r="AL157" s="69">
        <f t="shared" si="57"/>
        <v>10753.05</v>
      </c>
      <c r="AM157" s="70">
        <f t="shared" si="53"/>
        <v>516.6</v>
      </c>
      <c r="AN157" s="36">
        <v>0</v>
      </c>
      <c r="AO157" s="36">
        <v>0</v>
      </c>
    </row>
    <row r="158" spans="1:41" s="3" customFormat="1">
      <c r="A158" s="55" t="s">
        <v>490</v>
      </c>
      <c r="B158" s="55" t="s">
        <v>83</v>
      </c>
      <c r="C158" s="55" t="s">
        <v>979</v>
      </c>
      <c r="D158" s="36">
        <v>0</v>
      </c>
      <c r="E158" s="36">
        <v>0</v>
      </c>
      <c r="F158" s="36">
        <v>0</v>
      </c>
      <c r="G158" s="36">
        <v>650759.25</v>
      </c>
      <c r="H158" s="36">
        <v>99694.98</v>
      </c>
      <c r="I158" s="36">
        <v>101386.85</v>
      </c>
      <c r="J158" s="36">
        <v>138540.39000000001</v>
      </c>
      <c r="K158" s="36">
        <v>1919.14</v>
      </c>
      <c r="L158" s="36">
        <v>9748.73</v>
      </c>
      <c r="M158" s="36">
        <v>256420.98</v>
      </c>
      <c r="N158" s="49">
        <v>3.1099999999999999E-2</v>
      </c>
      <c r="O158" s="64">
        <v>0.18690000000000001</v>
      </c>
      <c r="P158" s="36">
        <v>0</v>
      </c>
      <c r="Q158" s="36">
        <v>0</v>
      </c>
      <c r="R158" s="36">
        <v>0</v>
      </c>
      <c r="S158" s="36">
        <v>0</v>
      </c>
      <c r="T158" s="36">
        <v>0</v>
      </c>
      <c r="U158" s="36">
        <v>0</v>
      </c>
      <c r="V158" s="36">
        <v>0</v>
      </c>
      <c r="W158" s="36">
        <v>0</v>
      </c>
      <c r="X158" s="36">
        <v>0</v>
      </c>
      <c r="Y158" s="36">
        <v>0</v>
      </c>
      <c r="Z158" s="36">
        <v>0</v>
      </c>
      <c r="AA158" s="36">
        <v>0</v>
      </c>
      <c r="AB158" s="36">
        <v>0</v>
      </c>
      <c r="AC158" s="36">
        <v>0</v>
      </c>
      <c r="AD158" s="37">
        <v>0</v>
      </c>
      <c r="AE158" s="36">
        <v>0</v>
      </c>
      <c r="AF158" s="69">
        <f t="shared" si="54"/>
        <v>0</v>
      </c>
      <c r="AG158" s="69">
        <f t="shared" si="55"/>
        <v>0</v>
      </c>
      <c r="AH158" s="70">
        <f t="shared" si="52"/>
        <v>0</v>
      </c>
      <c r="AI158" s="37">
        <v>0</v>
      </c>
      <c r="AJ158" s="36">
        <v>0</v>
      </c>
      <c r="AK158" s="69">
        <f t="shared" si="56"/>
        <v>0</v>
      </c>
      <c r="AL158" s="69">
        <f t="shared" si="57"/>
        <v>0</v>
      </c>
      <c r="AM158" s="70">
        <f t="shared" si="53"/>
        <v>0</v>
      </c>
      <c r="AN158" s="36">
        <v>0</v>
      </c>
      <c r="AO158" s="36">
        <v>0</v>
      </c>
    </row>
    <row r="159" spans="1:41" s="3" customFormat="1">
      <c r="A159" s="55" t="s">
        <v>641</v>
      </c>
      <c r="B159" s="55" t="s">
        <v>235</v>
      </c>
      <c r="C159" s="55" t="s">
        <v>980</v>
      </c>
      <c r="D159" s="36">
        <v>0</v>
      </c>
      <c r="E159" s="36">
        <v>217683.41</v>
      </c>
      <c r="F159" s="36">
        <v>7824.34</v>
      </c>
      <c r="G159" s="36">
        <v>20110593.219999999</v>
      </c>
      <c r="H159" s="36">
        <v>4295191.08</v>
      </c>
      <c r="I159" s="36">
        <v>216269.42</v>
      </c>
      <c r="J159" s="36">
        <v>2256485.83</v>
      </c>
      <c r="K159" s="36">
        <v>779692.42</v>
      </c>
      <c r="L159" s="36">
        <v>330455.21000000002</v>
      </c>
      <c r="M159" s="36">
        <v>6698369.46</v>
      </c>
      <c r="N159" s="49">
        <v>2.47E-2</v>
      </c>
      <c r="O159" s="64">
        <v>0.16719999999999999</v>
      </c>
      <c r="P159" s="36">
        <v>0</v>
      </c>
      <c r="Q159" s="36">
        <v>0</v>
      </c>
      <c r="R159" s="36">
        <v>0</v>
      </c>
      <c r="S159" s="36">
        <v>0</v>
      </c>
      <c r="T159" s="36">
        <v>0</v>
      </c>
      <c r="U159" s="36">
        <v>0</v>
      </c>
      <c r="V159" s="36">
        <v>0</v>
      </c>
      <c r="W159" s="36">
        <v>0</v>
      </c>
      <c r="X159" s="36">
        <v>0</v>
      </c>
      <c r="Y159" s="36">
        <v>0</v>
      </c>
      <c r="Z159" s="36">
        <v>183419.51999999999</v>
      </c>
      <c r="AA159" s="36">
        <v>40959.15</v>
      </c>
      <c r="AB159" s="36">
        <v>3253157.82</v>
      </c>
      <c r="AC159" s="36">
        <v>5171895.4800000004</v>
      </c>
      <c r="AD159" s="37">
        <v>503.62</v>
      </c>
      <c r="AE159" s="36">
        <v>4759314.99</v>
      </c>
      <c r="AF159" s="69">
        <f t="shared" si="54"/>
        <v>9450.2099999999991</v>
      </c>
      <c r="AG159" s="69">
        <f t="shared" si="55"/>
        <v>10269.44</v>
      </c>
      <c r="AH159" s="70">
        <f t="shared" si="52"/>
        <v>819.23</v>
      </c>
      <c r="AI159" s="37">
        <v>333.72</v>
      </c>
      <c r="AJ159" s="36">
        <v>3093468.87</v>
      </c>
      <c r="AK159" s="69">
        <f t="shared" si="56"/>
        <v>9269.65</v>
      </c>
      <c r="AL159" s="69">
        <f t="shared" si="57"/>
        <v>9748.17</v>
      </c>
      <c r="AM159" s="70">
        <f t="shared" si="53"/>
        <v>478.52</v>
      </c>
      <c r="AN159" s="36">
        <v>0</v>
      </c>
      <c r="AO159" s="36">
        <v>0</v>
      </c>
    </row>
    <row r="160" spans="1:41" s="3" customFormat="1">
      <c r="A160" s="55" t="s">
        <v>640</v>
      </c>
      <c r="B160" s="55" t="s">
        <v>234</v>
      </c>
      <c r="C160" s="55" t="s">
        <v>981</v>
      </c>
      <c r="D160" s="36">
        <v>0</v>
      </c>
      <c r="E160" s="36">
        <v>0</v>
      </c>
      <c r="F160" s="36">
        <v>0</v>
      </c>
      <c r="G160" s="36">
        <v>2968513.93</v>
      </c>
      <c r="H160" s="36">
        <v>340756.19</v>
      </c>
      <c r="I160" s="36">
        <v>146772.67000000001</v>
      </c>
      <c r="J160" s="36">
        <v>463823.24</v>
      </c>
      <c r="K160" s="36">
        <v>41368.04</v>
      </c>
      <c r="L160" s="36">
        <v>53293.09</v>
      </c>
      <c r="M160" s="36">
        <v>1342816.88</v>
      </c>
      <c r="N160" s="49">
        <v>4.5499999999999999E-2</v>
      </c>
      <c r="O160" s="64">
        <v>0.1875</v>
      </c>
      <c r="P160" s="36">
        <v>0</v>
      </c>
      <c r="Q160" s="36">
        <v>0</v>
      </c>
      <c r="R160" s="36">
        <v>0</v>
      </c>
      <c r="S160" s="36">
        <v>0</v>
      </c>
      <c r="T160" s="36">
        <v>0</v>
      </c>
      <c r="U160" s="36">
        <v>0</v>
      </c>
      <c r="V160" s="36">
        <v>226356.36</v>
      </c>
      <c r="W160" s="36">
        <v>0</v>
      </c>
      <c r="X160" s="36">
        <v>9302.2800000000007</v>
      </c>
      <c r="Y160" s="36">
        <v>0</v>
      </c>
      <c r="Z160" s="36">
        <v>0</v>
      </c>
      <c r="AA160" s="36">
        <v>0</v>
      </c>
      <c r="AB160" s="36">
        <v>0</v>
      </c>
      <c r="AC160" s="36">
        <v>1070720.28</v>
      </c>
      <c r="AD160" s="37">
        <v>111.98</v>
      </c>
      <c r="AE160" s="36">
        <v>1037586.88</v>
      </c>
      <c r="AF160" s="69">
        <f t="shared" si="54"/>
        <v>9265.82</v>
      </c>
      <c r="AG160" s="69">
        <f t="shared" si="55"/>
        <v>9561.7099999999991</v>
      </c>
      <c r="AH160" s="70">
        <f t="shared" si="52"/>
        <v>295.89</v>
      </c>
      <c r="AI160" s="37">
        <v>0</v>
      </c>
      <c r="AJ160" s="36">
        <v>0</v>
      </c>
      <c r="AK160" s="69">
        <f t="shared" si="56"/>
        <v>0</v>
      </c>
      <c r="AL160" s="69">
        <f t="shared" si="57"/>
        <v>0</v>
      </c>
      <c r="AM160" s="70">
        <f t="shared" si="53"/>
        <v>0</v>
      </c>
      <c r="AN160" s="36">
        <v>0</v>
      </c>
      <c r="AO160" s="36">
        <v>0</v>
      </c>
    </row>
    <row r="161" spans="1:41" s="3" customFormat="1">
      <c r="A161" s="55" t="s">
        <v>511</v>
      </c>
      <c r="B161" s="55" t="s">
        <v>104</v>
      </c>
      <c r="C161" s="55" t="s">
        <v>982</v>
      </c>
      <c r="D161" s="36">
        <v>0</v>
      </c>
      <c r="E161" s="36">
        <v>0</v>
      </c>
      <c r="F161" s="36">
        <v>0</v>
      </c>
      <c r="G161" s="36">
        <v>5347576.51</v>
      </c>
      <c r="H161" s="36">
        <v>784645.05</v>
      </c>
      <c r="I161" s="36">
        <v>0</v>
      </c>
      <c r="J161" s="36">
        <v>182071.93</v>
      </c>
      <c r="K161" s="36">
        <v>362494.2</v>
      </c>
      <c r="L161" s="36">
        <v>142501.95000000001</v>
      </c>
      <c r="M161" s="36">
        <v>2040230.7</v>
      </c>
      <c r="N161" s="49">
        <v>2.8500000000000001E-2</v>
      </c>
      <c r="O161" s="64">
        <v>0.14269999999999999</v>
      </c>
      <c r="P161" s="36">
        <v>0</v>
      </c>
      <c r="Q161" s="36">
        <v>0</v>
      </c>
      <c r="R161" s="36">
        <v>0</v>
      </c>
      <c r="S161" s="36">
        <v>0</v>
      </c>
      <c r="T161" s="36">
        <v>0</v>
      </c>
      <c r="U161" s="36">
        <v>0</v>
      </c>
      <c r="V161" s="36">
        <v>0</v>
      </c>
      <c r="W161" s="36">
        <v>0</v>
      </c>
      <c r="X161" s="36">
        <v>0</v>
      </c>
      <c r="Y161" s="36">
        <v>0</v>
      </c>
      <c r="Z161" s="36">
        <v>481.04</v>
      </c>
      <c r="AA161" s="36">
        <v>0</v>
      </c>
      <c r="AB161" s="36">
        <v>187615.45</v>
      </c>
      <c r="AC161" s="36">
        <v>3399972.57</v>
      </c>
      <c r="AD161" s="37">
        <v>312.77</v>
      </c>
      <c r="AE161" s="36">
        <v>3257210.45</v>
      </c>
      <c r="AF161" s="69">
        <f t="shared" si="54"/>
        <v>10414.08</v>
      </c>
      <c r="AG161" s="69">
        <f t="shared" si="55"/>
        <v>10870.52</v>
      </c>
      <c r="AH161" s="70">
        <f t="shared" si="52"/>
        <v>456.44</v>
      </c>
      <c r="AI161" s="37">
        <v>17.440000000000001</v>
      </c>
      <c r="AJ161" s="36">
        <v>178791.42</v>
      </c>
      <c r="AK161" s="69">
        <f t="shared" si="56"/>
        <v>10251.799999999999</v>
      </c>
      <c r="AL161" s="69">
        <f t="shared" si="57"/>
        <v>10757.77</v>
      </c>
      <c r="AM161" s="70">
        <f t="shared" si="53"/>
        <v>505.97</v>
      </c>
      <c r="AN161" s="36">
        <v>0</v>
      </c>
      <c r="AO161" s="36">
        <v>0</v>
      </c>
    </row>
    <row r="162" spans="1:41" s="3" customFormat="1">
      <c r="A162" s="55" t="s">
        <v>679</v>
      </c>
      <c r="B162" s="55" t="s">
        <v>276</v>
      </c>
      <c r="C162" s="55" t="s">
        <v>983</v>
      </c>
      <c r="D162" s="36">
        <v>0</v>
      </c>
      <c r="E162" s="36">
        <v>48256.57</v>
      </c>
      <c r="F162" s="36">
        <v>0</v>
      </c>
      <c r="G162" s="36">
        <v>3056492.27</v>
      </c>
      <c r="H162" s="36">
        <v>382279.25</v>
      </c>
      <c r="I162" s="36">
        <v>265125.2</v>
      </c>
      <c r="J162" s="36">
        <v>560745.17000000004</v>
      </c>
      <c r="K162" s="36">
        <v>506270.05</v>
      </c>
      <c r="L162" s="36">
        <v>63022.559999999998</v>
      </c>
      <c r="M162" s="36">
        <v>1505908.51</v>
      </c>
      <c r="N162" s="49">
        <v>5.2299999999999999E-2</v>
      </c>
      <c r="O162" s="64">
        <v>0.25169999999999998</v>
      </c>
      <c r="P162" s="36">
        <v>0</v>
      </c>
      <c r="Q162" s="36">
        <v>0</v>
      </c>
      <c r="R162" s="36">
        <v>0</v>
      </c>
      <c r="S162" s="36">
        <v>0</v>
      </c>
      <c r="T162" s="36">
        <v>0</v>
      </c>
      <c r="U162" s="36">
        <v>0</v>
      </c>
      <c r="V162" s="36">
        <v>0</v>
      </c>
      <c r="W162" s="36">
        <v>0</v>
      </c>
      <c r="X162" s="36">
        <v>0</v>
      </c>
      <c r="Y162" s="36">
        <v>0</v>
      </c>
      <c r="Z162" s="36">
        <v>0</v>
      </c>
      <c r="AA162" s="36">
        <v>0</v>
      </c>
      <c r="AB162" s="36">
        <v>0</v>
      </c>
      <c r="AC162" s="36">
        <v>753797.26</v>
      </c>
      <c r="AD162" s="37">
        <v>68.78</v>
      </c>
      <c r="AE162" s="36">
        <v>689991.93</v>
      </c>
      <c r="AF162" s="69">
        <f t="shared" si="54"/>
        <v>10031.870000000001</v>
      </c>
      <c r="AG162" s="69">
        <f t="shared" si="55"/>
        <v>10959.54</v>
      </c>
      <c r="AH162" s="70">
        <f t="shared" si="52"/>
        <v>927.67</v>
      </c>
      <c r="AI162" s="37">
        <v>0</v>
      </c>
      <c r="AJ162" s="36">
        <v>0</v>
      </c>
      <c r="AK162" s="69">
        <f t="shared" si="56"/>
        <v>0</v>
      </c>
      <c r="AL162" s="69">
        <f t="shared" si="57"/>
        <v>0</v>
      </c>
      <c r="AM162" s="70">
        <f t="shared" si="53"/>
        <v>0</v>
      </c>
      <c r="AN162" s="36">
        <v>0</v>
      </c>
      <c r="AO162" s="36">
        <v>0</v>
      </c>
    </row>
    <row r="163" spans="1:41" s="3" customFormat="1">
      <c r="A163" s="55" t="s">
        <v>581</v>
      </c>
      <c r="B163" s="55" t="s">
        <v>174</v>
      </c>
      <c r="C163" s="55" t="s">
        <v>984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12023.46</v>
      </c>
      <c r="J163" s="36">
        <v>201690.54</v>
      </c>
      <c r="K163" s="36">
        <v>44033.52</v>
      </c>
      <c r="L163" s="36">
        <v>23830.25</v>
      </c>
      <c r="M163" s="36">
        <v>843325.6</v>
      </c>
      <c r="N163" s="49">
        <v>3.1300000000000001E-2</v>
      </c>
      <c r="O163" s="64">
        <v>0.20200000000000001</v>
      </c>
      <c r="P163" s="36">
        <v>0</v>
      </c>
      <c r="Q163" s="36">
        <v>0</v>
      </c>
      <c r="R163" s="36">
        <v>0</v>
      </c>
      <c r="S163" s="36">
        <v>0</v>
      </c>
      <c r="T163" s="36">
        <v>0</v>
      </c>
      <c r="U163" s="36">
        <v>0</v>
      </c>
      <c r="V163" s="36">
        <v>0</v>
      </c>
      <c r="W163" s="36">
        <v>0</v>
      </c>
      <c r="X163" s="36">
        <v>0</v>
      </c>
      <c r="Y163" s="36">
        <v>0</v>
      </c>
      <c r="Z163" s="36">
        <v>0</v>
      </c>
      <c r="AA163" s="36">
        <v>0</v>
      </c>
      <c r="AB163" s="36">
        <v>104169.74</v>
      </c>
      <c r="AC163" s="36">
        <v>441133.44</v>
      </c>
      <c r="AD163" s="37">
        <v>44.92</v>
      </c>
      <c r="AE163" s="36">
        <v>416403.95</v>
      </c>
      <c r="AF163" s="69">
        <f t="shared" si="54"/>
        <v>9269.9</v>
      </c>
      <c r="AG163" s="69">
        <f t="shared" si="55"/>
        <v>9820.42</v>
      </c>
      <c r="AH163" s="70">
        <f t="shared" si="52"/>
        <v>550.52</v>
      </c>
      <c r="AI163" s="37">
        <v>10.91</v>
      </c>
      <c r="AJ163" s="36">
        <v>99143.94</v>
      </c>
      <c r="AK163" s="69">
        <f t="shared" si="56"/>
        <v>9087.44</v>
      </c>
      <c r="AL163" s="69">
        <f t="shared" si="57"/>
        <v>9548.1</v>
      </c>
      <c r="AM163" s="70">
        <f t="shared" si="53"/>
        <v>460.66</v>
      </c>
      <c r="AN163" s="36">
        <v>0</v>
      </c>
      <c r="AO163" s="36">
        <v>0</v>
      </c>
    </row>
    <row r="164" spans="1:41" s="3" customFormat="1">
      <c r="A164" s="55" t="s">
        <v>620</v>
      </c>
      <c r="B164" s="55" t="s">
        <v>214</v>
      </c>
      <c r="C164" s="55" t="s">
        <v>985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14298.15</v>
      </c>
      <c r="J164" s="36">
        <v>24046.89</v>
      </c>
      <c r="K164" s="36">
        <v>0</v>
      </c>
      <c r="L164" s="36">
        <v>0</v>
      </c>
      <c r="M164" s="36">
        <v>136434.26999999999</v>
      </c>
      <c r="N164" s="49">
        <v>4.24E-2</v>
      </c>
      <c r="O164" s="64">
        <v>0.33500000000000002</v>
      </c>
      <c r="P164" s="36">
        <v>0</v>
      </c>
      <c r="Q164" s="36">
        <v>0</v>
      </c>
      <c r="R164" s="36">
        <v>0</v>
      </c>
      <c r="S164" s="36">
        <v>0</v>
      </c>
      <c r="T164" s="36">
        <v>0</v>
      </c>
      <c r="U164" s="36">
        <v>0</v>
      </c>
      <c r="V164" s="36">
        <v>0</v>
      </c>
      <c r="W164" s="36">
        <v>0</v>
      </c>
      <c r="X164" s="36">
        <v>0</v>
      </c>
      <c r="Y164" s="36">
        <v>0</v>
      </c>
      <c r="Z164" s="36">
        <v>0</v>
      </c>
      <c r="AA164" s="36">
        <v>0</v>
      </c>
      <c r="AB164" s="36">
        <v>0</v>
      </c>
      <c r="AC164" s="36">
        <v>2429.1</v>
      </c>
      <c r="AD164" s="37">
        <v>0.25</v>
      </c>
      <c r="AE164" s="36">
        <v>2333.36</v>
      </c>
      <c r="AF164" s="69">
        <f t="shared" si="54"/>
        <v>9333.44</v>
      </c>
      <c r="AG164" s="69">
        <f t="shared" si="55"/>
        <v>9716.4</v>
      </c>
      <c r="AH164" s="70">
        <f t="shared" si="52"/>
        <v>382.96</v>
      </c>
      <c r="AI164" s="37">
        <v>0</v>
      </c>
      <c r="AJ164" s="36">
        <v>0</v>
      </c>
      <c r="AK164" s="69">
        <f t="shared" si="56"/>
        <v>0</v>
      </c>
      <c r="AL164" s="69">
        <f t="shared" si="57"/>
        <v>0</v>
      </c>
      <c r="AM164" s="70">
        <f t="shared" si="53"/>
        <v>0</v>
      </c>
      <c r="AN164" s="36">
        <v>0</v>
      </c>
      <c r="AO164" s="36">
        <v>0</v>
      </c>
    </row>
    <row r="165" spans="1:41" s="3" customFormat="1">
      <c r="A165" s="55" t="s">
        <v>629</v>
      </c>
      <c r="B165" s="55" t="s">
        <v>223</v>
      </c>
      <c r="C165" s="55" t="s">
        <v>986</v>
      </c>
      <c r="D165" s="36">
        <v>0</v>
      </c>
      <c r="E165" s="36">
        <v>0</v>
      </c>
      <c r="F165" s="36">
        <v>0</v>
      </c>
      <c r="G165" s="36">
        <v>10541578.42</v>
      </c>
      <c r="H165" s="36">
        <v>1547944.02</v>
      </c>
      <c r="I165" s="36">
        <v>222268</v>
      </c>
      <c r="J165" s="36">
        <v>1501529.83</v>
      </c>
      <c r="K165" s="36">
        <v>1641885.54</v>
      </c>
      <c r="L165" s="36">
        <v>201856.9</v>
      </c>
      <c r="M165" s="36">
        <v>4336059.45</v>
      </c>
      <c r="N165" s="49">
        <v>3.5799999999999998E-2</v>
      </c>
      <c r="O165" s="64">
        <v>0.1681</v>
      </c>
      <c r="P165" s="36">
        <v>0</v>
      </c>
      <c r="Q165" s="36">
        <v>0</v>
      </c>
      <c r="R165" s="36">
        <v>0</v>
      </c>
      <c r="S165" s="36">
        <v>0</v>
      </c>
      <c r="T165" s="36">
        <v>0</v>
      </c>
      <c r="U165" s="36">
        <v>0</v>
      </c>
      <c r="V165" s="36">
        <v>0</v>
      </c>
      <c r="W165" s="36">
        <v>0</v>
      </c>
      <c r="X165" s="36">
        <v>0</v>
      </c>
      <c r="Y165" s="36">
        <v>0</v>
      </c>
      <c r="Z165" s="36">
        <v>85494.51</v>
      </c>
      <c r="AA165" s="36">
        <v>44549.49</v>
      </c>
      <c r="AB165" s="36">
        <v>763701.94</v>
      </c>
      <c r="AC165" s="36">
        <v>3971161.42</v>
      </c>
      <c r="AD165" s="37">
        <v>355.34</v>
      </c>
      <c r="AE165" s="36">
        <v>3700678.93</v>
      </c>
      <c r="AF165" s="69">
        <f t="shared" si="54"/>
        <v>10414.469999999999</v>
      </c>
      <c r="AG165" s="69">
        <f t="shared" si="55"/>
        <v>11175.67</v>
      </c>
      <c r="AH165" s="70">
        <f t="shared" si="52"/>
        <v>761.2</v>
      </c>
      <c r="AI165" s="37">
        <v>71.02</v>
      </c>
      <c r="AJ165" s="36">
        <v>726956.21</v>
      </c>
      <c r="AK165" s="69">
        <f t="shared" si="56"/>
        <v>10235.94</v>
      </c>
      <c r="AL165" s="69">
        <f t="shared" si="57"/>
        <v>10753.34</v>
      </c>
      <c r="AM165" s="70">
        <f t="shared" si="53"/>
        <v>517.4</v>
      </c>
      <c r="AN165" s="36">
        <v>0</v>
      </c>
      <c r="AO165" s="36">
        <v>0</v>
      </c>
    </row>
    <row r="166" spans="1:41" s="3" customFormat="1">
      <c r="A166" s="55" t="s">
        <v>491</v>
      </c>
      <c r="B166" s="55" t="s">
        <v>84</v>
      </c>
      <c r="C166" s="55" t="s">
        <v>987</v>
      </c>
      <c r="D166" s="36">
        <v>0</v>
      </c>
      <c r="E166" s="36">
        <v>0</v>
      </c>
      <c r="F166" s="36">
        <v>0</v>
      </c>
      <c r="G166" s="36">
        <v>2710554.18</v>
      </c>
      <c r="H166" s="36">
        <v>485903.96</v>
      </c>
      <c r="I166" s="36">
        <v>0</v>
      </c>
      <c r="J166" s="36">
        <v>396904.85</v>
      </c>
      <c r="K166" s="36">
        <v>68825.58</v>
      </c>
      <c r="L166" s="36">
        <v>45831.19</v>
      </c>
      <c r="M166" s="36">
        <v>575601.22</v>
      </c>
      <c r="N166" s="49">
        <v>2.5600000000000001E-2</v>
      </c>
      <c r="O166" s="64">
        <v>0.1236</v>
      </c>
      <c r="P166" s="36">
        <v>0</v>
      </c>
      <c r="Q166" s="36">
        <v>0</v>
      </c>
      <c r="R166" s="36">
        <v>0</v>
      </c>
      <c r="S166" s="36">
        <v>0</v>
      </c>
      <c r="T166" s="36">
        <v>0</v>
      </c>
      <c r="U166" s="36">
        <v>0</v>
      </c>
      <c r="V166" s="36">
        <v>0</v>
      </c>
      <c r="W166" s="36">
        <v>0</v>
      </c>
      <c r="X166" s="36">
        <v>0</v>
      </c>
      <c r="Y166" s="36">
        <v>0</v>
      </c>
      <c r="Z166" s="36">
        <v>0</v>
      </c>
      <c r="AA166" s="36">
        <v>96373.94</v>
      </c>
      <c r="AB166" s="36">
        <v>274437.09999999998</v>
      </c>
      <c r="AC166" s="36">
        <v>1399249.11</v>
      </c>
      <c r="AD166" s="37">
        <v>135.41</v>
      </c>
      <c r="AE166" s="36">
        <v>1279798.6100000001</v>
      </c>
      <c r="AF166" s="69">
        <f t="shared" si="54"/>
        <v>9451.2900000000009</v>
      </c>
      <c r="AG166" s="69">
        <f t="shared" si="55"/>
        <v>10333.43</v>
      </c>
      <c r="AH166" s="70">
        <f t="shared" si="52"/>
        <v>882.14</v>
      </c>
      <c r="AI166" s="37">
        <v>28.15</v>
      </c>
      <c r="AJ166" s="36">
        <v>261015.94</v>
      </c>
      <c r="AK166" s="69">
        <f t="shared" si="56"/>
        <v>9272.32</v>
      </c>
      <c r="AL166" s="69">
        <f t="shared" si="57"/>
        <v>9749.1</v>
      </c>
      <c r="AM166" s="70">
        <f t="shared" si="53"/>
        <v>476.78</v>
      </c>
      <c r="AN166" s="36">
        <v>0</v>
      </c>
      <c r="AO166" s="36">
        <v>0</v>
      </c>
    </row>
    <row r="167" spans="1:41" s="3" customFormat="1">
      <c r="A167" s="55" t="s">
        <v>551</v>
      </c>
      <c r="B167" s="55" t="s">
        <v>144</v>
      </c>
      <c r="C167" s="55" t="s">
        <v>988</v>
      </c>
      <c r="D167" s="36">
        <v>0</v>
      </c>
      <c r="E167" s="36">
        <v>0</v>
      </c>
      <c r="F167" s="36">
        <v>0</v>
      </c>
      <c r="G167" s="36">
        <v>766966.56</v>
      </c>
      <c r="H167" s="36">
        <v>163421.65</v>
      </c>
      <c r="I167" s="36">
        <v>138107.12</v>
      </c>
      <c r="J167" s="36">
        <v>167786.59</v>
      </c>
      <c r="K167" s="36">
        <v>0</v>
      </c>
      <c r="L167" s="36">
        <v>12890</v>
      </c>
      <c r="M167" s="36">
        <v>380451.75</v>
      </c>
      <c r="N167" s="49">
        <v>1.3599999999999999E-2</v>
      </c>
      <c r="O167" s="64">
        <v>0.26590000000000003</v>
      </c>
      <c r="P167" s="36">
        <v>0</v>
      </c>
      <c r="Q167" s="36">
        <v>0</v>
      </c>
      <c r="R167" s="36">
        <v>0</v>
      </c>
      <c r="S167" s="36">
        <v>0</v>
      </c>
      <c r="T167" s="36">
        <v>0</v>
      </c>
      <c r="U167" s="36">
        <v>0</v>
      </c>
      <c r="V167" s="36">
        <v>0</v>
      </c>
      <c r="W167" s="36">
        <v>0</v>
      </c>
      <c r="X167" s="36">
        <v>0</v>
      </c>
      <c r="Y167" s="36">
        <v>0</v>
      </c>
      <c r="Z167" s="36">
        <v>0</v>
      </c>
      <c r="AA167" s="36">
        <v>0</v>
      </c>
      <c r="AB167" s="36">
        <v>408878.77</v>
      </c>
      <c r="AC167" s="36">
        <v>981110.02</v>
      </c>
      <c r="AD167" s="37">
        <v>99.66</v>
      </c>
      <c r="AE167" s="36">
        <v>923383.96</v>
      </c>
      <c r="AF167" s="69">
        <f t="shared" si="54"/>
        <v>9265.34</v>
      </c>
      <c r="AG167" s="69">
        <f t="shared" si="55"/>
        <v>9844.57</v>
      </c>
      <c r="AH167" s="70">
        <f t="shared" si="52"/>
        <v>579.23</v>
      </c>
      <c r="AI167" s="37">
        <v>42.83</v>
      </c>
      <c r="AJ167" s="36">
        <v>388983.69</v>
      </c>
      <c r="AK167" s="69">
        <f t="shared" si="56"/>
        <v>9082.0400000000009</v>
      </c>
      <c r="AL167" s="69">
        <f t="shared" si="57"/>
        <v>9546.5499999999993</v>
      </c>
      <c r="AM167" s="70">
        <f t="shared" si="53"/>
        <v>464.51</v>
      </c>
      <c r="AN167" s="36">
        <v>0</v>
      </c>
      <c r="AO167" s="36">
        <v>0</v>
      </c>
    </row>
    <row r="168" spans="1:41" s="3" customFormat="1">
      <c r="A168" s="55" t="s">
        <v>483</v>
      </c>
      <c r="B168" s="55" t="s">
        <v>76</v>
      </c>
      <c r="C168" s="55" t="s">
        <v>989</v>
      </c>
      <c r="D168" s="36">
        <v>0</v>
      </c>
      <c r="E168" s="36">
        <v>0</v>
      </c>
      <c r="F168" s="36">
        <v>0</v>
      </c>
      <c r="G168" s="36">
        <v>16161166.060000001</v>
      </c>
      <c r="H168" s="36">
        <v>2878983.59</v>
      </c>
      <c r="I168" s="36">
        <v>2396672.79</v>
      </c>
      <c r="J168" s="36">
        <v>3778502.08</v>
      </c>
      <c r="K168" s="36">
        <v>2109450.7000000002</v>
      </c>
      <c r="L168" s="36">
        <v>0</v>
      </c>
      <c r="M168" s="36">
        <v>5649504.5499999998</v>
      </c>
      <c r="N168" s="49">
        <v>0.04</v>
      </c>
      <c r="O168" s="64">
        <v>0.16200000000000001</v>
      </c>
      <c r="P168" s="36">
        <v>0</v>
      </c>
      <c r="Q168" s="36">
        <v>0</v>
      </c>
      <c r="R168" s="36">
        <v>0</v>
      </c>
      <c r="S168" s="36">
        <v>0</v>
      </c>
      <c r="T168" s="36">
        <v>0</v>
      </c>
      <c r="U168" s="36">
        <v>0</v>
      </c>
      <c r="V168" s="36">
        <v>0</v>
      </c>
      <c r="W168" s="36">
        <v>0</v>
      </c>
      <c r="X168" s="36">
        <v>0</v>
      </c>
      <c r="Y168" s="36">
        <v>0</v>
      </c>
      <c r="Z168" s="36">
        <v>0</v>
      </c>
      <c r="AA168" s="36">
        <v>0</v>
      </c>
      <c r="AB168" s="36">
        <v>386641.87</v>
      </c>
      <c r="AC168" s="36">
        <v>5225817.2699999996</v>
      </c>
      <c r="AD168" s="37">
        <v>524.82000000000005</v>
      </c>
      <c r="AE168" s="36">
        <v>4862794.53</v>
      </c>
      <c r="AF168" s="69">
        <f t="shared" si="54"/>
        <v>9265.64</v>
      </c>
      <c r="AG168" s="69">
        <f t="shared" si="55"/>
        <v>9957.35</v>
      </c>
      <c r="AH168" s="70">
        <f t="shared" si="52"/>
        <v>691.71</v>
      </c>
      <c r="AI168" s="37">
        <v>40.5</v>
      </c>
      <c r="AJ168" s="36">
        <v>367890.06</v>
      </c>
      <c r="AK168" s="69">
        <f t="shared" si="56"/>
        <v>9083.7099999999991</v>
      </c>
      <c r="AL168" s="69">
        <f t="shared" si="57"/>
        <v>9546.7099999999991</v>
      </c>
      <c r="AM168" s="70">
        <f t="shared" si="53"/>
        <v>463</v>
      </c>
      <c r="AN168" s="36">
        <v>1700</v>
      </c>
      <c r="AO168" s="36">
        <v>0</v>
      </c>
    </row>
    <row r="169" spans="1:41" s="3" customFormat="1">
      <c r="A169" s="55" t="s">
        <v>550</v>
      </c>
      <c r="B169" s="55" t="s">
        <v>143</v>
      </c>
      <c r="C169" s="55" t="s">
        <v>990</v>
      </c>
      <c r="D169" s="36">
        <v>0</v>
      </c>
      <c r="E169" s="36">
        <v>7008.8</v>
      </c>
      <c r="F169" s="36">
        <v>6454.37</v>
      </c>
      <c r="G169" s="36">
        <v>1144007.23</v>
      </c>
      <c r="H169" s="36">
        <v>284897.46000000002</v>
      </c>
      <c r="I169" s="36">
        <v>197032.81</v>
      </c>
      <c r="J169" s="36">
        <v>261049.51</v>
      </c>
      <c r="K169" s="36">
        <v>117813.66</v>
      </c>
      <c r="L169" s="36">
        <v>0</v>
      </c>
      <c r="M169" s="36">
        <v>618027</v>
      </c>
      <c r="N169" s="49">
        <v>3.2099999999999997E-2</v>
      </c>
      <c r="O169" s="64">
        <v>0.16700000000000001</v>
      </c>
      <c r="P169" s="36">
        <v>0</v>
      </c>
      <c r="Q169" s="36">
        <v>0</v>
      </c>
      <c r="R169" s="36">
        <v>0</v>
      </c>
      <c r="S169" s="36">
        <v>0</v>
      </c>
      <c r="T169" s="36">
        <v>0</v>
      </c>
      <c r="U169" s="36">
        <v>0</v>
      </c>
      <c r="V169" s="36">
        <v>0</v>
      </c>
      <c r="W169" s="36">
        <v>0</v>
      </c>
      <c r="X169" s="36">
        <v>0</v>
      </c>
      <c r="Y169" s="36">
        <v>0</v>
      </c>
      <c r="Z169" s="36">
        <v>14245.04</v>
      </c>
      <c r="AA169" s="36">
        <v>37642.1</v>
      </c>
      <c r="AB169" s="36">
        <v>154651.48000000001</v>
      </c>
      <c r="AC169" s="36">
        <v>408703.42</v>
      </c>
      <c r="AD169" s="37">
        <v>39.619999999999997</v>
      </c>
      <c r="AE169" s="36">
        <v>367114.36</v>
      </c>
      <c r="AF169" s="69">
        <f t="shared" si="54"/>
        <v>9265.8799999999992</v>
      </c>
      <c r="AG169" s="69">
        <f t="shared" si="55"/>
        <v>10315.58</v>
      </c>
      <c r="AH169" s="70">
        <f t="shared" si="52"/>
        <v>1049.7</v>
      </c>
      <c r="AI169" s="37">
        <v>16.2</v>
      </c>
      <c r="AJ169" s="36">
        <v>147120.19</v>
      </c>
      <c r="AK169" s="69">
        <f t="shared" si="56"/>
        <v>9081.49</v>
      </c>
      <c r="AL169" s="69">
        <f t="shared" si="57"/>
        <v>9546.39</v>
      </c>
      <c r="AM169" s="70">
        <f t="shared" si="53"/>
        <v>464.9</v>
      </c>
      <c r="AN169" s="36">
        <v>0</v>
      </c>
      <c r="AO169" s="36">
        <v>0</v>
      </c>
    </row>
    <row r="170" spans="1:41" s="3" customFormat="1">
      <c r="A170" s="55" t="s">
        <v>707</v>
      </c>
      <c r="B170" s="55" t="s">
        <v>306</v>
      </c>
      <c r="C170" s="55" t="s">
        <v>991</v>
      </c>
      <c r="D170" s="36">
        <v>0</v>
      </c>
      <c r="E170" s="36">
        <v>0</v>
      </c>
      <c r="F170" s="36">
        <v>0</v>
      </c>
      <c r="G170" s="36">
        <v>1297309.07</v>
      </c>
      <c r="H170" s="36">
        <v>195082.91</v>
      </c>
      <c r="I170" s="36">
        <v>276647.5</v>
      </c>
      <c r="J170" s="36">
        <v>600522.18999999994</v>
      </c>
      <c r="K170" s="36">
        <v>217608.74</v>
      </c>
      <c r="L170" s="36">
        <v>25888.3</v>
      </c>
      <c r="M170" s="36">
        <v>1012083.85</v>
      </c>
      <c r="N170" s="49">
        <v>5.3900000000000003E-2</v>
      </c>
      <c r="O170" s="64">
        <v>0.19220000000000001</v>
      </c>
      <c r="P170" s="36">
        <v>0</v>
      </c>
      <c r="Q170" s="36">
        <v>0</v>
      </c>
      <c r="R170" s="36">
        <v>0</v>
      </c>
      <c r="S170" s="36">
        <v>0</v>
      </c>
      <c r="T170" s="36">
        <v>0</v>
      </c>
      <c r="U170" s="36">
        <v>0</v>
      </c>
      <c r="V170" s="36">
        <v>0</v>
      </c>
      <c r="W170" s="36">
        <v>0</v>
      </c>
      <c r="X170" s="36">
        <v>0</v>
      </c>
      <c r="Y170" s="36">
        <v>0</v>
      </c>
      <c r="Z170" s="36">
        <v>0</v>
      </c>
      <c r="AA170" s="36">
        <v>0</v>
      </c>
      <c r="AB170" s="36">
        <v>0</v>
      </c>
      <c r="AC170" s="36">
        <v>641020.56000000006</v>
      </c>
      <c r="AD170" s="37">
        <v>66.87</v>
      </c>
      <c r="AE170" s="36">
        <v>619696.51</v>
      </c>
      <c r="AF170" s="69">
        <f t="shared" si="54"/>
        <v>9267.18</v>
      </c>
      <c r="AG170" s="69">
        <f t="shared" si="55"/>
        <v>9586.07</v>
      </c>
      <c r="AH170" s="70">
        <f t="shared" si="52"/>
        <v>318.89</v>
      </c>
      <c r="AI170" s="37">
        <v>0</v>
      </c>
      <c r="AJ170" s="36">
        <v>0</v>
      </c>
      <c r="AK170" s="69">
        <f t="shared" si="56"/>
        <v>0</v>
      </c>
      <c r="AL170" s="69">
        <f t="shared" si="57"/>
        <v>0</v>
      </c>
      <c r="AM170" s="70">
        <f t="shared" si="53"/>
        <v>0</v>
      </c>
      <c r="AN170" s="36">
        <v>5500</v>
      </c>
      <c r="AO170" s="36">
        <v>0</v>
      </c>
    </row>
    <row r="171" spans="1:41" s="3" customFormat="1">
      <c r="A171" s="55" t="s">
        <v>681</v>
      </c>
      <c r="B171" s="55" t="s">
        <v>278</v>
      </c>
      <c r="C171" s="55" t="s">
        <v>992</v>
      </c>
      <c r="D171" s="36">
        <v>0</v>
      </c>
      <c r="E171" s="36">
        <v>43803.12</v>
      </c>
      <c r="F171" s="36">
        <v>261.13</v>
      </c>
      <c r="G171" s="36">
        <v>3122294.53</v>
      </c>
      <c r="H171" s="36">
        <v>555372.56000000006</v>
      </c>
      <c r="I171" s="36">
        <v>268018.23</v>
      </c>
      <c r="J171" s="36">
        <v>609878.23</v>
      </c>
      <c r="K171" s="36">
        <v>172396.47</v>
      </c>
      <c r="L171" s="36">
        <v>50937.16</v>
      </c>
      <c r="M171" s="36">
        <v>2252898.7799999998</v>
      </c>
      <c r="N171" s="49">
        <v>3.6600000000000001E-2</v>
      </c>
      <c r="O171" s="64">
        <v>0.1678</v>
      </c>
      <c r="P171" s="36">
        <v>0</v>
      </c>
      <c r="Q171" s="36">
        <v>0</v>
      </c>
      <c r="R171" s="36">
        <v>0</v>
      </c>
      <c r="S171" s="36">
        <v>0</v>
      </c>
      <c r="T171" s="36">
        <v>0</v>
      </c>
      <c r="U171" s="36">
        <v>0</v>
      </c>
      <c r="V171" s="36">
        <v>0</v>
      </c>
      <c r="W171" s="36">
        <v>0</v>
      </c>
      <c r="X171" s="36">
        <v>0</v>
      </c>
      <c r="Y171" s="36">
        <v>0</v>
      </c>
      <c r="Z171" s="36">
        <v>0</v>
      </c>
      <c r="AA171" s="36">
        <v>0</v>
      </c>
      <c r="AB171" s="36">
        <v>45933.17</v>
      </c>
      <c r="AC171" s="36">
        <v>832178.92</v>
      </c>
      <c r="AD171" s="37">
        <v>81.44</v>
      </c>
      <c r="AE171" s="36">
        <v>785719.12</v>
      </c>
      <c r="AF171" s="69">
        <f t="shared" si="54"/>
        <v>9647.83</v>
      </c>
      <c r="AG171" s="69">
        <f t="shared" si="55"/>
        <v>10218.31</v>
      </c>
      <c r="AH171" s="70">
        <f t="shared" si="52"/>
        <v>570.48</v>
      </c>
      <c r="AI171" s="37">
        <v>4.6100000000000003</v>
      </c>
      <c r="AJ171" s="36">
        <v>43549.69</v>
      </c>
      <c r="AK171" s="69">
        <f t="shared" si="56"/>
        <v>9446.7900000000009</v>
      </c>
      <c r="AL171" s="69">
        <f t="shared" si="57"/>
        <v>9963.81</v>
      </c>
      <c r="AM171" s="70">
        <f t="shared" si="53"/>
        <v>517.02</v>
      </c>
      <c r="AN171" s="36">
        <v>0</v>
      </c>
      <c r="AO171" s="36">
        <v>0</v>
      </c>
    </row>
    <row r="172" spans="1:41" s="3" customFormat="1">
      <c r="A172" s="55" t="s">
        <v>619</v>
      </c>
      <c r="B172" s="55" t="s">
        <v>213</v>
      </c>
      <c r="C172" s="55" t="s">
        <v>993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17206.95</v>
      </c>
      <c r="K172" s="36">
        <v>0</v>
      </c>
      <c r="L172" s="36">
        <v>0</v>
      </c>
      <c r="M172" s="36">
        <v>80196.929999999993</v>
      </c>
      <c r="N172" s="49">
        <v>4.7E-2</v>
      </c>
      <c r="O172" s="64">
        <v>0.28070000000000001</v>
      </c>
      <c r="P172" s="36">
        <v>0</v>
      </c>
      <c r="Q172" s="36">
        <v>0</v>
      </c>
      <c r="R172" s="36">
        <v>0</v>
      </c>
      <c r="S172" s="36">
        <v>0</v>
      </c>
      <c r="T172" s="36">
        <v>0</v>
      </c>
      <c r="U172" s="36">
        <v>0</v>
      </c>
      <c r="V172" s="36">
        <v>0</v>
      </c>
      <c r="W172" s="36">
        <v>0</v>
      </c>
      <c r="X172" s="36">
        <v>0</v>
      </c>
      <c r="Y172" s="36">
        <v>0</v>
      </c>
      <c r="Z172" s="36">
        <v>0</v>
      </c>
      <c r="AA172" s="36">
        <v>0</v>
      </c>
      <c r="AB172" s="36">
        <v>0</v>
      </c>
      <c r="AC172" s="36">
        <v>0</v>
      </c>
      <c r="AD172" s="37">
        <v>0</v>
      </c>
      <c r="AE172" s="36">
        <v>0</v>
      </c>
      <c r="AF172" s="69">
        <f t="shared" si="54"/>
        <v>0</v>
      </c>
      <c r="AG172" s="69">
        <f t="shared" si="55"/>
        <v>0</v>
      </c>
      <c r="AH172" s="70">
        <f t="shared" si="52"/>
        <v>0</v>
      </c>
      <c r="AI172" s="37">
        <v>0</v>
      </c>
      <c r="AJ172" s="36">
        <v>0</v>
      </c>
      <c r="AK172" s="69">
        <f t="shared" si="56"/>
        <v>0</v>
      </c>
      <c r="AL172" s="69">
        <f t="shared" si="57"/>
        <v>0</v>
      </c>
      <c r="AM172" s="70">
        <f t="shared" si="53"/>
        <v>0</v>
      </c>
      <c r="AN172" s="36">
        <v>0</v>
      </c>
      <c r="AO172" s="36">
        <v>0</v>
      </c>
    </row>
    <row r="173" spans="1:41" s="3" customFormat="1">
      <c r="A173" s="55" t="s">
        <v>617</v>
      </c>
      <c r="B173" s="55" t="s">
        <v>211</v>
      </c>
      <c r="C173" s="55" t="s">
        <v>994</v>
      </c>
      <c r="D173" s="36">
        <v>0</v>
      </c>
      <c r="E173" s="36">
        <v>309591.93</v>
      </c>
      <c r="F173" s="36">
        <v>91684.160000000003</v>
      </c>
      <c r="G173" s="36">
        <v>12731631.630000001</v>
      </c>
      <c r="H173" s="36">
        <v>2381372.33</v>
      </c>
      <c r="I173" s="36">
        <v>2119207.7400000002</v>
      </c>
      <c r="J173" s="36">
        <v>3306590.72</v>
      </c>
      <c r="K173" s="36">
        <v>3444307.8</v>
      </c>
      <c r="L173" s="36">
        <v>220519.11</v>
      </c>
      <c r="M173" s="36">
        <v>4694230.2699999996</v>
      </c>
      <c r="N173" s="49">
        <v>2.7699999999999999E-2</v>
      </c>
      <c r="O173" s="64">
        <v>0.1242</v>
      </c>
      <c r="P173" s="36">
        <v>0</v>
      </c>
      <c r="Q173" s="36">
        <v>0</v>
      </c>
      <c r="R173" s="36">
        <v>0</v>
      </c>
      <c r="S173" s="36">
        <v>0</v>
      </c>
      <c r="T173" s="36">
        <v>0</v>
      </c>
      <c r="U173" s="36">
        <v>0</v>
      </c>
      <c r="V173" s="36">
        <v>0</v>
      </c>
      <c r="W173" s="36">
        <v>0</v>
      </c>
      <c r="X173" s="36">
        <v>0</v>
      </c>
      <c r="Y173" s="36">
        <v>0</v>
      </c>
      <c r="Z173" s="36">
        <v>0</v>
      </c>
      <c r="AA173" s="36">
        <v>157651.51999999999</v>
      </c>
      <c r="AB173" s="36">
        <v>318178.26</v>
      </c>
      <c r="AC173" s="36">
        <v>4997129.0999999996</v>
      </c>
      <c r="AD173" s="37">
        <v>474.64</v>
      </c>
      <c r="AE173" s="36">
        <v>4761264.41</v>
      </c>
      <c r="AF173" s="69">
        <f t="shared" si="54"/>
        <v>10031.32</v>
      </c>
      <c r="AG173" s="69">
        <f t="shared" si="55"/>
        <v>10528.25</v>
      </c>
      <c r="AH173" s="70">
        <f t="shared" si="52"/>
        <v>496.93</v>
      </c>
      <c r="AI173" s="37">
        <v>30.74</v>
      </c>
      <c r="AJ173" s="36">
        <v>302793.46000000002</v>
      </c>
      <c r="AK173" s="69">
        <f t="shared" si="56"/>
        <v>9850.15</v>
      </c>
      <c r="AL173" s="69">
        <f t="shared" si="57"/>
        <v>10350.629999999999</v>
      </c>
      <c r="AM173" s="70">
        <f t="shared" si="53"/>
        <v>500.48</v>
      </c>
      <c r="AN173" s="36">
        <v>0</v>
      </c>
      <c r="AO173" s="36">
        <v>0</v>
      </c>
    </row>
    <row r="174" spans="1:41" s="3" customFormat="1">
      <c r="A174" s="55" t="s">
        <v>799</v>
      </c>
      <c r="B174" s="55" t="s">
        <v>411</v>
      </c>
      <c r="C174" s="58" t="s">
        <v>995</v>
      </c>
      <c r="D174" s="36">
        <v>94735.26</v>
      </c>
      <c r="E174" s="36">
        <v>28225.11</v>
      </c>
      <c r="F174" s="36">
        <v>0</v>
      </c>
      <c r="G174" s="36">
        <v>898293.42</v>
      </c>
      <c r="H174" s="36">
        <v>152003.03</v>
      </c>
      <c r="I174" s="36">
        <v>186795.47</v>
      </c>
      <c r="J174" s="36">
        <v>306024.07</v>
      </c>
      <c r="K174" s="36">
        <v>0</v>
      </c>
      <c r="L174" s="36">
        <v>0</v>
      </c>
      <c r="M174" s="36">
        <v>451389.76</v>
      </c>
      <c r="N174" s="49">
        <v>3.5000000000000003E-2</v>
      </c>
      <c r="O174" s="64">
        <v>0.14979999999999999</v>
      </c>
      <c r="P174" s="36">
        <v>0</v>
      </c>
      <c r="Q174" s="36">
        <v>0</v>
      </c>
      <c r="R174" s="36">
        <v>0</v>
      </c>
      <c r="S174" s="36">
        <v>0</v>
      </c>
      <c r="T174" s="36">
        <v>0</v>
      </c>
      <c r="U174" s="36">
        <v>0</v>
      </c>
      <c r="V174" s="36">
        <v>0</v>
      </c>
      <c r="W174" s="36">
        <v>0</v>
      </c>
      <c r="X174" s="36">
        <v>0</v>
      </c>
      <c r="Y174" s="36">
        <v>0</v>
      </c>
      <c r="Z174" s="36">
        <v>0</v>
      </c>
      <c r="AA174" s="36">
        <v>0</v>
      </c>
      <c r="AB174" s="36">
        <v>0</v>
      </c>
      <c r="AC174" s="36">
        <v>235999.61</v>
      </c>
      <c r="AD174" s="37">
        <v>22.43</v>
      </c>
      <c r="AE174" s="36">
        <v>225151.8</v>
      </c>
      <c r="AF174" s="69">
        <f t="shared" si="54"/>
        <v>10037.98</v>
      </c>
      <c r="AG174" s="69">
        <f t="shared" si="55"/>
        <v>10521.61</v>
      </c>
      <c r="AH174" s="70">
        <f t="shared" si="52"/>
        <v>483.63</v>
      </c>
      <c r="AI174" s="37">
        <v>0</v>
      </c>
      <c r="AJ174" s="36">
        <v>0</v>
      </c>
      <c r="AK174" s="69">
        <f t="shared" si="56"/>
        <v>0</v>
      </c>
      <c r="AL174" s="69">
        <f t="shared" si="57"/>
        <v>0</v>
      </c>
      <c r="AM174" s="70">
        <f t="shared" si="53"/>
        <v>0</v>
      </c>
      <c r="AN174" s="36">
        <v>0</v>
      </c>
      <c r="AO174" s="36">
        <v>0</v>
      </c>
    </row>
    <row r="175" spans="1:41" s="3" customFormat="1">
      <c r="A175" s="55" t="s">
        <v>624</v>
      </c>
      <c r="B175" s="55" t="s">
        <v>218</v>
      </c>
      <c r="C175" s="55" t="s">
        <v>996</v>
      </c>
      <c r="D175" s="36">
        <v>0</v>
      </c>
      <c r="E175" s="36">
        <v>570116.57999999996</v>
      </c>
      <c r="F175" s="36">
        <v>0</v>
      </c>
      <c r="G175" s="36">
        <v>29310097.370000001</v>
      </c>
      <c r="H175" s="36">
        <v>5993680.5199999996</v>
      </c>
      <c r="I175" s="36">
        <v>3035241.57</v>
      </c>
      <c r="J175" s="36">
        <v>6079999.9800000004</v>
      </c>
      <c r="K175" s="36">
        <v>8206346.2999999998</v>
      </c>
      <c r="L175" s="36">
        <v>547342.76</v>
      </c>
      <c r="M175" s="36">
        <v>12763076.75</v>
      </c>
      <c r="N175" s="49">
        <v>4.2599999999999999E-2</v>
      </c>
      <c r="O175" s="64">
        <v>0.1191</v>
      </c>
      <c r="P175" s="36">
        <v>0</v>
      </c>
      <c r="Q175" s="36">
        <v>0</v>
      </c>
      <c r="R175" s="36">
        <v>0</v>
      </c>
      <c r="S175" s="36">
        <v>0</v>
      </c>
      <c r="T175" s="36">
        <v>0</v>
      </c>
      <c r="U175" s="36">
        <v>0</v>
      </c>
      <c r="V175" s="36">
        <v>0</v>
      </c>
      <c r="W175" s="36">
        <v>0</v>
      </c>
      <c r="X175" s="36">
        <v>0</v>
      </c>
      <c r="Y175" s="36">
        <v>0</v>
      </c>
      <c r="Z175" s="36">
        <v>176096.61</v>
      </c>
      <c r="AA175" s="36">
        <v>469848.37</v>
      </c>
      <c r="AB175" s="36">
        <v>1957924.53</v>
      </c>
      <c r="AC175" s="36">
        <v>6105546.0300000003</v>
      </c>
      <c r="AD175" s="37">
        <v>531.20000000000005</v>
      </c>
      <c r="AE175" s="36">
        <v>5532181.0999999996</v>
      </c>
      <c r="AF175" s="69">
        <f t="shared" si="54"/>
        <v>10414.5</v>
      </c>
      <c r="AG175" s="69">
        <f t="shared" si="55"/>
        <v>11493.87</v>
      </c>
      <c r="AH175" s="70">
        <f t="shared" si="52"/>
        <v>1079.3699999999999</v>
      </c>
      <c r="AI175" s="37">
        <v>182.08</v>
      </c>
      <c r="AJ175" s="36">
        <v>1863694.99</v>
      </c>
      <c r="AK175" s="69">
        <f t="shared" si="56"/>
        <v>10235.58</v>
      </c>
      <c r="AL175" s="69">
        <f t="shared" si="57"/>
        <v>10753.1</v>
      </c>
      <c r="AM175" s="70">
        <f t="shared" si="53"/>
        <v>517.52</v>
      </c>
      <c r="AN175" s="36">
        <v>6600</v>
      </c>
      <c r="AO175" s="36">
        <v>0</v>
      </c>
    </row>
    <row r="176" spans="1:41" s="3" customFormat="1">
      <c r="A176" s="55" t="s">
        <v>696</v>
      </c>
      <c r="B176" s="55" t="s">
        <v>293</v>
      </c>
      <c r="C176" s="55" t="s">
        <v>997</v>
      </c>
      <c r="D176" s="36">
        <v>0</v>
      </c>
      <c r="E176" s="36">
        <v>46596.19</v>
      </c>
      <c r="F176" s="36">
        <v>39230.14</v>
      </c>
      <c r="G176" s="36">
        <v>2190739.7000000002</v>
      </c>
      <c r="H176" s="36">
        <v>244912.19</v>
      </c>
      <c r="I176" s="36">
        <v>411613.34</v>
      </c>
      <c r="J176" s="36">
        <v>483645.66</v>
      </c>
      <c r="K176" s="36">
        <v>131780.70000000001</v>
      </c>
      <c r="L176" s="36">
        <v>0</v>
      </c>
      <c r="M176" s="36">
        <v>1156006.1100000001</v>
      </c>
      <c r="N176" s="49">
        <v>4.7600000000000003E-2</v>
      </c>
      <c r="O176" s="64">
        <v>0.2223</v>
      </c>
      <c r="P176" s="36">
        <v>0</v>
      </c>
      <c r="Q176" s="36">
        <v>0</v>
      </c>
      <c r="R176" s="36">
        <v>0</v>
      </c>
      <c r="S176" s="36">
        <v>0</v>
      </c>
      <c r="T176" s="36">
        <v>0</v>
      </c>
      <c r="U176" s="36">
        <v>0</v>
      </c>
      <c r="V176" s="36">
        <v>0</v>
      </c>
      <c r="W176" s="36">
        <v>0</v>
      </c>
      <c r="X176" s="36">
        <v>0</v>
      </c>
      <c r="Y176" s="36">
        <v>0</v>
      </c>
      <c r="Z176" s="36">
        <v>1621.95</v>
      </c>
      <c r="AA176" s="36">
        <v>51535.55</v>
      </c>
      <c r="AB176" s="36">
        <v>609841.84</v>
      </c>
      <c r="AC176" s="36">
        <v>1043526.51</v>
      </c>
      <c r="AD176" s="37">
        <v>107.33</v>
      </c>
      <c r="AE176" s="36">
        <v>994531.93</v>
      </c>
      <c r="AF176" s="69">
        <f t="shared" si="54"/>
        <v>9266.11</v>
      </c>
      <c r="AG176" s="69">
        <f t="shared" si="55"/>
        <v>9722.6</v>
      </c>
      <c r="AH176" s="70">
        <f t="shared" si="52"/>
        <v>456.49</v>
      </c>
      <c r="AI176" s="37">
        <v>63.87</v>
      </c>
      <c r="AJ176" s="36">
        <v>580120.05000000005</v>
      </c>
      <c r="AK176" s="69">
        <f t="shared" si="56"/>
        <v>9082.83</v>
      </c>
      <c r="AL176" s="69">
        <f t="shared" si="57"/>
        <v>9548.17</v>
      </c>
      <c r="AM176" s="70">
        <f t="shared" si="53"/>
        <v>465.34</v>
      </c>
      <c r="AN176" s="36">
        <v>105000</v>
      </c>
      <c r="AO176" s="36">
        <v>0</v>
      </c>
    </row>
    <row r="177" spans="1:41" s="3" customFormat="1">
      <c r="A177" s="55" t="s">
        <v>548</v>
      </c>
      <c r="B177" s="55" t="s">
        <v>141</v>
      </c>
      <c r="C177" s="55" t="s">
        <v>998</v>
      </c>
      <c r="D177" s="36">
        <v>0</v>
      </c>
      <c r="E177" s="36">
        <v>0</v>
      </c>
      <c r="F177" s="36">
        <v>0</v>
      </c>
      <c r="G177" s="36">
        <v>1303618.55</v>
      </c>
      <c r="H177" s="36">
        <v>139282.06</v>
      </c>
      <c r="I177" s="36">
        <v>123917.28</v>
      </c>
      <c r="J177" s="36">
        <v>260182.96</v>
      </c>
      <c r="K177" s="36">
        <v>35290.79</v>
      </c>
      <c r="L177" s="36">
        <v>25455.05</v>
      </c>
      <c r="M177" s="36">
        <v>420187.84</v>
      </c>
      <c r="N177" s="49">
        <v>3.4799999999999998E-2</v>
      </c>
      <c r="O177" s="64">
        <v>0.1895</v>
      </c>
      <c r="P177" s="36">
        <v>0</v>
      </c>
      <c r="Q177" s="36">
        <v>0</v>
      </c>
      <c r="R177" s="36">
        <v>0</v>
      </c>
      <c r="S177" s="36">
        <v>0</v>
      </c>
      <c r="T177" s="36">
        <v>0</v>
      </c>
      <c r="U177" s="36">
        <v>0</v>
      </c>
      <c r="V177" s="36">
        <v>0</v>
      </c>
      <c r="W177" s="36">
        <v>0</v>
      </c>
      <c r="X177" s="36">
        <v>0</v>
      </c>
      <c r="Y177" s="36">
        <v>0</v>
      </c>
      <c r="Z177" s="36">
        <v>18886.38</v>
      </c>
      <c r="AA177" s="36">
        <v>112556.64</v>
      </c>
      <c r="AB177" s="36">
        <v>393744.52</v>
      </c>
      <c r="AC177" s="36">
        <v>1242457.06</v>
      </c>
      <c r="AD177" s="37">
        <v>124.27</v>
      </c>
      <c r="AE177" s="36">
        <v>1151413.48</v>
      </c>
      <c r="AF177" s="69">
        <f t="shared" si="54"/>
        <v>9265.42</v>
      </c>
      <c r="AG177" s="69">
        <f t="shared" si="55"/>
        <v>9998.0499999999993</v>
      </c>
      <c r="AH177" s="70">
        <f t="shared" si="52"/>
        <v>732.63</v>
      </c>
      <c r="AI177" s="37">
        <v>41.24</v>
      </c>
      <c r="AJ177" s="36">
        <v>374762.98</v>
      </c>
      <c r="AK177" s="69">
        <f t="shared" si="56"/>
        <v>9087.3700000000008</v>
      </c>
      <c r="AL177" s="69">
        <f t="shared" si="57"/>
        <v>9547.64</v>
      </c>
      <c r="AM177" s="70">
        <f t="shared" si="53"/>
        <v>460.27</v>
      </c>
      <c r="AN177" s="36">
        <v>0</v>
      </c>
      <c r="AO177" s="36">
        <v>0</v>
      </c>
    </row>
    <row r="178" spans="1:41" s="3" customFormat="1">
      <c r="A178" s="55" t="s">
        <v>781</v>
      </c>
      <c r="B178" s="55" t="s">
        <v>180</v>
      </c>
      <c r="C178" s="55" t="s">
        <v>999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99420.83</v>
      </c>
      <c r="J178" s="36">
        <v>115153.35</v>
      </c>
      <c r="K178" s="36">
        <v>16883.52</v>
      </c>
      <c r="L178" s="36">
        <v>9942.08</v>
      </c>
      <c r="M178" s="36">
        <v>376247.4</v>
      </c>
      <c r="N178" s="49">
        <v>1.89E-2</v>
      </c>
      <c r="O178" s="64">
        <v>0.20419999999999999</v>
      </c>
      <c r="P178" s="36">
        <v>0</v>
      </c>
      <c r="Q178" s="36">
        <v>0</v>
      </c>
      <c r="R178" s="36">
        <v>0</v>
      </c>
      <c r="S178" s="36">
        <v>0</v>
      </c>
      <c r="T178" s="36">
        <v>0</v>
      </c>
      <c r="U178" s="36">
        <v>0</v>
      </c>
      <c r="V178" s="36">
        <v>0</v>
      </c>
      <c r="W178" s="36">
        <v>0</v>
      </c>
      <c r="X178" s="36">
        <v>0</v>
      </c>
      <c r="Y178" s="36">
        <v>0</v>
      </c>
      <c r="Z178" s="36">
        <v>0</v>
      </c>
      <c r="AA178" s="36">
        <v>0</v>
      </c>
      <c r="AB178" s="36">
        <v>61722.51</v>
      </c>
      <c r="AC178" s="36">
        <v>142680.65</v>
      </c>
      <c r="AD178" s="37">
        <v>13.92</v>
      </c>
      <c r="AE178" s="36">
        <v>129692.31</v>
      </c>
      <c r="AF178" s="69">
        <f t="shared" si="54"/>
        <v>9316.98</v>
      </c>
      <c r="AG178" s="69">
        <f t="shared" si="55"/>
        <v>10250.049999999999</v>
      </c>
      <c r="AH178" s="70">
        <f t="shared" si="52"/>
        <v>933.07</v>
      </c>
      <c r="AI178" s="37">
        <v>6.43</v>
      </c>
      <c r="AJ178" s="36">
        <v>58597.19</v>
      </c>
      <c r="AK178" s="69">
        <f t="shared" si="56"/>
        <v>9113.09</v>
      </c>
      <c r="AL178" s="69">
        <f t="shared" si="57"/>
        <v>9599.15</v>
      </c>
      <c r="AM178" s="70">
        <f t="shared" si="53"/>
        <v>486.06</v>
      </c>
      <c r="AN178" s="36">
        <v>0</v>
      </c>
      <c r="AO178" s="36">
        <v>0</v>
      </c>
    </row>
    <row r="179" spans="1:41" s="3" customFormat="1">
      <c r="A179" s="55" t="s">
        <v>576</v>
      </c>
      <c r="B179" s="55" t="s">
        <v>169</v>
      </c>
      <c r="C179" s="55" t="s">
        <v>1000</v>
      </c>
      <c r="D179" s="36">
        <v>0</v>
      </c>
      <c r="E179" s="36">
        <v>0</v>
      </c>
      <c r="F179" s="36">
        <v>323.82</v>
      </c>
      <c r="G179" s="36">
        <v>386479.34</v>
      </c>
      <c r="H179" s="36">
        <v>42662.21</v>
      </c>
      <c r="I179" s="36">
        <v>39861.5</v>
      </c>
      <c r="J179" s="36">
        <v>86980.41</v>
      </c>
      <c r="K179" s="36">
        <v>0</v>
      </c>
      <c r="L179" s="36">
        <v>0</v>
      </c>
      <c r="M179" s="36">
        <v>210574.03</v>
      </c>
      <c r="N179" s="49">
        <v>6.8500000000000005E-2</v>
      </c>
      <c r="O179" s="64">
        <v>0.27229999999999999</v>
      </c>
      <c r="P179" s="36">
        <v>0</v>
      </c>
      <c r="Q179" s="36">
        <v>0</v>
      </c>
      <c r="R179" s="36">
        <v>0</v>
      </c>
      <c r="S179" s="36">
        <v>0</v>
      </c>
      <c r="T179" s="36">
        <v>0</v>
      </c>
      <c r="U179" s="36">
        <v>0</v>
      </c>
      <c r="V179" s="36">
        <v>0</v>
      </c>
      <c r="W179" s="36">
        <v>0</v>
      </c>
      <c r="X179" s="36">
        <v>0</v>
      </c>
      <c r="Y179" s="36">
        <v>0</v>
      </c>
      <c r="Z179" s="36">
        <v>1936.65</v>
      </c>
      <c r="AA179" s="36">
        <v>0</v>
      </c>
      <c r="AB179" s="36">
        <v>90324.94</v>
      </c>
      <c r="AC179" s="36">
        <v>23196.83</v>
      </c>
      <c r="AD179" s="37">
        <v>2.42</v>
      </c>
      <c r="AE179" s="36">
        <v>22468.66</v>
      </c>
      <c r="AF179" s="69">
        <f t="shared" si="54"/>
        <v>9284.57</v>
      </c>
      <c r="AG179" s="69">
        <f t="shared" si="55"/>
        <v>9585.4699999999993</v>
      </c>
      <c r="AH179" s="70">
        <f t="shared" si="52"/>
        <v>300.89999999999998</v>
      </c>
      <c r="AI179" s="37">
        <v>9.4600000000000009</v>
      </c>
      <c r="AJ179" s="36">
        <v>86030.67</v>
      </c>
      <c r="AK179" s="69">
        <f t="shared" si="56"/>
        <v>9094.15</v>
      </c>
      <c r="AL179" s="69">
        <f t="shared" si="57"/>
        <v>9548.09</v>
      </c>
      <c r="AM179" s="70">
        <f t="shared" si="53"/>
        <v>453.94</v>
      </c>
      <c r="AN179" s="36">
        <v>0</v>
      </c>
      <c r="AO179" s="36">
        <v>0</v>
      </c>
    </row>
    <row r="180" spans="1:41" s="3" customFormat="1">
      <c r="A180" s="55" t="s">
        <v>589</v>
      </c>
      <c r="B180" s="55" t="s">
        <v>183</v>
      </c>
      <c r="C180" s="55" t="s">
        <v>1001</v>
      </c>
      <c r="D180" s="36">
        <v>65576.73</v>
      </c>
      <c r="E180" s="36">
        <v>7367.28</v>
      </c>
      <c r="F180" s="36">
        <v>1204.4000000000001</v>
      </c>
      <c r="G180" s="36">
        <v>2249839.5499999998</v>
      </c>
      <c r="H180" s="36">
        <v>381137.12</v>
      </c>
      <c r="I180" s="36">
        <v>347813.26</v>
      </c>
      <c r="J180" s="36">
        <v>494802.55</v>
      </c>
      <c r="K180" s="36">
        <v>0</v>
      </c>
      <c r="L180" s="36">
        <v>36503.61</v>
      </c>
      <c r="M180" s="36">
        <v>872709.5</v>
      </c>
      <c r="N180" s="49">
        <v>2.1999999999999999E-2</v>
      </c>
      <c r="O180" s="64">
        <v>0.1782</v>
      </c>
      <c r="P180" s="36">
        <v>0</v>
      </c>
      <c r="Q180" s="36">
        <v>0</v>
      </c>
      <c r="R180" s="36">
        <v>0</v>
      </c>
      <c r="S180" s="36">
        <v>0</v>
      </c>
      <c r="T180" s="36">
        <v>0</v>
      </c>
      <c r="U180" s="36">
        <v>0</v>
      </c>
      <c r="V180" s="36">
        <v>0</v>
      </c>
      <c r="W180" s="36">
        <v>0</v>
      </c>
      <c r="X180" s="36">
        <v>0</v>
      </c>
      <c r="Y180" s="36">
        <v>0</v>
      </c>
      <c r="Z180" s="36">
        <v>1267.73</v>
      </c>
      <c r="AA180" s="36">
        <v>0</v>
      </c>
      <c r="AB180" s="36">
        <v>278021.59000000003</v>
      </c>
      <c r="AC180" s="36">
        <v>924867.98</v>
      </c>
      <c r="AD180" s="37">
        <v>95.45</v>
      </c>
      <c r="AE180" s="36">
        <v>884472.45</v>
      </c>
      <c r="AF180" s="69">
        <f t="shared" si="54"/>
        <v>9266.34</v>
      </c>
      <c r="AG180" s="69">
        <f t="shared" si="55"/>
        <v>9689.5499999999993</v>
      </c>
      <c r="AH180" s="70">
        <f t="shared" si="52"/>
        <v>423.21</v>
      </c>
      <c r="AI180" s="37">
        <v>29.11</v>
      </c>
      <c r="AJ180" s="36">
        <v>264497.05</v>
      </c>
      <c r="AK180" s="69">
        <f t="shared" si="56"/>
        <v>9086.1200000000008</v>
      </c>
      <c r="AL180" s="69">
        <f t="shared" si="57"/>
        <v>9550.7199999999993</v>
      </c>
      <c r="AM180" s="70">
        <f t="shared" si="53"/>
        <v>464.6</v>
      </c>
      <c r="AN180" s="36">
        <v>0</v>
      </c>
      <c r="AO180" s="36">
        <v>0</v>
      </c>
    </row>
    <row r="181" spans="1:41" s="3" customFormat="1">
      <c r="A181" s="55" t="s">
        <v>639</v>
      </c>
      <c r="B181" s="55" t="s">
        <v>233</v>
      </c>
      <c r="C181" s="55" t="s">
        <v>1002</v>
      </c>
      <c r="D181" s="36">
        <v>0</v>
      </c>
      <c r="E181" s="36">
        <v>0</v>
      </c>
      <c r="F181" s="36">
        <v>0</v>
      </c>
      <c r="G181" s="36">
        <v>2185057.96</v>
      </c>
      <c r="H181" s="36">
        <v>331902.76</v>
      </c>
      <c r="I181" s="36">
        <v>0</v>
      </c>
      <c r="J181" s="36">
        <v>331575.78999999998</v>
      </c>
      <c r="K181" s="36">
        <v>23052.17</v>
      </c>
      <c r="L181" s="36">
        <v>44038.29</v>
      </c>
      <c r="M181" s="36">
        <v>1465304.76</v>
      </c>
      <c r="N181" s="49">
        <v>2.86E-2</v>
      </c>
      <c r="O181" s="64">
        <v>0.19700000000000001</v>
      </c>
      <c r="P181" s="36">
        <v>0</v>
      </c>
      <c r="Q181" s="36">
        <v>0</v>
      </c>
      <c r="R181" s="36">
        <v>0</v>
      </c>
      <c r="S181" s="36">
        <v>0</v>
      </c>
      <c r="T181" s="36">
        <v>0</v>
      </c>
      <c r="U181" s="36">
        <v>0</v>
      </c>
      <c r="V181" s="36">
        <v>0</v>
      </c>
      <c r="W181" s="36">
        <v>0</v>
      </c>
      <c r="X181" s="36">
        <v>0</v>
      </c>
      <c r="Y181" s="36">
        <v>0</v>
      </c>
      <c r="Z181" s="36">
        <v>0</v>
      </c>
      <c r="AA181" s="36">
        <v>0</v>
      </c>
      <c r="AB181" s="36">
        <v>54241.65</v>
      </c>
      <c r="AC181" s="36">
        <v>1003549.52</v>
      </c>
      <c r="AD181" s="37">
        <v>99.29</v>
      </c>
      <c r="AE181" s="36">
        <v>938329.54</v>
      </c>
      <c r="AF181" s="69">
        <f t="shared" si="54"/>
        <v>9450.39</v>
      </c>
      <c r="AG181" s="69">
        <f t="shared" si="55"/>
        <v>10107.26</v>
      </c>
      <c r="AH181" s="70">
        <f t="shared" si="52"/>
        <v>656.87</v>
      </c>
      <c r="AI181" s="37">
        <v>5.55</v>
      </c>
      <c r="AJ181" s="36">
        <v>51367.44</v>
      </c>
      <c r="AK181" s="69">
        <f t="shared" si="56"/>
        <v>9255.39</v>
      </c>
      <c r="AL181" s="69">
        <f t="shared" si="57"/>
        <v>9773.27</v>
      </c>
      <c r="AM181" s="70">
        <f t="shared" si="53"/>
        <v>517.88</v>
      </c>
      <c r="AN181" s="36">
        <v>0</v>
      </c>
      <c r="AO181" s="36">
        <v>0</v>
      </c>
    </row>
    <row r="182" spans="1:41" s="3" customFormat="1">
      <c r="A182" s="55" t="s">
        <v>680</v>
      </c>
      <c r="B182" s="55" t="s">
        <v>277</v>
      </c>
      <c r="C182" s="55" t="s">
        <v>1003</v>
      </c>
      <c r="D182" s="36">
        <v>0</v>
      </c>
      <c r="E182" s="36">
        <v>74053.27</v>
      </c>
      <c r="F182" s="36">
        <v>21607.66</v>
      </c>
      <c r="G182" s="36">
        <v>4097885.3</v>
      </c>
      <c r="H182" s="36">
        <v>839456.19</v>
      </c>
      <c r="I182" s="36">
        <v>644292.15</v>
      </c>
      <c r="J182" s="36">
        <v>710954.85</v>
      </c>
      <c r="K182" s="36">
        <v>549268.41</v>
      </c>
      <c r="L182" s="36">
        <v>63358.06</v>
      </c>
      <c r="M182" s="36">
        <v>1813573.4</v>
      </c>
      <c r="N182" s="49">
        <v>2.12E-2</v>
      </c>
      <c r="O182" s="64">
        <v>0.1452</v>
      </c>
      <c r="P182" s="36">
        <v>0</v>
      </c>
      <c r="Q182" s="36">
        <v>0</v>
      </c>
      <c r="R182" s="36">
        <v>0</v>
      </c>
      <c r="S182" s="36">
        <v>0</v>
      </c>
      <c r="T182" s="36">
        <v>0</v>
      </c>
      <c r="U182" s="36">
        <v>0</v>
      </c>
      <c r="V182" s="36">
        <v>0</v>
      </c>
      <c r="W182" s="36">
        <v>0</v>
      </c>
      <c r="X182" s="36">
        <v>0</v>
      </c>
      <c r="Y182" s="36">
        <v>0</v>
      </c>
      <c r="Z182" s="36">
        <v>0</v>
      </c>
      <c r="AA182" s="36">
        <v>0</v>
      </c>
      <c r="AB182" s="36">
        <v>142174.70000000001</v>
      </c>
      <c r="AC182" s="36">
        <v>1364435.31</v>
      </c>
      <c r="AD182" s="37">
        <v>130.37</v>
      </c>
      <c r="AE182" s="36">
        <v>1257710.83</v>
      </c>
      <c r="AF182" s="69">
        <f t="shared" si="54"/>
        <v>9647.24</v>
      </c>
      <c r="AG182" s="69">
        <f t="shared" si="55"/>
        <v>10465.870000000001</v>
      </c>
      <c r="AH182" s="70">
        <f t="shared" si="52"/>
        <v>818.63</v>
      </c>
      <c r="AI182" s="37">
        <v>14.27</v>
      </c>
      <c r="AJ182" s="36">
        <v>135176.87</v>
      </c>
      <c r="AK182" s="69">
        <f t="shared" si="56"/>
        <v>9472.7999999999993</v>
      </c>
      <c r="AL182" s="69">
        <f t="shared" si="57"/>
        <v>9963.19</v>
      </c>
      <c r="AM182" s="70">
        <f t="shared" si="53"/>
        <v>490.39</v>
      </c>
      <c r="AN182" s="36">
        <v>0</v>
      </c>
      <c r="AO182" s="36">
        <v>0</v>
      </c>
    </row>
    <row r="183" spans="1:41" s="3" customFormat="1">
      <c r="A183" s="55" t="s">
        <v>489</v>
      </c>
      <c r="B183" s="55" t="s">
        <v>82</v>
      </c>
      <c r="C183" s="55" t="s">
        <v>1004</v>
      </c>
      <c r="D183" s="36">
        <v>0</v>
      </c>
      <c r="E183" s="36">
        <v>0</v>
      </c>
      <c r="F183" s="36">
        <v>0</v>
      </c>
      <c r="G183" s="36">
        <v>1118528.78</v>
      </c>
      <c r="H183" s="36">
        <v>153653.72</v>
      </c>
      <c r="I183" s="36">
        <v>205914.98</v>
      </c>
      <c r="J183" s="36">
        <v>327990.83</v>
      </c>
      <c r="K183" s="36">
        <v>13967.05</v>
      </c>
      <c r="L183" s="36">
        <v>18955.88</v>
      </c>
      <c r="M183" s="36">
        <v>787035.42</v>
      </c>
      <c r="N183" s="49">
        <v>2.8500000000000001E-2</v>
      </c>
      <c r="O183" s="64">
        <v>0.23350000000000001</v>
      </c>
      <c r="P183" s="36">
        <v>0</v>
      </c>
      <c r="Q183" s="36">
        <v>0</v>
      </c>
      <c r="R183" s="36">
        <v>0</v>
      </c>
      <c r="S183" s="36">
        <v>0</v>
      </c>
      <c r="T183" s="36">
        <v>0</v>
      </c>
      <c r="U183" s="36">
        <v>0</v>
      </c>
      <c r="V183" s="36">
        <v>0</v>
      </c>
      <c r="W183" s="36">
        <v>0</v>
      </c>
      <c r="X183" s="36">
        <v>0</v>
      </c>
      <c r="Y183" s="36">
        <v>0</v>
      </c>
      <c r="Z183" s="36">
        <v>0</v>
      </c>
      <c r="AA183" s="36">
        <v>0</v>
      </c>
      <c r="AB183" s="36">
        <v>92002.41</v>
      </c>
      <c r="AC183" s="36">
        <v>282273.77</v>
      </c>
      <c r="AD183" s="37">
        <v>24.56</v>
      </c>
      <c r="AE183" s="36">
        <v>227615.88</v>
      </c>
      <c r="AF183" s="69">
        <f t="shared" si="54"/>
        <v>9267.75</v>
      </c>
      <c r="AG183" s="69">
        <f t="shared" si="55"/>
        <v>11493.23</v>
      </c>
      <c r="AH183" s="70">
        <f t="shared" si="52"/>
        <v>2225.48</v>
      </c>
      <c r="AI183" s="37">
        <v>9.6199999999999992</v>
      </c>
      <c r="AJ183" s="36">
        <v>87500.09</v>
      </c>
      <c r="AK183" s="69">
        <f t="shared" si="56"/>
        <v>9095.64</v>
      </c>
      <c r="AL183" s="69">
        <f t="shared" si="57"/>
        <v>9563.66</v>
      </c>
      <c r="AM183" s="70">
        <f t="shared" si="53"/>
        <v>468.02</v>
      </c>
      <c r="AN183" s="36">
        <v>0</v>
      </c>
      <c r="AO183" s="36">
        <v>0</v>
      </c>
    </row>
    <row r="184" spans="1:41" s="3" customFormat="1">
      <c r="A184" s="55" t="s">
        <v>473</v>
      </c>
      <c r="B184" s="55" t="s">
        <v>66</v>
      </c>
      <c r="C184" s="55" t="s">
        <v>1005</v>
      </c>
      <c r="D184" s="36">
        <v>0</v>
      </c>
      <c r="E184" s="36">
        <v>100890.87</v>
      </c>
      <c r="F184" s="36">
        <v>60164.66</v>
      </c>
      <c r="G184" s="36">
        <v>3538757.24</v>
      </c>
      <c r="H184" s="36">
        <v>622174.77</v>
      </c>
      <c r="I184" s="36">
        <v>618394.87</v>
      </c>
      <c r="J184" s="36">
        <v>1045931.15</v>
      </c>
      <c r="K184" s="36">
        <v>1252876.18</v>
      </c>
      <c r="L184" s="36">
        <v>62825.2</v>
      </c>
      <c r="M184" s="36">
        <v>1937105.13</v>
      </c>
      <c r="N184" s="49">
        <v>1.4800000000000001E-2</v>
      </c>
      <c r="O184" s="64">
        <v>0.14960000000000001</v>
      </c>
      <c r="P184" s="36">
        <v>0</v>
      </c>
      <c r="Q184" s="36">
        <v>0</v>
      </c>
      <c r="R184" s="36">
        <v>0</v>
      </c>
      <c r="S184" s="36">
        <v>0</v>
      </c>
      <c r="T184" s="36">
        <v>0</v>
      </c>
      <c r="U184" s="36">
        <v>0</v>
      </c>
      <c r="V184" s="36">
        <v>0</v>
      </c>
      <c r="W184" s="36">
        <v>0</v>
      </c>
      <c r="X184" s="36">
        <v>0</v>
      </c>
      <c r="Y184" s="36">
        <v>0</v>
      </c>
      <c r="Z184" s="36">
        <v>15294.31</v>
      </c>
      <c r="AA184" s="36">
        <v>44843.26</v>
      </c>
      <c r="AB184" s="36">
        <v>211800.95</v>
      </c>
      <c r="AC184" s="36">
        <v>1211199.6499999999</v>
      </c>
      <c r="AD184" s="37">
        <v>123.29</v>
      </c>
      <c r="AE184" s="36">
        <v>1142270.81</v>
      </c>
      <c r="AF184" s="69">
        <f t="shared" si="54"/>
        <v>9264.91</v>
      </c>
      <c r="AG184" s="69">
        <f t="shared" si="55"/>
        <v>9823.99</v>
      </c>
      <c r="AH184" s="70">
        <f t="shared" si="52"/>
        <v>559.08000000000004</v>
      </c>
      <c r="AI184" s="37">
        <v>22.18</v>
      </c>
      <c r="AJ184" s="36">
        <v>201371.82</v>
      </c>
      <c r="AK184" s="69">
        <f t="shared" si="56"/>
        <v>9078.98</v>
      </c>
      <c r="AL184" s="69">
        <f t="shared" si="57"/>
        <v>9549.19</v>
      </c>
      <c r="AM184" s="70">
        <f t="shared" si="53"/>
        <v>470.21</v>
      </c>
      <c r="AN184" s="36">
        <v>0</v>
      </c>
      <c r="AO184" s="36">
        <v>0</v>
      </c>
    </row>
    <row r="185" spans="1:41" s="3" customFormat="1">
      <c r="A185" s="55" t="s">
        <v>529</v>
      </c>
      <c r="B185" s="55" t="s">
        <v>122</v>
      </c>
      <c r="C185" s="55" t="s">
        <v>1006</v>
      </c>
      <c r="D185" s="36">
        <v>0</v>
      </c>
      <c r="E185" s="36">
        <v>65497.71</v>
      </c>
      <c r="F185" s="36">
        <v>1278.8599999999999</v>
      </c>
      <c r="G185" s="36">
        <v>9968439.3100000005</v>
      </c>
      <c r="H185" s="36">
        <v>1348439.85</v>
      </c>
      <c r="I185" s="36">
        <v>121350.23</v>
      </c>
      <c r="J185" s="36">
        <v>1573297.45</v>
      </c>
      <c r="K185" s="36">
        <v>580850.68999999994</v>
      </c>
      <c r="L185" s="36">
        <v>193825.09</v>
      </c>
      <c r="M185" s="36">
        <v>3873493.67</v>
      </c>
      <c r="N185" s="49">
        <v>3.8100000000000002E-2</v>
      </c>
      <c r="O185" s="64">
        <v>0.20169999999999999</v>
      </c>
      <c r="P185" s="36">
        <v>0</v>
      </c>
      <c r="Q185" s="36">
        <v>0</v>
      </c>
      <c r="R185" s="36">
        <v>0</v>
      </c>
      <c r="S185" s="36">
        <v>0</v>
      </c>
      <c r="T185" s="36">
        <v>0</v>
      </c>
      <c r="U185" s="36">
        <v>0</v>
      </c>
      <c r="V185" s="36">
        <v>0</v>
      </c>
      <c r="W185" s="36">
        <v>0</v>
      </c>
      <c r="X185" s="36">
        <v>0</v>
      </c>
      <c r="Y185" s="36">
        <v>0</v>
      </c>
      <c r="Z185" s="36">
        <v>86327.82</v>
      </c>
      <c r="AA185" s="36">
        <v>336852.12</v>
      </c>
      <c r="AB185" s="36">
        <v>918573.16</v>
      </c>
      <c r="AC185" s="36">
        <v>3540084.49</v>
      </c>
      <c r="AD185" s="37">
        <v>312.19</v>
      </c>
      <c r="AE185" s="36">
        <v>3308913.47</v>
      </c>
      <c r="AF185" s="69">
        <f t="shared" si="54"/>
        <v>10599.04</v>
      </c>
      <c r="AG185" s="69">
        <f t="shared" si="55"/>
        <v>11339.52</v>
      </c>
      <c r="AH185" s="70">
        <f t="shared" si="52"/>
        <v>740.48</v>
      </c>
      <c r="AI185" s="37">
        <v>83.88</v>
      </c>
      <c r="AJ185" s="36">
        <v>874095.1</v>
      </c>
      <c r="AK185" s="69">
        <f t="shared" si="56"/>
        <v>10420.780000000001</v>
      </c>
      <c r="AL185" s="69">
        <f t="shared" si="57"/>
        <v>10951.04</v>
      </c>
      <c r="AM185" s="70">
        <f t="shared" si="53"/>
        <v>530.26</v>
      </c>
      <c r="AN185" s="36">
        <v>0</v>
      </c>
      <c r="AO185" s="36">
        <v>0</v>
      </c>
    </row>
    <row r="186" spans="1:41" s="3" customFormat="1">
      <c r="A186" s="55" t="s">
        <v>574</v>
      </c>
      <c r="B186" s="55" t="s">
        <v>167</v>
      </c>
      <c r="C186" s="55" t="s">
        <v>1007</v>
      </c>
      <c r="D186" s="36">
        <v>0</v>
      </c>
      <c r="E186" s="36">
        <v>0</v>
      </c>
      <c r="F186" s="36">
        <v>0</v>
      </c>
      <c r="G186" s="36">
        <v>4225690.68</v>
      </c>
      <c r="H186" s="36">
        <v>546279.57999999996</v>
      </c>
      <c r="I186" s="36">
        <v>526304.01</v>
      </c>
      <c r="J186" s="36">
        <v>1000228.74</v>
      </c>
      <c r="K186" s="36">
        <v>727682.27</v>
      </c>
      <c r="L186" s="36">
        <v>78568.899999999994</v>
      </c>
      <c r="M186" s="36">
        <v>2718240.91</v>
      </c>
      <c r="N186" s="49">
        <v>7.3800000000000004E-2</v>
      </c>
      <c r="O186" s="64">
        <v>0.1764</v>
      </c>
      <c r="P186" s="36">
        <v>0</v>
      </c>
      <c r="Q186" s="36">
        <v>0</v>
      </c>
      <c r="R186" s="36">
        <v>0</v>
      </c>
      <c r="S186" s="36">
        <v>0</v>
      </c>
      <c r="T186" s="36">
        <v>0</v>
      </c>
      <c r="U186" s="36">
        <v>0</v>
      </c>
      <c r="V186" s="36">
        <v>0</v>
      </c>
      <c r="W186" s="36">
        <v>0</v>
      </c>
      <c r="X186" s="36">
        <v>0</v>
      </c>
      <c r="Y186" s="36">
        <v>0</v>
      </c>
      <c r="Z186" s="36">
        <v>0.03</v>
      </c>
      <c r="AA186" s="36">
        <v>835.26</v>
      </c>
      <c r="AB186" s="36">
        <v>694618.14</v>
      </c>
      <c r="AC186" s="36">
        <v>2278671.71</v>
      </c>
      <c r="AD186" s="37">
        <v>213.32</v>
      </c>
      <c r="AE186" s="36">
        <v>2139867.71</v>
      </c>
      <c r="AF186" s="69">
        <f t="shared" si="54"/>
        <v>10031.26</v>
      </c>
      <c r="AG186" s="69">
        <f t="shared" si="55"/>
        <v>10681.94</v>
      </c>
      <c r="AH186" s="70">
        <f t="shared" si="52"/>
        <v>650.67999999999995</v>
      </c>
      <c r="AI186" s="37">
        <v>67.11</v>
      </c>
      <c r="AJ186" s="36">
        <v>661264.19999999995</v>
      </c>
      <c r="AK186" s="69">
        <f t="shared" si="56"/>
        <v>9853.44</v>
      </c>
      <c r="AL186" s="69">
        <f t="shared" si="57"/>
        <v>10350.44</v>
      </c>
      <c r="AM186" s="70">
        <f t="shared" si="53"/>
        <v>497</v>
      </c>
      <c r="AN186" s="36">
        <v>0</v>
      </c>
      <c r="AO186" s="36">
        <v>0</v>
      </c>
    </row>
    <row r="187" spans="1:41" s="3" customFormat="1">
      <c r="A187" s="55" t="s">
        <v>588</v>
      </c>
      <c r="B187" s="55" t="s">
        <v>182</v>
      </c>
      <c r="C187" s="55" t="s">
        <v>1008</v>
      </c>
      <c r="D187" s="36">
        <v>0</v>
      </c>
      <c r="E187" s="36">
        <v>0</v>
      </c>
      <c r="F187" s="36">
        <v>0</v>
      </c>
      <c r="G187" s="36">
        <v>48779.43</v>
      </c>
      <c r="H187" s="36">
        <v>3042.33</v>
      </c>
      <c r="I187" s="36">
        <v>18414.27</v>
      </c>
      <c r="J187" s="36">
        <v>30329.41</v>
      </c>
      <c r="K187" s="36">
        <v>0</v>
      </c>
      <c r="L187" s="36">
        <v>0</v>
      </c>
      <c r="M187" s="36">
        <v>165456.1</v>
      </c>
      <c r="N187" s="49">
        <v>0</v>
      </c>
      <c r="O187" s="64">
        <v>0.26850000000000002</v>
      </c>
      <c r="P187" s="36">
        <v>0</v>
      </c>
      <c r="Q187" s="36">
        <v>0</v>
      </c>
      <c r="R187" s="36">
        <v>0</v>
      </c>
      <c r="S187" s="36">
        <v>0</v>
      </c>
      <c r="T187" s="36">
        <v>0</v>
      </c>
      <c r="U187" s="36">
        <v>0</v>
      </c>
      <c r="V187" s="36">
        <v>0</v>
      </c>
      <c r="W187" s="36">
        <v>0</v>
      </c>
      <c r="X187" s="36">
        <v>0</v>
      </c>
      <c r="Y187" s="36">
        <v>0</v>
      </c>
      <c r="Z187" s="36">
        <v>0</v>
      </c>
      <c r="AA187" s="36">
        <v>0</v>
      </c>
      <c r="AB187" s="36">
        <v>0</v>
      </c>
      <c r="AC187" s="36">
        <v>1421.37</v>
      </c>
      <c r="AD187" s="37">
        <v>0</v>
      </c>
      <c r="AE187" s="36">
        <v>0</v>
      </c>
      <c r="AF187" s="69">
        <f t="shared" si="54"/>
        <v>0</v>
      </c>
      <c r="AG187" s="69">
        <f t="shared" si="55"/>
        <v>0</v>
      </c>
      <c r="AH187" s="70">
        <f t="shared" si="52"/>
        <v>0</v>
      </c>
      <c r="AI187" s="37">
        <v>0</v>
      </c>
      <c r="AJ187" s="36">
        <v>0</v>
      </c>
      <c r="AK187" s="69">
        <f t="shared" si="56"/>
        <v>0</v>
      </c>
      <c r="AL187" s="69">
        <f t="shared" si="57"/>
        <v>0</v>
      </c>
      <c r="AM187" s="70">
        <f t="shared" si="53"/>
        <v>0</v>
      </c>
      <c r="AN187" s="36">
        <v>0</v>
      </c>
      <c r="AO187" s="36">
        <v>0</v>
      </c>
    </row>
    <row r="188" spans="1:41" s="3" customFormat="1">
      <c r="A188" s="55" t="s">
        <v>660</v>
      </c>
      <c r="B188" s="55" t="s">
        <v>257</v>
      </c>
      <c r="C188" s="55" t="s">
        <v>1009</v>
      </c>
      <c r="D188" s="36">
        <v>0</v>
      </c>
      <c r="E188" s="36">
        <v>170783.26</v>
      </c>
      <c r="F188" s="36">
        <v>77490.63</v>
      </c>
      <c r="G188" s="36">
        <v>30555449.550000001</v>
      </c>
      <c r="H188" s="36">
        <v>6198982.5999999996</v>
      </c>
      <c r="I188" s="36">
        <v>1252712.69</v>
      </c>
      <c r="J188" s="36">
        <v>4608011.2699999996</v>
      </c>
      <c r="K188" s="36">
        <v>1833414.91</v>
      </c>
      <c r="L188" s="36">
        <v>460248.69</v>
      </c>
      <c r="M188" s="36">
        <v>11271866.18</v>
      </c>
      <c r="N188" s="49">
        <v>4.0899999999999999E-2</v>
      </c>
      <c r="O188" s="64">
        <v>0.127</v>
      </c>
      <c r="P188" s="36">
        <v>0</v>
      </c>
      <c r="Q188" s="36">
        <v>0</v>
      </c>
      <c r="R188" s="36">
        <v>0</v>
      </c>
      <c r="S188" s="36">
        <v>0</v>
      </c>
      <c r="T188" s="36">
        <v>0</v>
      </c>
      <c r="U188" s="36">
        <v>0</v>
      </c>
      <c r="V188" s="36">
        <v>0</v>
      </c>
      <c r="W188" s="36">
        <v>0</v>
      </c>
      <c r="X188" s="36">
        <v>0</v>
      </c>
      <c r="Y188" s="36">
        <v>0</v>
      </c>
      <c r="Z188" s="36">
        <v>0</v>
      </c>
      <c r="AA188" s="36">
        <v>0</v>
      </c>
      <c r="AB188" s="36">
        <v>1935236.93</v>
      </c>
      <c r="AC188" s="36">
        <v>8338666.6799999997</v>
      </c>
      <c r="AD188" s="37">
        <v>830.24</v>
      </c>
      <c r="AE188" s="36">
        <v>7692790.4699999997</v>
      </c>
      <c r="AF188" s="69">
        <f t="shared" si="54"/>
        <v>9265.74</v>
      </c>
      <c r="AG188" s="69">
        <f t="shared" si="55"/>
        <v>10043.68</v>
      </c>
      <c r="AH188" s="70">
        <f t="shared" si="52"/>
        <v>777.94</v>
      </c>
      <c r="AI188" s="37">
        <v>202.65</v>
      </c>
      <c r="AJ188" s="36">
        <v>1841053.89</v>
      </c>
      <c r="AK188" s="69">
        <f t="shared" si="56"/>
        <v>9084.89</v>
      </c>
      <c r="AL188" s="69">
        <f t="shared" si="57"/>
        <v>9549.65</v>
      </c>
      <c r="AM188" s="70">
        <f t="shared" si="53"/>
        <v>464.76</v>
      </c>
      <c r="AN188" s="36">
        <v>0</v>
      </c>
      <c r="AO188" s="36">
        <v>0</v>
      </c>
    </row>
    <row r="189" spans="1:41" s="3" customFormat="1">
      <c r="A189" s="55" t="s">
        <v>657</v>
      </c>
      <c r="B189" s="55" t="s">
        <v>254</v>
      </c>
      <c r="C189" s="55" t="s">
        <v>1010</v>
      </c>
      <c r="D189" s="36">
        <v>0</v>
      </c>
      <c r="E189" s="36">
        <v>0</v>
      </c>
      <c r="F189" s="36">
        <v>0</v>
      </c>
      <c r="G189" s="36">
        <v>484831.24</v>
      </c>
      <c r="H189" s="36">
        <v>56758.400000000001</v>
      </c>
      <c r="I189" s="36">
        <v>50368.47</v>
      </c>
      <c r="J189" s="36">
        <v>115901.65</v>
      </c>
      <c r="K189" s="36">
        <v>0</v>
      </c>
      <c r="L189" s="36">
        <v>8340.58</v>
      </c>
      <c r="M189" s="36">
        <v>393441.79</v>
      </c>
      <c r="N189" s="49">
        <v>8.72E-2</v>
      </c>
      <c r="O189" s="64">
        <v>0.25380000000000003</v>
      </c>
      <c r="P189" s="36">
        <v>0</v>
      </c>
      <c r="Q189" s="36">
        <v>0</v>
      </c>
      <c r="R189" s="36">
        <v>0</v>
      </c>
      <c r="S189" s="36">
        <v>0</v>
      </c>
      <c r="T189" s="36">
        <v>0</v>
      </c>
      <c r="U189" s="36">
        <v>0</v>
      </c>
      <c r="V189" s="36">
        <v>0</v>
      </c>
      <c r="W189" s="36">
        <v>0</v>
      </c>
      <c r="X189" s="36">
        <v>0</v>
      </c>
      <c r="Y189" s="36">
        <v>0</v>
      </c>
      <c r="Z189" s="36">
        <v>0</v>
      </c>
      <c r="AA189" s="36">
        <v>0</v>
      </c>
      <c r="AB189" s="36">
        <v>0</v>
      </c>
      <c r="AC189" s="36">
        <v>67338.44</v>
      </c>
      <c r="AD189" s="37">
        <v>6.6</v>
      </c>
      <c r="AE189" s="36">
        <v>61194.02</v>
      </c>
      <c r="AF189" s="69">
        <f t="shared" si="54"/>
        <v>9271.82</v>
      </c>
      <c r="AG189" s="69">
        <f t="shared" si="55"/>
        <v>10202.790000000001</v>
      </c>
      <c r="AH189" s="70">
        <f t="shared" si="52"/>
        <v>930.97</v>
      </c>
      <c r="AI189" s="37">
        <v>0</v>
      </c>
      <c r="AJ189" s="36">
        <v>0</v>
      </c>
      <c r="AK189" s="69">
        <f t="shared" si="56"/>
        <v>0</v>
      </c>
      <c r="AL189" s="69">
        <f t="shared" si="57"/>
        <v>0</v>
      </c>
      <c r="AM189" s="70">
        <f t="shared" si="53"/>
        <v>0</v>
      </c>
      <c r="AN189" s="36">
        <v>0</v>
      </c>
      <c r="AO189" s="36">
        <v>0</v>
      </c>
    </row>
    <row r="190" spans="1:41" s="3" customFormat="1">
      <c r="A190" s="55" t="s">
        <v>526</v>
      </c>
      <c r="B190" s="55" t="s">
        <v>119</v>
      </c>
      <c r="C190" s="55" t="s">
        <v>1011</v>
      </c>
      <c r="D190" s="36">
        <v>0</v>
      </c>
      <c r="E190" s="36">
        <v>240452.9</v>
      </c>
      <c r="F190" s="36">
        <v>0</v>
      </c>
      <c r="G190" s="36">
        <v>39157840.979999997</v>
      </c>
      <c r="H190" s="36">
        <v>6054448.7800000003</v>
      </c>
      <c r="I190" s="36">
        <v>0</v>
      </c>
      <c r="J190" s="36">
        <v>3003685.78</v>
      </c>
      <c r="K190" s="36">
        <v>5100432.8</v>
      </c>
      <c r="L190" s="36">
        <v>798161.24</v>
      </c>
      <c r="M190" s="36">
        <v>14431662.300000001</v>
      </c>
      <c r="N190" s="49">
        <v>3.44E-2</v>
      </c>
      <c r="O190" s="64">
        <v>0.1206</v>
      </c>
      <c r="P190" s="36">
        <v>0</v>
      </c>
      <c r="Q190" s="36">
        <v>0</v>
      </c>
      <c r="R190" s="36">
        <v>0</v>
      </c>
      <c r="S190" s="36">
        <v>189717.56</v>
      </c>
      <c r="T190" s="36">
        <v>0</v>
      </c>
      <c r="U190" s="36">
        <v>6635.21</v>
      </c>
      <c r="V190" s="36">
        <v>0</v>
      </c>
      <c r="W190" s="36">
        <v>0</v>
      </c>
      <c r="X190" s="36">
        <v>0</v>
      </c>
      <c r="Y190" s="36">
        <v>0</v>
      </c>
      <c r="Z190" s="36">
        <v>0</v>
      </c>
      <c r="AA190" s="36">
        <v>0</v>
      </c>
      <c r="AB190" s="36">
        <v>2082968.2</v>
      </c>
      <c r="AC190" s="36">
        <v>11622147.01</v>
      </c>
      <c r="AD190" s="37">
        <v>1058.46</v>
      </c>
      <c r="AE190" s="36">
        <v>11023114.16</v>
      </c>
      <c r="AF190" s="69">
        <f t="shared" si="54"/>
        <v>10414.290000000001</v>
      </c>
      <c r="AG190" s="69">
        <f t="shared" si="55"/>
        <v>10980.24</v>
      </c>
      <c r="AH190" s="70">
        <f t="shared" si="52"/>
        <v>565.95000000000005</v>
      </c>
      <c r="AI190" s="37">
        <v>193.72</v>
      </c>
      <c r="AJ190" s="36">
        <v>1983018.32</v>
      </c>
      <c r="AK190" s="69">
        <f t="shared" si="56"/>
        <v>10236.52</v>
      </c>
      <c r="AL190" s="69">
        <f t="shared" si="57"/>
        <v>10752.47</v>
      </c>
      <c r="AM190" s="70">
        <f t="shared" si="53"/>
        <v>515.95000000000005</v>
      </c>
      <c r="AN190" s="36">
        <v>0</v>
      </c>
      <c r="AO190" s="36">
        <v>0</v>
      </c>
    </row>
    <row r="191" spans="1:41" s="3" customFormat="1">
      <c r="A191" s="55" t="s">
        <v>500</v>
      </c>
      <c r="B191" s="55" t="s">
        <v>93</v>
      </c>
      <c r="C191" s="55" t="s">
        <v>1012</v>
      </c>
      <c r="D191" s="36">
        <v>0</v>
      </c>
      <c r="E191" s="36">
        <v>73746.320000000007</v>
      </c>
      <c r="F191" s="36">
        <v>27070</v>
      </c>
      <c r="G191" s="36">
        <v>12183120.43</v>
      </c>
      <c r="H191" s="36">
        <v>2986022.63</v>
      </c>
      <c r="I191" s="36">
        <v>307339.55</v>
      </c>
      <c r="J191" s="36">
        <v>1778383.74</v>
      </c>
      <c r="K191" s="36">
        <v>475076.94</v>
      </c>
      <c r="L191" s="36">
        <v>186795.47</v>
      </c>
      <c r="M191" s="36">
        <v>3249487.29</v>
      </c>
      <c r="N191" s="49">
        <v>3.39E-2</v>
      </c>
      <c r="O191" s="64">
        <v>0.1363</v>
      </c>
      <c r="P191" s="36">
        <v>0</v>
      </c>
      <c r="Q191" s="36">
        <v>0</v>
      </c>
      <c r="R191" s="36">
        <v>0</v>
      </c>
      <c r="S191" s="36">
        <v>0</v>
      </c>
      <c r="T191" s="36">
        <v>0</v>
      </c>
      <c r="U191" s="36">
        <v>0</v>
      </c>
      <c r="V191" s="36">
        <v>0</v>
      </c>
      <c r="W191" s="36">
        <v>0</v>
      </c>
      <c r="X191" s="36">
        <v>0</v>
      </c>
      <c r="Y191" s="36">
        <v>0</v>
      </c>
      <c r="Z191" s="36">
        <v>0</v>
      </c>
      <c r="AA191" s="36">
        <v>0</v>
      </c>
      <c r="AB191" s="36">
        <v>437875.15</v>
      </c>
      <c r="AC191" s="36">
        <v>4263925.0999999996</v>
      </c>
      <c r="AD191" s="37">
        <v>406.42</v>
      </c>
      <c r="AE191" s="36">
        <v>4077005.82</v>
      </c>
      <c r="AF191" s="69">
        <f t="shared" si="54"/>
        <v>10031.51</v>
      </c>
      <c r="AG191" s="69">
        <f t="shared" si="55"/>
        <v>10491.43</v>
      </c>
      <c r="AH191" s="70">
        <f t="shared" si="52"/>
        <v>459.92</v>
      </c>
      <c r="AI191" s="37">
        <v>42.3</v>
      </c>
      <c r="AJ191" s="36">
        <v>416820.38</v>
      </c>
      <c r="AK191" s="69">
        <f t="shared" si="56"/>
        <v>9853.91</v>
      </c>
      <c r="AL191" s="69">
        <f t="shared" si="57"/>
        <v>10351.66</v>
      </c>
      <c r="AM191" s="70">
        <f t="shared" si="53"/>
        <v>497.75</v>
      </c>
      <c r="AN191" s="36">
        <v>0</v>
      </c>
      <c r="AO191" s="36">
        <v>0</v>
      </c>
    </row>
    <row r="192" spans="1:41" s="3" customFormat="1">
      <c r="A192" s="55" t="s">
        <v>694</v>
      </c>
      <c r="B192" s="55" t="s">
        <v>291</v>
      </c>
      <c r="C192" s="55" t="s">
        <v>1013</v>
      </c>
      <c r="D192" s="36">
        <v>341.72</v>
      </c>
      <c r="E192" s="36">
        <v>0</v>
      </c>
      <c r="F192" s="36">
        <v>0</v>
      </c>
      <c r="G192" s="36">
        <v>275911.82</v>
      </c>
      <c r="H192" s="36">
        <v>32973.760000000002</v>
      </c>
      <c r="I192" s="36">
        <v>0</v>
      </c>
      <c r="J192" s="36">
        <v>36599.96</v>
      </c>
      <c r="K192" s="36">
        <v>0</v>
      </c>
      <c r="L192" s="36">
        <v>4370.1499999999996</v>
      </c>
      <c r="M192" s="36">
        <v>410357.78</v>
      </c>
      <c r="N192" s="49">
        <v>4.9599999999999998E-2</v>
      </c>
      <c r="O192" s="64">
        <v>0.26569999999999999</v>
      </c>
      <c r="P192" s="36">
        <v>0</v>
      </c>
      <c r="Q192" s="36">
        <v>0</v>
      </c>
      <c r="R192" s="36">
        <v>0</v>
      </c>
      <c r="S192" s="36">
        <v>0</v>
      </c>
      <c r="T192" s="36">
        <v>0</v>
      </c>
      <c r="U192" s="36">
        <v>0</v>
      </c>
      <c r="V192" s="36">
        <v>0</v>
      </c>
      <c r="W192" s="36">
        <v>0</v>
      </c>
      <c r="X192" s="36">
        <v>0</v>
      </c>
      <c r="Y192" s="36">
        <v>0</v>
      </c>
      <c r="Z192" s="36">
        <v>0</v>
      </c>
      <c r="AA192" s="36">
        <v>0</v>
      </c>
      <c r="AB192" s="36">
        <v>39484.17</v>
      </c>
      <c r="AC192" s="36">
        <v>134856.24</v>
      </c>
      <c r="AD192" s="37">
        <v>13.7</v>
      </c>
      <c r="AE192" s="36">
        <v>127598.03</v>
      </c>
      <c r="AF192" s="69">
        <f t="shared" si="54"/>
        <v>9313.7199999999993</v>
      </c>
      <c r="AG192" s="69">
        <f t="shared" si="55"/>
        <v>9843.52</v>
      </c>
      <c r="AH192" s="70">
        <f t="shared" si="52"/>
        <v>529.79999999999995</v>
      </c>
      <c r="AI192" s="37">
        <v>4.13</v>
      </c>
      <c r="AJ192" s="36">
        <v>37770.120000000003</v>
      </c>
      <c r="AK192" s="69">
        <f t="shared" si="56"/>
        <v>9145.31</v>
      </c>
      <c r="AL192" s="69">
        <f t="shared" si="57"/>
        <v>9560.33</v>
      </c>
      <c r="AM192" s="70">
        <f t="shared" si="53"/>
        <v>415.02</v>
      </c>
      <c r="AN192" s="36">
        <v>0</v>
      </c>
      <c r="AO192" s="36">
        <v>0</v>
      </c>
    </row>
    <row r="193" spans="1:41" s="3" customFormat="1">
      <c r="A193" s="55" t="s">
        <v>499</v>
      </c>
      <c r="B193" s="55" t="s">
        <v>92</v>
      </c>
      <c r="C193" s="55" t="s">
        <v>1014</v>
      </c>
      <c r="D193" s="36">
        <v>0</v>
      </c>
      <c r="E193" s="36">
        <v>0</v>
      </c>
      <c r="F193" s="36">
        <v>0</v>
      </c>
      <c r="G193" s="36">
        <v>693960.76</v>
      </c>
      <c r="H193" s="36">
        <v>103405.24</v>
      </c>
      <c r="I193" s="36">
        <v>95320.99</v>
      </c>
      <c r="J193" s="36">
        <v>166270.14000000001</v>
      </c>
      <c r="K193" s="36">
        <v>0</v>
      </c>
      <c r="L193" s="36">
        <v>0</v>
      </c>
      <c r="M193" s="36">
        <v>224948.42</v>
      </c>
      <c r="N193" s="49">
        <v>0</v>
      </c>
      <c r="O193" s="64">
        <v>0.2429</v>
      </c>
      <c r="P193" s="36">
        <v>0</v>
      </c>
      <c r="Q193" s="36">
        <v>0</v>
      </c>
      <c r="R193" s="36">
        <v>0</v>
      </c>
      <c r="S193" s="36">
        <v>0</v>
      </c>
      <c r="T193" s="36">
        <v>0</v>
      </c>
      <c r="U193" s="36">
        <v>0</v>
      </c>
      <c r="V193" s="36">
        <v>0</v>
      </c>
      <c r="W193" s="36">
        <v>0</v>
      </c>
      <c r="X193" s="36">
        <v>0</v>
      </c>
      <c r="Y193" s="36">
        <v>0</v>
      </c>
      <c r="Z193" s="36">
        <v>0</v>
      </c>
      <c r="AA193" s="36">
        <v>0</v>
      </c>
      <c r="AB193" s="36">
        <v>13223.61</v>
      </c>
      <c r="AC193" s="36">
        <v>197336.35</v>
      </c>
      <c r="AD193" s="37">
        <v>17.71</v>
      </c>
      <c r="AE193" s="36">
        <v>163936.98000000001</v>
      </c>
      <c r="AF193" s="69">
        <f t="shared" si="54"/>
        <v>9256.75</v>
      </c>
      <c r="AG193" s="69">
        <f t="shared" si="55"/>
        <v>11142.65</v>
      </c>
      <c r="AH193" s="70">
        <f t="shared" si="52"/>
        <v>1885.9</v>
      </c>
      <c r="AI193" s="37">
        <v>1.4</v>
      </c>
      <c r="AJ193" s="36">
        <v>12622.11</v>
      </c>
      <c r="AK193" s="69">
        <f t="shared" si="56"/>
        <v>9015.7900000000009</v>
      </c>
      <c r="AL193" s="69">
        <f t="shared" si="57"/>
        <v>9445.44</v>
      </c>
      <c r="AM193" s="70">
        <f t="shared" si="53"/>
        <v>429.65</v>
      </c>
      <c r="AN193" s="36">
        <v>0</v>
      </c>
      <c r="AO193" s="36">
        <v>0</v>
      </c>
    </row>
    <row r="194" spans="1:41" s="3" customFormat="1">
      <c r="A194" s="55" t="s">
        <v>584</v>
      </c>
      <c r="B194" s="55" t="s">
        <v>177</v>
      </c>
      <c r="C194" s="55" t="s">
        <v>1015</v>
      </c>
      <c r="D194" s="36">
        <v>0</v>
      </c>
      <c r="E194" s="36">
        <v>43063.81</v>
      </c>
      <c r="F194" s="36">
        <v>30722.53</v>
      </c>
      <c r="G194" s="36">
        <v>0</v>
      </c>
      <c r="H194" s="36">
        <v>0</v>
      </c>
      <c r="I194" s="36">
        <v>315317.46999999997</v>
      </c>
      <c r="J194" s="36">
        <v>461873.48</v>
      </c>
      <c r="K194" s="36">
        <v>99368.62</v>
      </c>
      <c r="L194" s="36">
        <v>28812.94</v>
      </c>
      <c r="M194" s="36">
        <v>1258892.69</v>
      </c>
      <c r="N194" s="49">
        <v>2.46E-2</v>
      </c>
      <c r="O194" s="64">
        <v>0.16239999999999999</v>
      </c>
      <c r="P194" s="36">
        <v>0</v>
      </c>
      <c r="Q194" s="36">
        <v>0</v>
      </c>
      <c r="R194" s="36">
        <v>0</v>
      </c>
      <c r="S194" s="36">
        <v>0</v>
      </c>
      <c r="T194" s="36">
        <v>0</v>
      </c>
      <c r="U194" s="36">
        <v>0</v>
      </c>
      <c r="V194" s="36">
        <v>0</v>
      </c>
      <c r="W194" s="36">
        <v>0</v>
      </c>
      <c r="X194" s="36">
        <v>0</v>
      </c>
      <c r="Y194" s="36">
        <v>0</v>
      </c>
      <c r="Z194" s="36">
        <v>0</v>
      </c>
      <c r="AA194" s="36">
        <v>79091.48</v>
      </c>
      <c r="AB194" s="36">
        <v>0</v>
      </c>
      <c r="AC194" s="36">
        <v>1022640.62</v>
      </c>
      <c r="AD194" s="37">
        <v>106.25</v>
      </c>
      <c r="AE194" s="36">
        <v>984603.19</v>
      </c>
      <c r="AF194" s="69">
        <f t="shared" si="54"/>
        <v>9266.85</v>
      </c>
      <c r="AG194" s="69">
        <f t="shared" si="55"/>
        <v>9624.85</v>
      </c>
      <c r="AH194" s="70">
        <f t="shared" si="52"/>
        <v>358</v>
      </c>
      <c r="AI194" s="37">
        <v>0</v>
      </c>
      <c r="AJ194" s="36">
        <v>0</v>
      </c>
      <c r="AK194" s="69">
        <f t="shared" si="56"/>
        <v>0</v>
      </c>
      <c r="AL194" s="69">
        <f t="shared" si="57"/>
        <v>0</v>
      </c>
      <c r="AM194" s="70">
        <f t="shared" si="53"/>
        <v>0</v>
      </c>
      <c r="AN194" s="36">
        <v>0</v>
      </c>
      <c r="AO194" s="36">
        <v>0</v>
      </c>
    </row>
    <row r="195" spans="1:41" s="3" customFormat="1">
      <c r="A195" s="55" t="s">
        <v>498</v>
      </c>
      <c r="B195" s="55" t="s">
        <v>91</v>
      </c>
      <c r="C195" s="55" t="s">
        <v>1016</v>
      </c>
      <c r="D195" s="36">
        <v>0</v>
      </c>
      <c r="E195" s="36">
        <v>0</v>
      </c>
      <c r="F195" s="36">
        <v>0</v>
      </c>
      <c r="G195" s="36">
        <v>686197.2</v>
      </c>
      <c r="H195" s="36">
        <v>75880.429999999993</v>
      </c>
      <c r="I195" s="36">
        <v>185659.29</v>
      </c>
      <c r="J195" s="36">
        <v>286071.27</v>
      </c>
      <c r="K195" s="36">
        <v>127302.72</v>
      </c>
      <c r="L195" s="36">
        <v>0</v>
      </c>
      <c r="M195" s="36">
        <v>657988.56999999995</v>
      </c>
      <c r="N195" s="49">
        <v>2.7199999999999998E-2</v>
      </c>
      <c r="O195" s="64">
        <v>0.24479999999999999</v>
      </c>
      <c r="P195" s="36">
        <v>0</v>
      </c>
      <c r="Q195" s="36">
        <v>0</v>
      </c>
      <c r="R195" s="36">
        <v>0</v>
      </c>
      <c r="S195" s="36">
        <v>0</v>
      </c>
      <c r="T195" s="36">
        <v>0</v>
      </c>
      <c r="U195" s="36">
        <v>0</v>
      </c>
      <c r="V195" s="36">
        <v>0</v>
      </c>
      <c r="W195" s="36">
        <v>0</v>
      </c>
      <c r="X195" s="36">
        <v>0</v>
      </c>
      <c r="Y195" s="36">
        <v>0</v>
      </c>
      <c r="Z195" s="36">
        <v>0</v>
      </c>
      <c r="AA195" s="36">
        <v>0</v>
      </c>
      <c r="AB195" s="36">
        <v>104647.58</v>
      </c>
      <c r="AC195" s="36">
        <v>330111.32</v>
      </c>
      <c r="AD195" s="37">
        <v>32.32</v>
      </c>
      <c r="AE195" s="36">
        <v>299401.03000000003</v>
      </c>
      <c r="AF195" s="69">
        <f t="shared" si="54"/>
        <v>9263.65</v>
      </c>
      <c r="AG195" s="69">
        <f t="shared" si="55"/>
        <v>10213.84</v>
      </c>
      <c r="AH195" s="70">
        <f t="shared" si="52"/>
        <v>950.19</v>
      </c>
      <c r="AI195" s="37">
        <v>10.96</v>
      </c>
      <c r="AJ195" s="36">
        <v>99526.77</v>
      </c>
      <c r="AK195" s="69">
        <f t="shared" si="56"/>
        <v>9080.91</v>
      </c>
      <c r="AL195" s="69">
        <f t="shared" si="57"/>
        <v>9548.14</v>
      </c>
      <c r="AM195" s="70">
        <f t="shared" si="53"/>
        <v>467.23</v>
      </c>
      <c r="AN195" s="36">
        <v>0</v>
      </c>
      <c r="AO195" s="36">
        <v>0</v>
      </c>
    </row>
    <row r="196" spans="1:41" s="3" customFormat="1">
      <c r="A196" s="55" t="s">
        <v>565</v>
      </c>
      <c r="B196" s="55" t="s">
        <v>158</v>
      </c>
      <c r="C196" s="55" t="s">
        <v>1017</v>
      </c>
      <c r="D196" s="36">
        <v>0</v>
      </c>
      <c r="E196" s="36">
        <v>0</v>
      </c>
      <c r="F196" s="36">
        <v>0</v>
      </c>
      <c r="G196" s="36">
        <v>396863.37</v>
      </c>
      <c r="H196" s="36">
        <v>73041.13</v>
      </c>
      <c r="I196" s="36">
        <v>69699.259999999995</v>
      </c>
      <c r="J196" s="36">
        <v>82249.62</v>
      </c>
      <c r="K196" s="36">
        <v>0</v>
      </c>
      <c r="L196" s="36">
        <v>6723.4</v>
      </c>
      <c r="M196" s="36">
        <v>393380.16</v>
      </c>
      <c r="N196" s="49">
        <v>2.9700000000000001E-2</v>
      </c>
      <c r="O196" s="64">
        <v>0.22009999999999999</v>
      </c>
      <c r="P196" s="36">
        <v>0</v>
      </c>
      <c r="Q196" s="36">
        <v>0</v>
      </c>
      <c r="R196" s="36">
        <v>0</v>
      </c>
      <c r="S196" s="36">
        <v>0</v>
      </c>
      <c r="T196" s="36">
        <v>0</v>
      </c>
      <c r="U196" s="36">
        <v>0</v>
      </c>
      <c r="V196" s="36">
        <v>0</v>
      </c>
      <c r="W196" s="36">
        <v>0</v>
      </c>
      <c r="X196" s="36">
        <v>0</v>
      </c>
      <c r="Y196" s="36">
        <v>0</v>
      </c>
      <c r="Z196" s="36">
        <v>0</v>
      </c>
      <c r="AA196" s="36">
        <v>0</v>
      </c>
      <c r="AB196" s="36">
        <v>10901.59</v>
      </c>
      <c r="AC196" s="36">
        <v>123009.8</v>
      </c>
      <c r="AD196" s="37">
        <v>11.84</v>
      </c>
      <c r="AE196" s="36">
        <v>111778.11</v>
      </c>
      <c r="AF196" s="69">
        <f t="shared" si="54"/>
        <v>9440.7199999999993</v>
      </c>
      <c r="AG196" s="69">
        <f t="shared" si="55"/>
        <v>10389.34</v>
      </c>
      <c r="AH196" s="70">
        <f t="shared" si="52"/>
        <v>948.62</v>
      </c>
      <c r="AI196" s="37">
        <v>1.1200000000000001</v>
      </c>
      <c r="AJ196" s="36">
        <v>10432.969999999999</v>
      </c>
      <c r="AK196" s="69">
        <f t="shared" si="56"/>
        <v>9315.15</v>
      </c>
      <c r="AL196" s="69">
        <f t="shared" si="57"/>
        <v>9733.56</v>
      </c>
      <c r="AM196" s="70">
        <f t="shared" si="53"/>
        <v>418.41</v>
      </c>
      <c r="AN196" s="36">
        <v>0</v>
      </c>
      <c r="AO196" s="36">
        <v>0</v>
      </c>
    </row>
    <row r="197" spans="1:41" s="3" customFormat="1">
      <c r="A197" s="55" t="s">
        <v>578</v>
      </c>
      <c r="B197" s="55" t="s">
        <v>171</v>
      </c>
      <c r="C197" s="55" t="s">
        <v>1018</v>
      </c>
      <c r="D197" s="36">
        <v>0</v>
      </c>
      <c r="E197" s="36">
        <v>0</v>
      </c>
      <c r="F197" s="36">
        <v>0</v>
      </c>
      <c r="G197" s="36">
        <v>1846286.16</v>
      </c>
      <c r="H197" s="36">
        <v>214157.48</v>
      </c>
      <c r="I197" s="36">
        <v>337703.03</v>
      </c>
      <c r="J197" s="36">
        <v>484758.45</v>
      </c>
      <c r="K197" s="36">
        <v>156468.32</v>
      </c>
      <c r="L197" s="36">
        <v>32994.6</v>
      </c>
      <c r="M197" s="36">
        <v>845279.33</v>
      </c>
      <c r="N197" s="49">
        <v>1.83E-2</v>
      </c>
      <c r="O197" s="64">
        <v>0.18240000000000001</v>
      </c>
      <c r="P197" s="36">
        <v>0</v>
      </c>
      <c r="Q197" s="36">
        <v>0</v>
      </c>
      <c r="R197" s="36">
        <v>0</v>
      </c>
      <c r="S197" s="36">
        <v>163680.14000000001</v>
      </c>
      <c r="T197" s="36">
        <v>9421.5400000000063</v>
      </c>
      <c r="U197" s="36">
        <v>5765.86</v>
      </c>
      <c r="V197" s="36">
        <v>0</v>
      </c>
      <c r="W197" s="36">
        <v>0</v>
      </c>
      <c r="X197" s="36">
        <v>0</v>
      </c>
      <c r="Y197" s="36">
        <v>0</v>
      </c>
      <c r="Z197" s="36">
        <v>4785.55</v>
      </c>
      <c r="AA197" s="36">
        <v>51108.480000000003</v>
      </c>
      <c r="AB197" s="36">
        <v>192345.68</v>
      </c>
      <c r="AC197" s="36">
        <v>783756.19</v>
      </c>
      <c r="AD197" s="37">
        <v>80.930000000000007</v>
      </c>
      <c r="AE197" s="36">
        <v>753660.47</v>
      </c>
      <c r="AF197" s="69">
        <f t="shared" si="54"/>
        <v>9312.5</v>
      </c>
      <c r="AG197" s="69">
        <f t="shared" si="55"/>
        <v>9684.3700000000008</v>
      </c>
      <c r="AH197" s="70">
        <f t="shared" si="52"/>
        <v>371.87</v>
      </c>
      <c r="AI197" s="37">
        <v>20.05</v>
      </c>
      <c r="AJ197" s="36">
        <v>182928.85</v>
      </c>
      <c r="AK197" s="69">
        <f t="shared" si="56"/>
        <v>9123.6299999999992</v>
      </c>
      <c r="AL197" s="69">
        <f t="shared" si="57"/>
        <v>9593.2999999999993</v>
      </c>
      <c r="AM197" s="70">
        <f t="shared" si="53"/>
        <v>469.67</v>
      </c>
      <c r="AN197" s="36">
        <v>0</v>
      </c>
      <c r="AO197" s="36">
        <v>0</v>
      </c>
    </row>
    <row r="198" spans="1:41" s="3" customFormat="1">
      <c r="A198" s="55" t="s">
        <v>662</v>
      </c>
      <c r="B198" s="55" t="s">
        <v>259</v>
      </c>
      <c r="C198" s="55" t="s">
        <v>1019</v>
      </c>
      <c r="D198" s="36">
        <v>0</v>
      </c>
      <c r="E198" s="36">
        <v>116390.65</v>
      </c>
      <c r="F198" s="36">
        <v>11279.9</v>
      </c>
      <c r="G198" s="36">
        <v>18563796</v>
      </c>
      <c r="H198" s="36">
        <v>3614589.8</v>
      </c>
      <c r="I198" s="36">
        <v>200693.56</v>
      </c>
      <c r="J198" s="36">
        <v>2106105.73</v>
      </c>
      <c r="K198" s="36">
        <v>731933.63</v>
      </c>
      <c r="L198" s="36">
        <v>306475.09000000003</v>
      </c>
      <c r="M198" s="36">
        <v>5645895.29</v>
      </c>
      <c r="N198" s="49">
        <v>3.8199999999999998E-2</v>
      </c>
      <c r="O198" s="64">
        <v>0.1542</v>
      </c>
      <c r="P198" s="36">
        <v>0</v>
      </c>
      <c r="Q198" s="36">
        <v>0</v>
      </c>
      <c r="R198" s="36">
        <v>0</v>
      </c>
      <c r="S198" s="36">
        <v>175248.99</v>
      </c>
      <c r="T198" s="36">
        <v>16898.860000000041</v>
      </c>
      <c r="U198" s="36">
        <v>5759.66</v>
      </c>
      <c r="V198" s="36">
        <v>0</v>
      </c>
      <c r="W198" s="36">
        <v>0</v>
      </c>
      <c r="X198" s="36">
        <v>0</v>
      </c>
      <c r="Y198" s="36">
        <v>0</v>
      </c>
      <c r="Z198" s="36">
        <v>0</v>
      </c>
      <c r="AA198" s="36">
        <v>0</v>
      </c>
      <c r="AB198" s="36">
        <v>1312781.54</v>
      </c>
      <c r="AC198" s="36">
        <v>6176154.4800000004</v>
      </c>
      <c r="AD198" s="37">
        <v>574.78</v>
      </c>
      <c r="AE198" s="36">
        <v>5431774.3799999999</v>
      </c>
      <c r="AF198" s="69">
        <f t="shared" si="54"/>
        <v>9450.18</v>
      </c>
      <c r="AG198" s="69">
        <f t="shared" si="55"/>
        <v>10745.25</v>
      </c>
      <c r="AH198" s="70">
        <f t="shared" si="52"/>
        <v>1295.07</v>
      </c>
      <c r="AI198" s="37">
        <v>134.66999999999999</v>
      </c>
      <c r="AJ198" s="36">
        <v>1248321.8700000001</v>
      </c>
      <c r="AK198" s="69">
        <f t="shared" si="56"/>
        <v>9269.49</v>
      </c>
      <c r="AL198" s="69">
        <f t="shared" si="57"/>
        <v>9748.14</v>
      </c>
      <c r="AM198" s="70">
        <f t="shared" si="53"/>
        <v>478.65</v>
      </c>
      <c r="AN198" s="36">
        <v>25000</v>
      </c>
      <c r="AO198" s="36">
        <v>0</v>
      </c>
    </row>
    <row r="199" spans="1:41" s="3" customFormat="1">
      <c r="A199" s="55" t="s">
        <v>577</v>
      </c>
      <c r="B199" s="55" t="s">
        <v>170</v>
      </c>
      <c r="C199" s="55" t="s">
        <v>1020</v>
      </c>
      <c r="D199" s="36">
        <v>0</v>
      </c>
      <c r="E199" s="36">
        <v>204855.31</v>
      </c>
      <c r="F199" s="36">
        <v>55465.27</v>
      </c>
      <c r="G199" s="36">
        <v>10400700.109999999</v>
      </c>
      <c r="H199" s="36">
        <v>1530004.4</v>
      </c>
      <c r="I199" s="36">
        <v>1850418.57</v>
      </c>
      <c r="J199" s="36">
        <v>2333522.64</v>
      </c>
      <c r="K199" s="36">
        <v>590667.52000000002</v>
      </c>
      <c r="L199" s="36">
        <v>187284.07</v>
      </c>
      <c r="M199" s="36">
        <v>1278458.55</v>
      </c>
      <c r="N199" s="49">
        <v>5.16E-2</v>
      </c>
      <c r="O199" s="64">
        <v>0.1178</v>
      </c>
      <c r="P199" s="36">
        <v>0</v>
      </c>
      <c r="Q199" s="36">
        <v>0</v>
      </c>
      <c r="R199" s="36">
        <v>0</v>
      </c>
      <c r="S199" s="36">
        <v>0</v>
      </c>
      <c r="T199" s="36">
        <v>0</v>
      </c>
      <c r="U199" s="36">
        <v>0</v>
      </c>
      <c r="V199" s="36">
        <v>0</v>
      </c>
      <c r="W199" s="36">
        <v>0</v>
      </c>
      <c r="X199" s="36">
        <v>0</v>
      </c>
      <c r="Y199" s="36">
        <v>0</v>
      </c>
      <c r="Z199" s="36">
        <v>13939.89</v>
      </c>
      <c r="AA199" s="36">
        <v>77175.929999999993</v>
      </c>
      <c r="AB199" s="36">
        <v>316431.82</v>
      </c>
      <c r="AC199" s="36">
        <v>1417977.6</v>
      </c>
      <c r="AD199" s="37">
        <v>127.02</v>
      </c>
      <c r="AE199" s="36">
        <v>1177050.01</v>
      </c>
      <c r="AF199" s="69">
        <f t="shared" si="54"/>
        <v>9266.65</v>
      </c>
      <c r="AG199" s="69">
        <f t="shared" si="55"/>
        <v>11163.42</v>
      </c>
      <c r="AH199" s="70">
        <f t="shared" ref="AH199:AH262" si="58">ROUND(AG199-AF199,2)</f>
        <v>1896.77</v>
      </c>
      <c r="AI199" s="37">
        <v>33.130000000000003</v>
      </c>
      <c r="AJ199" s="36">
        <v>300925.86</v>
      </c>
      <c r="AK199" s="69">
        <f t="shared" si="56"/>
        <v>9083.18</v>
      </c>
      <c r="AL199" s="69">
        <f t="shared" si="57"/>
        <v>9551.2199999999993</v>
      </c>
      <c r="AM199" s="70">
        <f t="shared" ref="AM199:AM262" si="59">ROUND(AL199-AK199,2)</f>
        <v>468.04</v>
      </c>
      <c r="AN199" s="36">
        <v>0</v>
      </c>
      <c r="AO199" s="36">
        <v>0</v>
      </c>
    </row>
    <row r="200" spans="1:41" s="3" customFormat="1">
      <c r="A200" s="55" t="s">
        <v>556</v>
      </c>
      <c r="B200" s="55" t="s">
        <v>149</v>
      </c>
      <c r="C200" s="55" t="s">
        <v>1021</v>
      </c>
      <c r="D200" s="36">
        <v>0</v>
      </c>
      <c r="E200" s="36">
        <v>1205.56</v>
      </c>
      <c r="F200" s="36">
        <v>0</v>
      </c>
      <c r="G200" s="36">
        <v>1618758.51</v>
      </c>
      <c r="H200" s="36">
        <v>303728.40999999997</v>
      </c>
      <c r="I200" s="36">
        <v>269498.42</v>
      </c>
      <c r="J200" s="36">
        <v>329940.58</v>
      </c>
      <c r="K200" s="36">
        <v>0</v>
      </c>
      <c r="L200" s="36">
        <v>26754.86</v>
      </c>
      <c r="M200" s="36">
        <v>750907.67</v>
      </c>
      <c r="N200" s="49">
        <v>4.41E-2</v>
      </c>
      <c r="O200" s="64">
        <v>0.19389999999999999</v>
      </c>
      <c r="P200" s="36">
        <v>0</v>
      </c>
      <c r="Q200" s="36">
        <v>0</v>
      </c>
      <c r="R200" s="36">
        <v>0</v>
      </c>
      <c r="S200" s="36">
        <v>0</v>
      </c>
      <c r="T200" s="36">
        <v>0</v>
      </c>
      <c r="U200" s="36">
        <v>0</v>
      </c>
      <c r="V200" s="36">
        <v>0</v>
      </c>
      <c r="W200" s="36">
        <v>0</v>
      </c>
      <c r="X200" s="36">
        <v>0</v>
      </c>
      <c r="Y200" s="36">
        <v>0</v>
      </c>
      <c r="Z200" s="36">
        <v>408.12</v>
      </c>
      <c r="AA200" s="36">
        <v>80443.58</v>
      </c>
      <c r="AB200" s="36">
        <v>160500.96</v>
      </c>
      <c r="AC200" s="36">
        <v>921759.11</v>
      </c>
      <c r="AD200" s="37">
        <v>92.18</v>
      </c>
      <c r="AE200" s="36">
        <v>854265.36</v>
      </c>
      <c r="AF200" s="69">
        <f t="shared" ref="AF200:AF263" si="60">IFERROR(ROUND(AE200/AD200,2),0)</f>
        <v>9267.36</v>
      </c>
      <c r="AG200" s="69">
        <f t="shared" ref="AG200:AG263" si="61">IFERROR(ROUND(AC200/AD200,2),0)</f>
        <v>9999.56</v>
      </c>
      <c r="AH200" s="70">
        <f t="shared" si="58"/>
        <v>732.2</v>
      </c>
      <c r="AI200" s="37">
        <v>16.809999999999999</v>
      </c>
      <c r="AJ200" s="36">
        <v>152703.76999999999</v>
      </c>
      <c r="AK200" s="69">
        <f t="shared" ref="AK200:AK263" si="62">IFERROR(ROUND(AJ200/AI200,2),0)</f>
        <v>9084.1</v>
      </c>
      <c r="AL200" s="69">
        <f t="shared" ref="AL200:AL263" si="63">IFERROR(ROUND(AB200/AI200,2),0)</f>
        <v>9547.9500000000007</v>
      </c>
      <c r="AM200" s="70">
        <f t="shared" si="59"/>
        <v>463.85</v>
      </c>
      <c r="AN200" s="36">
        <v>0</v>
      </c>
      <c r="AO200" s="36">
        <v>0</v>
      </c>
    </row>
    <row r="201" spans="1:41" s="3" customFormat="1">
      <c r="A201" s="55" t="s">
        <v>649</v>
      </c>
      <c r="B201" s="57" t="s">
        <v>244</v>
      </c>
      <c r="C201" s="55" t="s">
        <v>1022</v>
      </c>
      <c r="D201" s="36">
        <v>0</v>
      </c>
      <c r="E201" s="36">
        <v>0</v>
      </c>
      <c r="F201" s="36">
        <v>0</v>
      </c>
      <c r="G201" s="36">
        <v>59110.7</v>
      </c>
      <c r="H201" s="36">
        <v>7540.68</v>
      </c>
      <c r="I201" s="36">
        <v>12673.43</v>
      </c>
      <c r="J201" s="36">
        <v>20539.68</v>
      </c>
      <c r="K201" s="36">
        <v>0</v>
      </c>
      <c r="L201" s="36">
        <v>0</v>
      </c>
      <c r="M201" s="36">
        <v>108650.78</v>
      </c>
      <c r="N201" s="49">
        <v>6.6799999999999998E-2</v>
      </c>
      <c r="O201" s="64">
        <v>0.2223</v>
      </c>
      <c r="P201" s="36">
        <v>0</v>
      </c>
      <c r="Q201" s="36">
        <v>0</v>
      </c>
      <c r="R201" s="36">
        <v>0</v>
      </c>
      <c r="S201" s="36">
        <v>0</v>
      </c>
      <c r="T201" s="36">
        <v>0</v>
      </c>
      <c r="U201" s="36">
        <v>0</v>
      </c>
      <c r="V201" s="36">
        <v>0</v>
      </c>
      <c r="W201" s="36">
        <v>0</v>
      </c>
      <c r="X201" s="36">
        <v>0</v>
      </c>
      <c r="Y201" s="36">
        <v>0</v>
      </c>
      <c r="Z201" s="36">
        <v>0</v>
      </c>
      <c r="AA201" s="36">
        <v>0</v>
      </c>
      <c r="AB201" s="36">
        <v>0</v>
      </c>
      <c r="AC201" s="36">
        <v>0</v>
      </c>
      <c r="AD201" s="37">
        <v>0</v>
      </c>
      <c r="AE201" s="36">
        <v>0</v>
      </c>
      <c r="AF201" s="69">
        <f t="shared" si="60"/>
        <v>0</v>
      </c>
      <c r="AG201" s="69">
        <f t="shared" si="61"/>
        <v>0</v>
      </c>
      <c r="AH201" s="70">
        <f t="shared" si="58"/>
        <v>0</v>
      </c>
      <c r="AI201" s="37">
        <v>0</v>
      </c>
      <c r="AJ201" s="36">
        <v>0</v>
      </c>
      <c r="AK201" s="69">
        <f t="shared" si="62"/>
        <v>0</v>
      </c>
      <c r="AL201" s="69">
        <f t="shared" si="63"/>
        <v>0</v>
      </c>
      <c r="AM201" s="70">
        <f t="shared" si="59"/>
        <v>0</v>
      </c>
      <c r="AN201" s="36">
        <v>0</v>
      </c>
      <c r="AO201" s="36">
        <v>0</v>
      </c>
    </row>
    <row r="202" spans="1:41" s="3" customFormat="1">
      <c r="A202" s="55" t="s">
        <v>608</v>
      </c>
      <c r="B202" s="55" t="s">
        <v>202</v>
      </c>
      <c r="C202" s="55" t="s">
        <v>1023</v>
      </c>
      <c r="D202" s="36">
        <v>0</v>
      </c>
      <c r="E202" s="36">
        <v>0</v>
      </c>
      <c r="F202" s="36">
        <v>0</v>
      </c>
      <c r="G202" s="36">
        <v>1569017.77</v>
      </c>
      <c r="H202" s="36">
        <v>133161.26999999999</v>
      </c>
      <c r="I202" s="36">
        <v>0</v>
      </c>
      <c r="J202" s="36">
        <v>151875.95000000001</v>
      </c>
      <c r="K202" s="36">
        <v>106998.26</v>
      </c>
      <c r="L202" s="36">
        <v>26907.16</v>
      </c>
      <c r="M202" s="36">
        <v>216402.52</v>
      </c>
      <c r="N202" s="49">
        <v>0.1123</v>
      </c>
      <c r="O202" s="64">
        <v>0.2611</v>
      </c>
      <c r="P202" s="36">
        <v>0</v>
      </c>
      <c r="Q202" s="36">
        <v>0</v>
      </c>
      <c r="R202" s="36">
        <v>0</v>
      </c>
      <c r="S202" s="36">
        <v>0</v>
      </c>
      <c r="T202" s="36">
        <v>0</v>
      </c>
      <c r="U202" s="36">
        <v>0</v>
      </c>
      <c r="V202" s="36">
        <v>0</v>
      </c>
      <c r="W202" s="36">
        <v>0</v>
      </c>
      <c r="X202" s="36">
        <v>0</v>
      </c>
      <c r="Y202" s="36">
        <v>0</v>
      </c>
      <c r="Z202" s="36">
        <v>0</v>
      </c>
      <c r="AA202" s="36">
        <v>9941.42</v>
      </c>
      <c r="AB202" s="36">
        <v>0</v>
      </c>
      <c r="AC202" s="36">
        <v>133970.01999999999</v>
      </c>
      <c r="AD202" s="37">
        <v>12.94</v>
      </c>
      <c r="AE202" s="36">
        <v>129816.21</v>
      </c>
      <c r="AF202" s="69">
        <f t="shared" si="60"/>
        <v>10032.16</v>
      </c>
      <c r="AG202" s="69">
        <f t="shared" si="61"/>
        <v>10353.17</v>
      </c>
      <c r="AH202" s="70">
        <f t="shared" si="58"/>
        <v>321.01</v>
      </c>
      <c r="AI202" s="37">
        <v>0</v>
      </c>
      <c r="AJ202" s="36">
        <v>0</v>
      </c>
      <c r="AK202" s="69">
        <f t="shared" si="62"/>
        <v>0</v>
      </c>
      <c r="AL202" s="69">
        <f t="shared" si="63"/>
        <v>0</v>
      </c>
      <c r="AM202" s="70">
        <f t="shared" si="59"/>
        <v>0</v>
      </c>
      <c r="AN202" s="36">
        <v>0</v>
      </c>
      <c r="AO202" s="36">
        <v>0</v>
      </c>
    </row>
    <row r="203" spans="1:41" s="3" customFormat="1">
      <c r="A203" s="55" t="s">
        <v>637</v>
      </c>
      <c r="B203" s="55" t="s">
        <v>231</v>
      </c>
      <c r="C203" s="55" t="s">
        <v>1024</v>
      </c>
      <c r="D203" s="36">
        <v>0</v>
      </c>
      <c r="E203" s="36">
        <v>0</v>
      </c>
      <c r="F203" s="36">
        <v>0</v>
      </c>
      <c r="G203" s="36">
        <v>86259.4</v>
      </c>
      <c r="H203" s="36">
        <v>6970.06</v>
      </c>
      <c r="I203" s="36">
        <v>0</v>
      </c>
      <c r="J203" s="36">
        <v>2058.0700000000002</v>
      </c>
      <c r="K203" s="36">
        <v>0</v>
      </c>
      <c r="L203" s="36">
        <v>0</v>
      </c>
      <c r="M203" s="36">
        <v>41417.230000000003</v>
      </c>
      <c r="N203" s="49">
        <v>3.0599999999999999E-2</v>
      </c>
      <c r="O203" s="64">
        <v>0.2918</v>
      </c>
      <c r="P203" s="36">
        <v>0</v>
      </c>
      <c r="Q203" s="36">
        <v>0</v>
      </c>
      <c r="R203" s="36">
        <v>0</v>
      </c>
      <c r="S203" s="36">
        <v>0</v>
      </c>
      <c r="T203" s="36">
        <v>0</v>
      </c>
      <c r="U203" s="36">
        <v>0</v>
      </c>
      <c r="V203" s="36">
        <v>0</v>
      </c>
      <c r="W203" s="36">
        <v>0</v>
      </c>
      <c r="X203" s="36">
        <v>0</v>
      </c>
      <c r="Y203" s="36">
        <v>0</v>
      </c>
      <c r="Z203" s="36">
        <v>0</v>
      </c>
      <c r="AA203" s="36">
        <v>0</v>
      </c>
      <c r="AB203" s="36">
        <v>0</v>
      </c>
      <c r="AC203" s="36">
        <v>0</v>
      </c>
      <c r="AD203" s="37">
        <v>0</v>
      </c>
      <c r="AE203" s="36">
        <v>0</v>
      </c>
      <c r="AF203" s="69">
        <f t="shared" si="60"/>
        <v>0</v>
      </c>
      <c r="AG203" s="69">
        <f t="shared" si="61"/>
        <v>0</v>
      </c>
      <c r="AH203" s="70">
        <f t="shared" si="58"/>
        <v>0</v>
      </c>
      <c r="AI203" s="37">
        <v>0</v>
      </c>
      <c r="AJ203" s="36">
        <v>0</v>
      </c>
      <c r="AK203" s="69">
        <f t="shared" si="62"/>
        <v>0</v>
      </c>
      <c r="AL203" s="69">
        <f t="shared" si="63"/>
        <v>0</v>
      </c>
      <c r="AM203" s="70">
        <f t="shared" si="59"/>
        <v>0</v>
      </c>
      <c r="AN203" s="36">
        <v>0</v>
      </c>
      <c r="AO203" s="36">
        <v>0</v>
      </c>
    </row>
    <row r="204" spans="1:41" s="3" customFormat="1">
      <c r="A204" s="55" t="s">
        <v>469</v>
      </c>
      <c r="B204" s="55" t="s">
        <v>62</v>
      </c>
      <c r="C204" s="55" t="s">
        <v>1025</v>
      </c>
      <c r="D204" s="36">
        <v>0</v>
      </c>
      <c r="E204" s="36">
        <v>0</v>
      </c>
      <c r="F204" s="36">
        <v>998.25</v>
      </c>
      <c r="G204" s="36">
        <v>79871.64</v>
      </c>
      <c r="H204" s="36">
        <v>6533.32</v>
      </c>
      <c r="I204" s="36">
        <v>10925.36</v>
      </c>
      <c r="J204" s="36">
        <v>17152.82</v>
      </c>
      <c r="K204" s="36">
        <v>0</v>
      </c>
      <c r="L204" s="36">
        <v>1311.04</v>
      </c>
      <c r="M204" s="36">
        <v>305471.28999999998</v>
      </c>
      <c r="N204" s="49">
        <v>4.0300000000000002E-2</v>
      </c>
      <c r="O204" s="64">
        <v>0.24210000000000001</v>
      </c>
      <c r="P204" s="36">
        <v>0</v>
      </c>
      <c r="Q204" s="36">
        <v>0</v>
      </c>
      <c r="R204" s="36">
        <v>0</v>
      </c>
      <c r="S204" s="36">
        <v>0</v>
      </c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6">
        <v>0</v>
      </c>
      <c r="AB204" s="36">
        <v>0</v>
      </c>
      <c r="AC204" s="36">
        <v>0</v>
      </c>
      <c r="AD204" s="37">
        <v>0</v>
      </c>
      <c r="AE204" s="36">
        <v>0</v>
      </c>
      <c r="AF204" s="69">
        <f t="shared" si="60"/>
        <v>0</v>
      </c>
      <c r="AG204" s="69">
        <f t="shared" si="61"/>
        <v>0</v>
      </c>
      <c r="AH204" s="70">
        <f t="shared" si="58"/>
        <v>0</v>
      </c>
      <c r="AI204" s="37">
        <v>0</v>
      </c>
      <c r="AJ204" s="36">
        <v>0</v>
      </c>
      <c r="AK204" s="69">
        <f t="shared" si="62"/>
        <v>0</v>
      </c>
      <c r="AL204" s="69">
        <f t="shared" si="63"/>
        <v>0</v>
      </c>
      <c r="AM204" s="70">
        <f t="shared" si="59"/>
        <v>0</v>
      </c>
      <c r="AN204" s="36">
        <v>0</v>
      </c>
      <c r="AO204" s="36">
        <v>0</v>
      </c>
    </row>
    <row r="205" spans="1:41" s="3" customFormat="1">
      <c r="A205" s="55" t="s">
        <v>461</v>
      </c>
      <c r="B205" s="55" t="s">
        <v>54</v>
      </c>
      <c r="C205" s="55" t="s">
        <v>1026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34662.17</v>
      </c>
      <c r="J205" s="36">
        <v>67482.92</v>
      </c>
      <c r="K205" s="36">
        <v>91585.44</v>
      </c>
      <c r="L205" s="36">
        <v>3357.9</v>
      </c>
      <c r="M205" s="36">
        <v>349175.07</v>
      </c>
      <c r="N205" s="49">
        <v>0.14829999999999999</v>
      </c>
      <c r="O205" s="64">
        <v>0.27489999999999998</v>
      </c>
      <c r="P205" s="36">
        <v>0</v>
      </c>
      <c r="Q205" s="36">
        <v>0</v>
      </c>
      <c r="R205" s="36">
        <v>0</v>
      </c>
      <c r="S205" s="36">
        <v>0</v>
      </c>
      <c r="T205" s="36">
        <v>0</v>
      </c>
      <c r="U205" s="36">
        <v>0</v>
      </c>
      <c r="V205" s="36">
        <v>0</v>
      </c>
      <c r="W205" s="36">
        <v>0</v>
      </c>
      <c r="X205" s="36">
        <v>0</v>
      </c>
      <c r="Y205" s="36">
        <v>0</v>
      </c>
      <c r="Z205" s="36">
        <v>0</v>
      </c>
      <c r="AA205" s="36">
        <v>0</v>
      </c>
      <c r="AB205" s="36">
        <v>28962.42</v>
      </c>
      <c r="AC205" s="36">
        <v>0</v>
      </c>
      <c r="AD205" s="37">
        <v>0</v>
      </c>
      <c r="AE205" s="36">
        <v>0</v>
      </c>
      <c r="AF205" s="69">
        <f t="shared" si="60"/>
        <v>0</v>
      </c>
      <c r="AG205" s="69">
        <f t="shared" si="61"/>
        <v>0</v>
      </c>
      <c r="AH205" s="70">
        <f t="shared" si="58"/>
        <v>0</v>
      </c>
      <c r="AI205" s="37">
        <v>3.03</v>
      </c>
      <c r="AJ205" s="36">
        <v>27470.17</v>
      </c>
      <c r="AK205" s="69">
        <f t="shared" si="62"/>
        <v>9066.06</v>
      </c>
      <c r="AL205" s="69">
        <f t="shared" si="63"/>
        <v>9558.5499999999993</v>
      </c>
      <c r="AM205" s="70">
        <f t="shared" si="59"/>
        <v>492.49</v>
      </c>
      <c r="AN205" s="36">
        <v>0</v>
      </c>
      <c r="AO205" s="36">
        <v>0</v>
      </c>
    </row>
    <row r="206" spans="1:41" s="3" customFormat="1">
      <c r="A206" s="55" t="s">
        <v>583</v>
      </c>
      <c r="B206" s="55" t="s">
        <v>176</v>
      </c>
      <c r="C206" s="55" t="s">
        <v>1027</v>
      </c>
      <c r="D206" s="36">
        <v>0</v>
      </c>
      <c r="E206" s="36">
        <v>11687.08</v>
      </c>
      <c r="F206" s="36">
        <v>0</v>
      </c>
      <c r="G206" s="36">
        <v>924001.13</v>
      </c>
      <c r="H206" s="36">
        <v>103772.84</v>
      </c>
      <c r="I206" s="36">
        <v>151755.34</v>
      </c>
      <c r="J206" s="36">
        <v>241768.67</v>
      </c>
      <c r="K206" s="36">
        <v>102247.31</v>
      </c>
      <c r="L206" s="36">
        <v>0</v>
      </c>
      <c r="M206" s="36">
        <v>251275.17</v>
      </c>
      <c r="N206" s="49">
        <v>3.39E-2</v>
      </c>
      <c r="O206" s="64">
        <v>0.32400000000000001</v>
      </c>
      <c r="P206" s="36">
        <v>0</v>
      </c>
      <c r="Q206" s="36">
        <v>0</v>
      </c>
      <c r="R206" s="36">
        <v>0</v>
      </c>
      <c r="S206" s="36">
        <v>0</v>
      </c>
      <c r="T206" s="36">
        <v>0</v>
      </c>
      <c r="U206" s="36">
        <v>0</v>
      </c>
      <c r="V206" s="36">
        <v>0</v>
      </c>
      <c r="W206" s="36">
        <v>0</v>
      </c>
      <c r="X206" s="36">
        <v>0</v>
      </c>
      <c r="Y206" s="36">
        <v>0</v>
      </c>
      <c r="Z206" s="36">
        <v>0</v>
      </c>
      <c r="AA206" s="36">
        <v>0</v>
      </c>
      <c r="AB206" s="36">
        <v>55342.19</v>
      </c>
      <c r="AC206" s="36">
        <v>292373.28000000003</v>
      </c>
      <c r="AD206" s="37">
        <v>30.63</v>
      </c>
      <c r="AE206" s="36">
        <v>283721.65999999997</v>
      </c>
      <c r="AF206" s="69">
        <f t="shared" si="60"/>
        <v>9262.8700000000008</v>
      </c>
      <c r="AG206" s="69">
        <f t="shared" si="61"/>
        <v>9545.32</v>
      </c>
      <c r="AH206" s="70">
        <f t="shared" si="58"/>
        <v>282.45</v>
      </c>
      <c r="AI206" s="37">
        <v>5.78</v>
      </c>
      <c r="AJ206" s="36">
        <v>52394.73</v>
      </c>
      <c r="AK206" s="69">
        <f t="shared" si="62"/>
        <v>9064.83</v>
      </c>
      <c r="AL206" s="69">
        <f t="shared" si="63"/>
        <v>9574.77</v>
      </c>
      <c r="AM206" s="70">
        <f t="shared" si="59"/>
        <v>509.94</v>
      </c>
      <c r="AN206" s="36">
        <v>0</v>
      </c>
      <c r="AO206" s="36">
        <v>0</v>
      </c>
    </row>
    <row r="207" spans="1:41" s="3" customFormat="1">
      <c r="A207" s="55" t="s">
        <v>599</v>
      </c>
      <c r="B207" s="55" t="s">
        <v>193</v>
      </c>
      <c r="C207" s="55" t="s">
        <v>1028</v>
      </c>
      <c r="D207" s="36">
        <v>0</v>
      </c>
      <c r="E207" s="36">
        <v>19436.45</v>
      </c>
      <c r="F207" s="36">
        <v>0</v>
      </c>
      <c r="G207" s="36">
        <v>5659192.8600000003</v>
      </c>
      <c r="H207" s="36">
        <v>989928.25</v>
      </c>
      <c r="I207" s="36">
        <v>0</v>
      </c>
      <c r="J207" s="36">
        <v>632896.80000000005</v>
      </c>
      <c r="K207" s="36">
        <v>356570.2</v>
      </c>
      <c r="L207" s="36">
        <v>0</v>
      </c>
      <c r="M207" s="36">
        <v>2532560.81</v>
      </c>
      <c r="N207" s="49">
        <v>5.9400000000000001E-2</v>
      </c>
      <c r="O207" s="64">
        <v>0.19</v>
      </c>
      <c r="P207" s="36">
        <v>0</v>
      </c>
      <c r="Q207" s="36">
        <v>0</v>
      </c>
      <c r="R207" s="36">
        <v>0</v>
      </c>
      <c r="S207" s="36">
        <v>0</v>
      </c>
      <c r="T207" s="36">
        <v>0</v>
      </c>
      <c r="U207" s="36">
        <v>0</v>
      </c>
      <c r="V207" s="36">
        <v>0</v>
      </c>
      <c r="W207" s="36">
        <v>0</v>
      </c>
      <c r="X207" s="36">
        <v>0</v>
      </c>
      <c r="Y207" s="36">
        <v>0</v>
      </c>
      <c r="Z207" s="36">
        <v>14997.64</v>
      </c>
      <c r="AA207" s="36">
        <v>5389.34</v>
      </c>
      <c r="AB207" s="36">
        <v>931743.37</v>
      </c>
      <c r="AC207" s="36">
        <v>2836024.14</v>
      </c>
      <c r="AD207" s="37">
        <v>280.52</v>
      </c>
      <c r="AE207" s="36">
        <v>2706647.21</v>
      </c>
      <c r="AF207" s="69">
        <f t="shared" si="60"/>
        <v>9648.68</v>
      </c>
      <c r="AG207" s="69">
        <f t="shared" si="61"/>
        <v>10109.879999999999</v>
      </c>
      <c r="AH207" s="70">
        <f t="shared" si="58"/>
        <v>461.2</v>
      </c>
      <c r="AI207" s="37">
        <v>93.63</v>
      </c>
      <c r="AJ207" s="36">
        <v>886424.67</v>
      </c>
      <c r="AK207" s="69">
        <f t="shared" si="62"/>
        <v>9467.31</v>
      </c>
      <c r="AL207" s="69">
        <f t="shared" si="63"/>
        <v>9951.33</v>
      </c>
      <c r="AM207" s="70">
        <f t="shared" si="59"/>
        <v>484.02</v>
      </c>
      <c r="AN207" s="36">
        <v>0</v>
      </c>
      <c r="AO207" s="36">
        <v>0</v>
      </c>
    </row>
    <row r="208" spans="1:41" s="3" customFormat="1">
      <c r="A208" s="55" t="s">
        <v>421</v>
      </c>
      <c r="B208" s="55" t="s">
        <v>14</v>
      </c>
      <c r="C208" s="55" t="s">
        <v>1029</v>
      </c>
      <c r="D208" s="36">
        <v>179562.77</v>
      </c>
      <c r="E208" s="36">
        <v>0</v>
      </c>
      <c r="F208" s="36">
        <v>62619.6</v>
      </c>
      <c r="G208" s="36">
        <v>5943404.2699999996</v>
      </c>
      <c r="H208" s="36">
        <v>1068127.21</v>
      </c>
      <c r="I208" s="36">
        <v>1432739.36</v>
      </c>
      <c r="J208" s="36">
        <v>2502500.7599999998</v>
      </c>
      <c r="K208" s="36">
        <v>3272553.93</v>
      </c>
      <c r="L208" s="36">
        <v>139190.32</v>
      </c>
      <c r="M208" s="36">
        <v>2924899.21</v>
      </c>
      <c r="N208" s="49">
        <v>4.1300000000000003E-2</v>
      </c>
      <c r="O208" s="64">
        <v>0.14860000000000001</v>
      </c>
      <c r="P208" s="36">
        <v>0</v>
      </c>
      <c r="Q208" s="36">
        <v>0</v>
      </c>
      <c r="R208" s="36">
        <v>0</v>
      </c>
      <c r="S208" s="36">
        <v>0</v>
      </c>
      <c r="T208" s="36">
        <v>0</v>
      </c>
      <c r="U208" s="36">
        <v>0</v>
      </c>
      <c r="V208" s="36">
        <v>0</v>
      </c>
      <c r="W208" s="36">
        <v>0</v>
      </c>
      <c r="X208" s="36">
        <v>0</v>
      </c>
      <c r="Y208" s="36">
        <v>0</v>
      </c>
      <c r="Z208" s="36">
        <v>0</v>
      </c>
      <c r="AA208" s="36">
        <v>203582.48</v>
      </c>
      <c r="AB208" s="36">
        <v>273163.45</v>
      </c>
      <c r="AC208" s="36">
        <v>2731170.3</v>
      </c>
      <c r="AD208" s="37">
        <v>271.83</v>
      </c>
      <c r="AE208" s="36">
        <v>2518742.62</v>
      </c>
      <c r="AF208" s="69">
        <f t="shared" si="60"/>
        <v>9265.8700000000008</v>
      </c>
      <c r="AG208" s="69">
        <f t="shared" si="61"/>
        <v>10047.35</v>
      </c>
      <c r="AH208" s="70">
        <f t="shared" si="58"/>
        <v>781.48</v>
      </c>
      <c r="AI208" s="37">
        <v>28.61</v>
      </c>
      <c r="AJ208" s="36">
        <v>259823.41</v>
      </c>
      <c r="AK208" s="69">
        <f t="shared" si="62"/>
        <v>9081.56</v>
      </c>
      <c r="AL208" s="69">
        <f t="shared" si="63"/>
        <v>9547.83</v>
      </c>
      <c r="AM208" s="70">
        <f t="shared" si="59"/>
        <v>466.27</v>
      </c>
      <c r="AN208" s="36">
        <v>3000</v>
      </c>
      <c r="AO208" s="36">
        <v>0</v>
      </c>
    </row>
    <row r="209" spans="1:41" s="3" customFormat="1">
      <c r="A209" s="55" t="s">
        <v>463</v>
      </c>
      <c r="B209" s="55" t="s">
        <v>56</v>
      </c>
      <c r="C209" s="55" t="s">
        <v>1030</v>
      </c>
      <c r="D209" s="36">
        <v>0</v>
      </c>
      <c r="E209" s="36">
        <v>347.98</v>
      </c>
      <c r="F209" s="36">
        <v>108.02</v>
      </c>
      <c r="G209" s="36">
        <v>0</v>
      </c>
      <c r="H209" s="36">
        <v>0</v>
      </c>
      <c r="I209" s="36">
        <v>8448.9</v>
      </c>
      <c r="J209" s="36">
        <v>16897.8</v>
      </c>
      <c r="K209" s="36">
        <v>13647.2</v>
      </c>
      <c r="L209" s="36">
        <v>974.87</v>
      </c>
      <c r="M209" s="36">
        <v>105039.79</v>
      </c>
      <c r="N209" s="49">
        <v>0.1046</v>
      </c>
      <c r="O209" s="64">
        <v>0.48349999999999999</v>
      </c>
      <c r="P209" s="36">
        <v>0</v>
      </c>
      <c r="Q209" s="36">
        <v>0</v>
      </c>
      <c r="R209" s="36">
        <v>0</v>
      </c>
      <c r="S209" s="36">
        <v>0</v>
      </c>
      <c r="T209" s="36">
        <v>0</v>
      </c>
      <c r="U209" s="36">
        <v>0</v>
      </c>
      <c r="V209" s="36">
        <v>0</v>
      </c>
      <c r="W209" s="36">
        <v>0</v>
      </c>
      <c r="X209" s="36">
        <v>0</v>
      </c>
      <c r="Y209" s="36">
        <v>0</v>
      </c>
      <c r="Z209" s="36">
        <v>0</v>
      </c>
      <c r="AA209" s="36">
        <v>0</v>
      </c>
      <c r="AB209" s="36">
        <v>0</v>
      </c>
      <c r="AC209" s="36">
        <v>0</v>
      </c>
      <c r="AD209" s="37">
        <v>0</v>
      </c>
      <c r="AE209" s="36">
        <v>0</v>
      </c>
      <c r="AF209" s="69">
        <f t="shared" si="60"/>
        <v>0</v>
      </c>
      <c r="AG209" s="69">
        <f t="shared" si="61"/>
        <v>0</v>
      </c>
      <c r="AH209" s="70">
        <f t="shared" si="58"/>
        <v>0</v>
      </c>
      <c r="AI209" s="37">
        <v>0</v>
      </c>
      <c r="AJ209" s="36">
        <v>0</v>
      </c>
      <c r="AK209" s="69">
        <f t="shared" si="62"/>
        <v>0</v>
      </c>
      <c r="AL209" s="69">
        <f t="shared" si="63"/>
        <v>0</v>
      </c>
      <c r="AM209" s="70">
        <f t="shared" si="59"/>
        <v>0</v>
      </c>
      <c r="AN209" s="36">
        <v>0</v>
      </c>
      <c r="AO209" s="36">
        <v>0</v>
      </c>
    </row>
    <row r="210" spans="1:41" s="3" customFormat="1">
      <c r="A210" s="55" t="s">
        <v>687</v>
      </c>
      <c r="B210" s="55" t="s">
        <v>284</v>
      </c>
      <c r="C210" s="55" t="s">
        <v>1031</v>
      </c>
      <c r="D210" s="36">
        <v>0</v>
      </c>
      <c r="E210" s="36">
        <v>0</v>
      </c>
      <c r="F210" s="36">
        <v>0</v>
      </c>
      <c r="G210" s="36">
        <v>261813.31</v>
      </c>
      <c r="H210" s="36">
        <v>27206.07</v>
      </c>
      <c r="I210" s="36">
        <v>0</v>
      </c>
      <c r="J210" s="36">
        <v>46902.27</v>
      </c>
      <c r="K210" s="36">
        <v>0</v>
      </c>
      <c r="L210" s="36">
        <v>0</v>
      </c>
      <c r="M210" s="36">
        <v>0</v>
      </c>
      <c r="N210" s="49">
        <v>3.6400000000000002E-2</v>
      </c>
      <c r="O210" s="64">
        <v>0.2311</v>
      </c>
      <c r="P210" s="36">
        <v>0</v>
      </c>
      <c r="Q210" s="36">
        <v>0</v>
      </c>
      <c r="R210" s="36">
        <v>0</v>
      </c>
      <c r="S210" s="36">
        <v>0</v>
      </c>
      <c r="T210" s="36">
        <v>0</v>
      </c>
      <c r="U210" s="36">
        <v>0</v>
      </c>
      <c r="V210" s="36">
        <v>0</v>
      </c>
      <c r="W210" s="36">
        <v>0</v>
      </c>
      <c r="X210" s="36">
        <v>0</v>
      </c>
      <c r="Y210" s="36">
        <v>0</v>
      </c>
      <c r="Z210" s="36">
        <v>0</v>
      </c>
      <c r="AA210" s="36">
        <v>0</v>
      </c>
      <c r="AB210" s="36">
        <v>0</v>
      </c>
      <c r="AC210" s="36">
        <v>104319.7</v>
      </c>
      <c r="AD210" s="37">
        <v>10.87</v>
      </c>
      <c r="AE210" s="36">
        <v>100775.76</v>
      </c>
      <c r="AF210" s="69">
        <f t="shared" si="60"/>
        <v>9271</v>
      </c>
      <c r="AG210" s="69">
        <f t="shared" si="61"/>
        <v>9597.0300000000007</v>
      </c>
      <c r="AH210" s="70">
        <f t="shared" si="58"/>
        <v>326.02999999999997</v>
      </c>
      <c r="AI210" s="37">
        <v>0</v>
      </c>
      <c r="AJ210" s="36">
        <v>0</v>
      </c>
      <c r="AK210" s="69">
        <f t="shared" si="62"/>
        <v>0</v>
      </c>
      <c r="AL210" s="69">
        <f t="shared" si="63"/>
        <v>0</v>
      </c>
      <c r="AM210" s="70">
        <f t="shared" si="59"/>
        <v>0</v>
      </c>
      <c r="AN210" s="36">
        <v>0</v>
      </c>
      <c r="AO210" s="36">
        <v>0</v>
      </c>
    </row>
    <row r="211" spans="1:41" s="3" customFormat="1">
      <c r="A211" s="55" t="s">
        <v>815</v>
      </c>
      <c r="B211" s="57" t="s">
        <v>816</v>
      </c>
      <c r="C211" s="55" t="s">
        <v>1032</v>
      </c>
      <c r="D211" s="36">
        <v>28136.04</v>
      </c>
      <c r="E211" s="36">
        <v>0</v>
      </c>
      <c r="F211" s="36">
        <v>0</v>
      </c>
      <c r="G211" s="36">
        <v>308428.78999999998</v>
      </c>
      <c r="H211" s="36">
        <v>55874.18</v>
      </c>
      <c r="I211" s="36">
        <v>54051.33</v>
      </c>
      <c r="J211" s="36">
        <v>117743.08</v>
      </c>
      <c r="K211" s="36">
        <v>0</v>
      </c>
      <c r="L211" s="36">
        <v>0</v>
      </c>
      <c r="M211" s="36">
        <v>272384.32</v>
      </c>
      <c r="N211" s="49">
        <v>3.5000000000000003E-2</v>
      </c>
      <c r="O211" s="64">
        <v>0.14979999999999999</v>
      </c>
      <c r="P211" s="36">
        <v>0</v>
      </c>
      <c r="Q211" s="36">
        <v>0</v>
      </c>
      <c r="R211" s="36">
        <v>0</v>
      </c>
      <c r="S211" s="36">
        <v>0</v>
      </c>
      <c r="T211" s="36">
        <v>0</v>
      </c>
      <c r="U211" s="36">
        <v>0</v>
      </c>
      <c r="V211" s="36">
        <v>0</v>
      </c>
      <c r="W211" s="36">
        <v>0</v>
      </c>
      <c r="X211" s="36">
        <v>0</v>
      </c>
      <c r="Y211" s="36">
        <v>0</v>
      </c>
      <c r="Z211" s="36">
        <v>0</v>
      </c>
      <c r="AA211" s="36">
        <v>0</v>
      </c>
      <c r="AB211" s="36">
        <v>0</v>
      </c>
      <c r="AC211" s="36">
        <v>0</v>
      </c>
      <c r="AD211" s="37">
        <v>0</v>
      </c>
      <c r="AE211" s="36">
        <v>0</v>
      </c>
      <c r="AF211" s="69">
        <f t="shared" si="60"/>
        <v>0</v>
      </c>
      <c r="AG211" s="69">
        <f t="shared" si="61"/>
        <v>0</v>
      </c>
      <c r="AH211" s="70">
        <f t="shared" si="58"/>
        <v>0</v>
      </c>
      <c r="AI211" s="37">
        <v>0</v>
      </c>
      <c r="AJ211" s="36">
        <v>0</v>
      </c>
      <c r="AK211" s="69">
        <f t="shared" si="62"/>
        <v>0</v>
      </c>
      <c r="AL211" s="69">
        <f t="shared" si="63"/>
        <v>0</v>
      </c>
      <c r="AM211" s="70">
        <f t="shared" si="59"/>
        <v>0</v>
      </c>
      <c r="AN211" s="36">
        <v>0</v>
      </c>
      <c r="AO211" s="36">
        <v>0</v>
      </c>
    </row>
    <row r="212" spans="1:41" s="3" customFormat="1">
      <c r="A212" s="55" t="s">
        <v>472</v>
      </c>
      <c r="B212" s="55" t="s">
        <v>65</v>
      </c>
      <c r="C212" s="55" t="s">
        <v>1033</v>
      </c>
      <c r="D212" s="36">
        <v>0</v>
      </c>
      <c r="E212" s="36">
        <v>0</v>
      </c>
      <c r="F212" s="36">
        <v>0</v>
      </c>
      <c r="G212" s="36">
        <v>29510707.98</v>
      </c>
      <c r="H212" s="36">
        <v>6226736.9900000002</v>
      </c>
      <c r="I212" s="36">
        <v>5600324.3700000001</v>
      </c>
      <c r="J212" s="36">
        <v>9311668.4800000004</v>
      </c>
      <c r="K212" s="36">
        <v>11625914.699999999</v>
      </c>
      <c r="L212" s="36">
        <v>567593.12</v>
      </c>
      <c r="M212" s="36">
        <v>9792451.6099999994</v>
      </c>
      <c r="N212" s="49">
        <v>3.1899999999999998E-2</v>
      </c>
      <c r="O212" s="64">
        <v>0.1268</v>
      </c>
      <c r="P212" s="36">
        <v>0</v>
      </c>
      <c r="Q212" s="36">
        <v>0</v>
      </c>
      <c r="R212" s="36">
        <v>0</v>
      </c>
      <c r="S212" s="36">
        <v>0</v>
      </c>
      <c r="T212" s="36">
        <v>0</v>
      </c>
      <c r="U212" s="36">
        <v>0</v>
      </c>
      <c r="V212" s="36">
        <v>0</v>
      </c>
      <c r="W212" s="36">
        <v>0</v>
      </c>
      <c r="X212" s="36">
        <v>0</v>
      </c>
      <c r="Y212" s="36">
        <v>0</v>
      </c>
      <c r="Z212" s="36">
        <v>0</v>
      </c>
      <c r="AA212" s="36">
        <v>1060978.67</v>
      </c>
      <c r="AB212" s="36">
        <v>2166641.7400000002</v>
      </c>
      <c r="AC212" s="36">
        <v>11607193.07</v>
      </c>
      <c r="AD212" s="37">
        <v>1172.54</v>
      </c>
      <c r="AE212" s="36">
        <v>10864692.939999999</v>
      </c>
      <c r="AF212" s="69">
        <f t="shared" si="60"/>
        <v>9265.9500000000007</v>
      </c>
      <c r="AG212" s="69">
        <f t="shared" si="61"/>
        <v>9899.19</v>
      </c>
      <c r="AH212" s="70">
        <f t="shared" si="58"/>
        <v>633.24</v>
      </c>
      <c r="AI212" s="37">
        <v>226.91</v>
      </c>
      <c r="AJ212" s="36">
        <v>2061367.91</v>
      </c>
      <c r="AK212" s="69">
        <f t="shared" si="62"/>
        <v>9084.52</v>
      </c>
      <c r="AL212" s="69">
        <f t="shared" si="63"/>
        <v>9548.4599999999991</v>
      </c>
      <c r="AM212" s="70">
        <f t="shared" si="59"/>
        <v>463.94</v>
      </c>
      <c r="AN212" s="36">
        <v>0</v>
      </c>
      <c r="AO212" s="36">
        <v>0</v>
      </c>
    </row>
    <row r="213" spans="1:41" s="3" customFormat="1">
      <c r="A213" s="55" t="s">
        <v>580</v>
      </c>
      <c r="B213" s="55" t="s">
        <v>173</v>
      </c>
      <c r="C213" s="55" t="s">
        <v>1034</v>
      </c>
      <c r="D213" s="36">
        <v>0</v>
      </c>
      <c r="E213" s="36">
        <v>0</v>
      </c>
      <c r="F213" s="36">
        <v>0</v>
      </c>
      <c r="G213" s="36">
        <v>427173.98</v>
      </c>
      <c r="H213" s="36">
        <v>77356.800000000003</v>
      </c>
      <c r="I213" s="36">
        <v>74729.5</v>
      </c>
      <c r="J213" s="36">
        <v>118321.7</v>
      </c>
      <c r="K213" s="36">
        <v>68501.929999999993</v>
      </c>
      <c r="L213" s="36">
        <v>7210.74</v>
      </c>
      <c r="M213" s="36">
        <v>216559.86</v>
      </c>
      <c r="N213" s="49">
        <v>0.1191</v>
      </c>
      <c r="O213" s="64">
        <v>0.30299999999999999</v>
      </c>
      <c r="P213" s="36">
        <v>0</v>
      </c>
      <c r="Q213" s="36">
        <v>0</v>
      </c>
      <c r="R213" s="36">
        <v>0</v>
      </c>
      <c r="S213" s="36">
        <v>0</v>
      </c>
      <c r="T213" s="36">
        <v>0</v>
      </c>
      <c r="U213" s="36">
        <v>0</v>
      </c>
      <c r="V213" s="36">
        <v>0</v>
      </c>
      <c r="W213" s="36">
        <v>0</v>
      </c>
      <c r="X213" s="36">
        <v>0</v>
      </c>
      <c r="Y213" s="36">
        <v>0</v>
      </c>
      <c r="Z213" s="36">
        <v>0</v>
      </c>
      <c r="AA213" s="36">
        <v>0</v>
      </c>
      <c r="AB213" s="36">
        <v>42030.04</v>
      </c>
      <c r="AC213" s="36">
        <v>190240.46</v>
      </c>
      <c r="AD213" s="37">
        <v>19.350000000000001</v>
      </c>
      <c r="AE213" s="36">
        <v>180267.74</v>
      </c>
      <c r="AF213" s="69">
        <f t="shared" si="60"/>
        <v>9316.16</v>
      </c>
      <c r="AG213" s="69">
        <f t="shared" si="61"/>
        <v>9831.5499999999993</v>
      </c>
      <c r="AH213" s="70">
        <f t="shared" si="58"/>
        <v>515.39</v>
      </c>
      <c r="AI213" s="37">
        <v>4.38</v>
      </c>
      <c r="AJ213" s="36">
        <v>40063.699999999997</v>
      </c>
      <c r="AK213" s="69">
        <f t="shared" si="62"/>
        <v>9146.9599999999991</v>
      </c>
      <c r="AL213" s="69">
        <f t="shared" si="63"/>
        <v>9595.9</v>
      </c>
      <c r="AM213" s="70">
        <f t="shared" si="59"/>
        <v>448.94</v>
      </c>
      <c r="AN213" s="36">
        <v>0</v>
      </c>
      <c r="AO213" s="36">
        <v>0</v>
      </c>
    </row>
    <row r="214" spans="1:41" s="3" customFormat="1">
      <c r="A214" s="55" t="s">
        <v>427</v>
      </c>
      <c r="B214" s="55" t="s">
        <v>20</v>
      </c>
      <c r="C214" s="55" t="s">
        <v>1035</v>
      </c>
      <c r="D214" s="36">
        <v>25902.47</v>
      </c>
      <c r="E214" s="36">
        <v>0</v>
      </c>
      <c r="F214" s="36">
        <v>0</v>
      </c>
      <c r="G214" s="36">
        <v>251930.57</v>
      </c>
      <c r="H214" s="36">
        <v>18236.66</v>
      </c>
      <c r="I214" s="36">
        <v>44735.87</v>
      </c>
      <c r="J214" s="36">
        <v>97487.38</v>
      </c>
      <c r="K214" s="36">
        <v>37209.93</v>
      </c>
      <c r="L214" s="36">
        <v>4224.45</v>
      </c>
      <c r="M214" s="36">
        <v>350991.65</v>
      </c>
      <c r="N214" s="49">
        <v>1.78E-2</v>
      </c>
      <c r="O214" s="64">
        <v>0.2505</v>
      </c>
      <c r="P214" s="36">
        <v>0</v>
      </c>
      <c r="Q214" s="36">
        <v>0</v>
      </c>
      <c r="R214" s="36">
        <v>0</v>
      </c>
      <c r="S214" s="36">
        <v>0</v>
      </c>
      <c r="T214" s="36">
        <v>0</v>
      </c>
      <c r="U214" s="36">
        <v>0</v>
      </c>
      <c r="V214" s="36">
        <v>0</v>
      </c>
      <c r="W214" s="36">
        <v>0</v>
      </c>
      <c r="X214" s="36">
        <v>0</v>
      </c>
      <c r="Y214" s="36">
        <v>0</v>
      </c>
      <c r="Z214" s="36">
        <v>0</v>
      </c>
      <c r="AA214" s="36">
        <v>0</v>
      </c>
      <c r="AB214" s="36">
        <v>123924.69</v>
      </c>
      <c r="AC214" s="36">
        <v>0</v>
      </c>
      <c r="AD214" s="37">
        <v>0</v>
      </c>
      <c r="AE214" s="36">
        <v>0</v>
      </c>
      <c r="AF214" s="69">
        <f t="shared" si="60"/>
        <v>0</v>
      </c>
      <c r="AG214" s="69">
        <f t="shared" si="61"/>
        <v>0</v>
      </c>
      <c r="AH214" s="70">
        <f t="shared" si="58"/>
        <v>0</v>
      </c>
      <c r="AI214" s="37">
        <v>12.97</v>
      </c>
      <c r="AJ214" s="36">
        <v>117947.18</v>
      </c>
      <c r="AK214" s="69">
        <f t="shared" si="62"/>
        <v>9093.85</v>
      </c>
      <c r="AL214" s="69">
        <f t="shared" si="63"/>
        <v>9554.7199999999993</v>
      </c>
      <c r="AM214" s="70">
        <f t="shared" si="59"/>
        <v>460.87</v>
      </c>
      <c r="AN214" s="36">
        <v>0</v>
      </c>
      <c r="AO214" s="36">
        <v>0</v>
      </c>
    </row>
    <row r="215" spans="1:41" s="3" customFormat="1">
      <c r="A215" s="55" t="s">
        <v>557</v>
      </c>
      <c r="B215" s="55" t="s">
        <v>150</v>
      </c>
      <c r="C215" s="55" t="s">
        <v>1036</v>
      </c>
      <c r="D215" s="36">
        <v>0</v>
      </c>
      <c r="E215" s="36">
        <v>0</v>
      </c>
      <c r="F215" s="36">
        <v>0</v>
      </c>
      <c r="G215" s="36">
        <v>544742.65</v>
      </c>
      <c r="H215" s="36">
        <v>95030.720000000001</v>
      </c>
      <c r="I215" s="36">
        <v>89085.07</v>
      </c>
      <c r="J215" s="36">
        <v>114746.07</v>
      </c>
      <c r="K215" s="36">
        <v>0</v>
      </c>
      <c r="L215" s="36">
        <v>0</v>
      </c>
      <c r="M215" s="36">
        <v>258823.01</v>
      </c>
      <c r="N215" s="49">
        <v>3.7600000000000001E-2</v>
      </c>
      <c r="O215" s="64">
        <v>0.21310000000000001</v>
      </c>
      <c r="P215" s="36">
        <v>0</v>
      </c>
      <c r="Q215" s="36">
        <v>0</v>
      </c>
      <c r="R215" s="36">
        <v>0</v>
      </c>
      <c r="S215" s="36">
        <v>0</v>
      </c>
      <c r="T215" s="36">
        <v>0</v>
      </c>
      <c r="U215" s="36">
        <v>0</v>
      </c>
      <c r="V215" s="36">
        <v>0</v>
      </c>
      <c r="W215" s="36">
        <v>0</v>
      </c>
      <c r="X215" s="36">
        <v>0</v>
      </c>
      <c r="Y215" s="36">
        <v>0</v>
      </c>
      <c r="Z215" s="36">
        <v>0</v>
      </c>
      <c r="AA215" s="36">
        <v>0</v>
      </c>
      <c r="AB215" s="36">
        <v>0</v>
      </c>
      <c r="AC215" s="36">
        <v>125675.62</v>
      </c>
      <c r="AD215" s="37">
        <v>12.45</v>
      </c>
      <c r="AE215" s="36">
        <v>117753.55</v>
      </c>
      <c r="AF215" s="69">
        <f t="shared" si="60"/>
        <v>9458.1200000000008</v>
      </c>
      <c r="AG215" s="69">
        <f t="shared" si="61"/>
        <v>10094.43</v>
      </c>
      <c r="AH215" s="70">
        <f t="shared" si="58"/>
        <v>636.30999999999995</v>
      </c>
      <c r="AI215" s="37">
        <v>0</v>
      </c>
      <c r="AJ215" s="36">
        <v>0</v>
      </c>
      <c r="AK215" s="69">
        <f t="shared" si="62"/>
        <v>0</v>
      </c>
      <c r="AL215" s="69">
        <f t="shared" si="63"/>
        <v>0</v>
      </c>
      <c r="AM215" s="70">
        <f t="shared" si="59"/>
        <v>0</v>
      </c>
      <c r="AN215" s="36">
        <v>0</v>
      </c>
      <c r="AO215" s="36">
        <v>0</v>
      </c>
    </row>
    <row r="216" spans="1:41" s="3" customFormat="1">
      <c r="A216" s="55" t="s">
        <v>601</v>
      </c>
      <c r="B216" s="55" t="s">
        <v>195</v>
      </c>
      <c r="C216" s="55" t="s">
        <v>1037</v>
      </c>
      <c r="D216" s="36">
        <v>0</v>
      </c>
      <c r="E216" s="36">
        <v>0</v>
      </c>
      <c r="F216" s="36">
        <v>0</v>
      </c>
      <c r="G216" s="36">
        <v>15879869</v>
      </c>
      <c r="H216" s="36">
        <v>2518588.3199999998</v>
      </c>
      <c r="I216" s="36">
        <v>209707.8</v>
      </c>
      <c r="J216" s="36">
        <v>1508088.27</v>
      </c>
      <c r="K216" s="36">
        <v>586267.12</v>
      </c>
      <c r="L216" s="36">
        <v>300340.14</v>
      </c>
      <c r="M216" s="36">
        <v>7309235.96</v>
      </c>
      <c r="N216" s="49">
        <v>2.7000000000000001E-3</v>
      </c>
      <c r="O216" s="64">
        <v>0.14940000000000001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113162.56</v>
      </c>
      <c r="AA216" s="36">
        <v>428119.88</v>
      </c>
      <c r="AB216" s="36">
        <v>1136012.55</v>
      </c>
      <c r="AC216" s="36">
        <v>4972403.8099999996</v>
      </c>
      <c r="AD216" s="37">
        <v>472.03</v>
      </c>
      <c r="AE216" s="36">
        <v>4756983.53</v>
      </c>
      <c r="AF216" s="69">
        <f t="shared" si="60"/>
        <v>10077.709999999999</v>
      </c>
      <c r="AG216" s="69">
        <f t="shared" si="61"/>
        <v>10534.08</v>
      </c>
      <c r="AH216" s="70">
        <f t="shared" si="58"/>
        <v>456.37</v>
      </c>
      <c r="AI216" s="37">
        <v>109.22</v>
      </c>
      <c r="AJ216" s="36">
        <v>1080998.76</v>
      </c>
      <c r="AK216" s="69">
        <f t="shared" si="62"/>
        <v>9897.44</v>
      </c>
      <c r="AL216" s="69">
        <f t="shared" si="63"/>
        <v>10401.14</v>
      </c>
      <c r="AM216" s="70">
        <f t="shared" si="59"/>
        <v>503.7</v>
      </c>
      <c r="AN216" s="36">
        <v>0</v>
      </c>
      <c r="AO216" s="36">
        <v>0</v>
      </c>
    </row>
    <row r="217" spans="1:41" s="3" customFormat="1">
      <c r="A217" s="55" t="s">
        <v>806</v>
      </c>
      <c r="B217" s="56" t="s">
        <v>812</v>
      </c>
      <c r="C217" s="56" t="s">
        <v>1038</v>
      </c>
      <c r="D217" s="36">
        <v>0</v>
      </c>
      <c r="E217" s="36">
        <v>0</v>
      </c>
      <c r="F217" s="36">
        <v>0</v>
      </c>
      <c r="G217" s="36">
        <v>369918.48</v>
      </c>
      <c r="H217" s="36">
        <v>51751.45</v>
      </c>
      <c r="I217" s="36">
        <v>0</v>
      </c>
      <c r="J217" s="36">
        <v>82214.34</v>
      </c>
      <c r="K217" s="36">
        <v>60026.32</v>
      </c>
      <c r="L217" s="36">
        <v>7040.77</v>
      </c>
      <c r="M217" s="36">
        <v>197342.01</v>
      </c>
      <c r="N217" s="49">
        <v>3.5000000000000003E-2</v>
      </c>
      <c r="O217" s="64">
        <v>0.14979999999999999</v>
      </c>
      <c r="P217" s="36">
        <v>0</v>
      </c>
      <c r="Q217" s="36">
        <v>0</v>
      </c>
      <c r="R217" s="36">
        <v>0</v>
      </c>
      <c r="S217" s="36">
        <v>0</v>
      </c>
      <c r="T217" s="36">
        <v>0</v>
      </c>
      <c r="U217" s="36">
        <v>0</v>
      </c>
      <c r="V217" s="36">
        <v>0</v>
      </c>
      <c r="W217" s="36">
        <v>0</v>
      </c>
      <c r="X217" s="36">
        <v>0</v>
      </c>
      <c r="Y217" s="36">
        <v>0</v>
      </c>
      <c r="Z217" s="36">
        <v>0</v>
      </c>
      <c r="AA217" s="36">
        <v>0</v>
      </c>
      <c r="AB217" s="36">
        <v>0</v>
      </c>
      <c r="AC217" s="36">
        <v>0</v>
      </c>
      <c r="AD217" s="37">
        <v>0</v>
      </c>
      <c r="AE217" s="36">
        <v>0</v>
      </c>
      <c r="AF217" s="69">
        <f t="shared" si="60"/>
        <v>0</v>
      </c>
      <c r="AG217" s="69">
        <f t="shared" si="61"/>
        <v>0</v>
      </c>
      <c r="AH217" s="70">
        <f t="shared" si="58"/>
        <v>0</v>
      </c>
      <c r="AI217" s="37">
        <v>0</v>
      </c>
      <c r="AJ217" s="36">
        <v>0</v>
      </c>
      <c r="AK217" s="69">
        <f t="shared" si="62"/>
        <v>0</v>
      </c>
      <c r="AL217" s="69">
        <f t="shared" si="63"/>
        <v>0</v>
      </c>
      <c r="AM217" s="70">
        <f t="shared" si="59"/>
        <v>0</v>
      </c>
      <c r="AN217" s="36">
        <v>0</v>
      </c>
      <c r="AO217" s="36">
        <v>0</v>
      </c>
    </row>
    <row r="218" spans="1:41" s="3" customFormat="1">
      <c r="A218" s="55" t="s">
        <v>573</v>
      </c>
      <c r="B218" s="55" t="s">
        <v>166</v>
      </c>
      <c r="C218" s="55" t="s">
        <v>1039</v>
      </c>
      <c r="D218" s="36">
        <v>0</v>
      </c>
      <c r="E218" s="36">
        <v>0</v>
      </c>
      <c r="F218" s="36">
        <v>0</v>
      </c>
      <c r="G218" s="36">
        <v>1534269.4399999999</v>
      </c>
      <c r="H218" s="36">
        <v>239745.91</v>
      </c>
      <c r="I218" s="36">
        <v>246253.15</v>
      </c>
      <c r="J218" s="36">
        <v>310180.98</v>
      </c>
      <c r="K218" s="36">
        <v>98816.72</v>
      </c>
      <c r="L218" s="36">
        <v>23588.34</v>
      </c>
      <c r="M218" s="36">
        <v>905995.78</v>
      </c>
      <c r="N218" s="49">
        <v>6.1100000000000002E-2</v>
      </c>
      <c r="O218" s="64">
        <v>0.185</v>
      </c>
      <c r="P218" s="36">
        <v>0</v>
      </c>
      <c r="Q218" s="36">
        <v>0</v>
      </c>
      <c r="R218" s="36">
        <v>0</v>
      </c>
      <c r="S218" s="36">
        <v>0</v>
      </c>
      <c r="T218" s="36">
        <v>0</v>
      </c>
      <c r="U218" s="36">
        <v>0</v>
      </c>
      <c r="V218" s="36">
        <v>0</v>
      </c>
      <c r="W218" s="36">
        <v>0</v>
      </c>
      <c r="X218" s="36">
        <v>0</v>
      </c>
      <c r="Y218" s="36">
        <v>0</v>
      </c>
      <c r="Z218" s="36">
        <v>0</v>
      </c>
      <c r="AA218" s="36">
        <v>0</v>
      </c>
      <c r="AB218" s="36">
        <v>0</v>
      </c>
      <c r="AC218" s="36">
        <v>0</v>
      </c>
      <c r="AD218" s="37">
        <v>0</v>
      </c>
      <c r="AE218" s="36">
        <v>0</v>
      </c>
      <c r="AF218" s="69">
        <f t="shared" si="60"/>
        <v>0</v>
      </c>
      <c r="AG218" s="69">
        <f t="shared" si="61"/>
        <v>0</v>
      </c>
      <c r="AH218" s="70">
        <f t="shared" si="58"/>
        <v>0</v>
      </c>
      <c r="AI218" s="37">
        <v>0</v>
      </c>
      <c r="AJ218" s="36">
        <v>0</v>
      </c>
      <c r="AK218" s="69">
        <f t="shared" si="62"/>
        <v>0</v>
      </c>
      <c r="AL218" s="69">
        <f t="shared" si="63"/>
        <v>0</v>
      </c>
      <c r="AM218" s="70">
        <f t="shared" si="59"/>
        <v>0</v>
      </c>
      <c r="AN218" s="36">
        <v>0</v>
      </c>
      <c r="AO218" s="36">
        <v>0</v>
      </c>
    </row>
    <row r="219" spans="1:41" s="3" customFormat="1">
      <c r="A219" s="55" t="s">
        <v>476</v>
      </c>
      <c r="B219" s="55" t="s">
        <v>69</v>
      </c>
      <c r="C219" s="55" t="s">
        <v>1040</v>
      </c>
      <c r="D219" s="36">
        <v>0</v>
      </c>
      <c r="E219" s="36">
        <v>0</v>
      </c>
      <c r="F219" s="36">
        <v>0</v>
      </c>
      <c r="G219" s="36">
        <v>599113.91</v>
      </c>
      <c r="H219" s="36">
        <v>103164.44</v>
      </c>
      <c r="I219" s="36">
        <v>42827.44</v>
      </c>
      <c r="J219" s="36">
        <v>120288.28</v>
      </c>
      <c r="K219" s="36">
        <v>0</v>
      </c>
      <c r="L219" s="36">
        <v>10051.33</v>
      </c>
      <c r="M219" s="36">
        <v>455128.5</v>
      </c>
      <c r="N219" s="49">
        <v>6.7699999999999996E-2</v>
      </c>
      <c r="O219" s="64">
        <v>0.25659999999999999</v>
      </c>
      <c r="P219" s="36">
        <v>0</v>
      </c>
      <c r="Q219" s="36">
        <v>0</v>
      </c>
      <c r="R219" s="36">
        <v>0</v>
      </c>
      <c r="S219" s="36">
        <v>0</v>
      </c>
      <c r="T219" s="36">
        <v>0</v>
      </c>
      <c r="U219" s="36">
        <v>0</v>
      </c>
      <c r="V219" s="36">
        <v>0</v>
      </c>
      <c r="W219" s="36">
        <v>0</v>
      </c>
      <c r="X219" s="36">
        <v>0</v>
      </c>
      <c r="Y219" s="36">
        <v>0</v>
      </c>
      <c r="Z219" s="36">
        <v>0</v>
      </c>
      <c r="AA219" s="36">
        <v>0</v>
      </c>
      <c r="AB219" s="36">
        <v>131468.70000000001</v>
      </c>
      <c r="AC219" s="36">
        <v>310257.81</v>
      </c>
      <c r="AD219" s="37">
        <v>31.91</v>
      </c>
      <c r="AE219" s="36">
        <v>297213.86</v>
      </c>
      <c r="AF219" s="69">
        <f t="shared" si="60"/>
        <v>9314.1299999999992</v>
      </c>
      <c r="AG219" s="69">
        <f t="shared" si="61"/>
        <v>9722.9</v>
      </c>
      <c r="AH219" s="70">
        <f t="shared" si="58"/>
        <v>408.77</v>
      </c>
      <c r="AI219" s="37">
        <v>13.69</v>
      </c>
      <c r="AJ219" s="36">
        <v>125054.49</v>
      </c>
      <c r="AK219" s="69">
        <f t="shared" si="62"/>
        <v>9134.73</v>
      </c>
      <c r="AL219" s="69">
        <f t="shared" si="63"/>
        <v>9603.27</v>
      </c>
      <c r="AM219" s="70">
        <f t="shared" si="59"/>
        <v>468.54</v>
      </c>
      <c r="AN219" s="36">
        <v>0</v>
      </c>
      <c r="AO219" s="36">
        <v>0</v>
      </c>
    </row>
    <row r="220" spans="1:41" s="3" customFormat="1">
      <c r="A220" s="55" t="s">
        <v>439</v>
      </c>
      <c r="B220" s="55" t="s">
        <v>32</v>
      </c>
      <c r="C220" s="55" t="s">
        <v>1041</v>
      </c>
      <c r="D220" s="36">
        <v>0</v>
      </c>
      <c r="E220" s="36">
        <v>0</v>
      </c>
      <c r="F220" s="36">
        <v>13346.1</v>
      </c>
      <c r="G220" s="36">
        <v>6572445.1200000001</v>
      </c>
      <c r="H220" s="36">
        <v>1394626.5600000001</v>
      </c>
      <c r="I220" s="36">
        <v>1141073.4099999999</v>
      </c>
      <c r="J220" s="36">
        <v>1443962.67</v>
      </c>
      <c r="K220" s="36">
        <v>71362.429999999993</v>
      </c>
      <c r="L220" s="36">
        <v>109367.34</v>
      </c>
      <c r="M220" s="36">
        <v>2002958.65</v>
      </c>
      <c r="N220" s="49">
        <v>6.3299999999999995E-2</v>
      </c>
      <c r="O220" s="64">
        <v>0.14099999999999999</v>
      </c>
      <c r="P220" s="36">
        <v>0</v>
      </c>
      <c r="Q220" s="36">
        <v>0</v>
      </c>
      <c r="R220" s="36">
        <v>0</v>
      </c>
      <c r="S220" s="36">
        <v>0</v>
      </c>
      <c r="T220" s="36">
        <v>0</v>
      </c>
      <c r="U220" s="36">
        <v>0</v>
      </c>
      <c r="V220" s="36">
        <v>0</v>
      </c>
      <c r="W220" s="36">
        <v>0</v>
      </c>
      <c r="X220" s="36">
        <v>0</v>
      </c>
      <c r="Y220" s="36">
        <v>0</v>
      </c>
      <c r="Z220" s="36">
        <v>61671.44</v>
      </c>
      <c r="AA220" s="36">
        <v>138244.07999999999</v>
      </c>
      <c r="AB220" s="36">
        <v>704230.96</v>
      </c>
      <c r="AC220" s="36">
        <v>2366357.11</v>
      </c>
      <c r="AD220" s="37">
        <v>235.69</v>
      </c>
      <c r="AE220" s="36">
        <v>2227359.2400000002</v>
      </c>
      <c r="AF220" s="69">
        <f t="shared" si="60"/>
        <v>9450.3799999999992</v>
      </c>
      <c r="AG220" s="69">
        <f t="shared" si="61"/>
        <v>10040.129999999999</v>
      </c>
      <c r="AH220" s="70">
        <f t="shared" si="58"/>
        <v>589.75</v>
      </c>
      <c r="AI220" s="37">
        <v>72.239999999999995</v>
      </c>
      <c r="AJ220" s="36">
        <v>669631.03</v>
      </c>
      <c r="AK220" s="69">
        <f t="shared" si="62"/>
        <v>9269.5300000000007</v>
      </c>
      <c r="AL220" s="69">
        <f t="shared" si="63"/>
        <v>9748.49</v>
      </c>
      <c r="AM220" s="70">
        <f t="shared" si="59"/>
        <v>478.96</v>
      </c>
      <c r="AN220" s="36">
        <v>0</v>
      </c>
      <c r="AO220" s="36">
        <v>0</v>
      </c>
    </row>
    <row r="221" spans="1:41" s="3" customFormat="1">
      <c r="A221" s="55" t="s">
        <v>507</v>
      </c>
      <c r="B221" s="55" t="s">
        <v>100</v>
      </c>
      <c r="C221" s="55" t="s">
        <v>1042</v>
      </c>
      <c r="D221" s="36">
        <v>0</v>
      </c>
      <c r="E221" s="36">
        <v>36117.79</v>
      </c>
      <c r="F221" s="36">
        <v>4000.1</v>
      </c>
      <c r="G221" s="36">
        <v>2180806.25</v>
      </c>
      <c r="H221" s="36">
        <v>318868.40000000002</v>
      </c>
      <c r="I221" s="36">
        <v>213583.03</v>
      </c>
      <c r="J221" s="36">
        <v>468184.54</v>
      </c>
      <c r="K221" s="36">
        <v>79101.02</v>
      </c>
      <c r="L221" s="36">
        <v>41975.18</v>
      </c>
      <c r="M221" s="36">
        <v>838346.19</v>
      </c>
      <c r="N221" s="49">
        <v>3.7100000000000001E-2</v>
      </c>
      <c r="O221" s="64">
        <v>0.2009</v>
      </c>
      <c r="P221" s="36">
        <v>0</v>
      </c>
      <c r="Q221" s="36">
        <v>0</v>
      </c>
      <c r="R221" s="36">
        <v>0</v>
      </c>
      <c r="S221" s="36">
        <v>0</v>
      </c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6">
        <v>0</v>
      </c>
      <c r="AB221" s="36">
        <v>84454.83</v>
      </c>
      <c r="AC221" s="36">
        <v>648776.38</v>
      </c>
      <c r="AD221" s="37">
        <v>59.71</v>
      </c>
      <c r="AE221" s="36">
        <v>598871.32999999996</v>
      </c>
      <c r="AF221" s="69">
        <f t="shared" si="60"/>
        <v>10029.67</v>
      </c>
      <c r="AG221" s="69">
        <f t="shared" si="61"/>
        <v>10865.46</v>
      </c>
      <c r="AH221" s="70">
        <f t="shared" si="58"/>
        <v>835.79</v>
      </c>
      <c r="AI221" s="37">
        <v>8.17</v>
      </c>
      <c r="AJ221" s="36">
        <v>80510.77</v>
      </c>
      <c r="AK221" s="69">
        <f t="shared" si="62"/>
        <v>9854.44</v>
      </c>
      <c r="AL221" s="69">
        <f t="shared" si="63"/>
        <v>10337.19</v>
      </c>
      <c r="AM221" s="70">
        <f t="shared" si="59"/>
        <v>482.75</v>
      </c>
      <c r="AN221" s="36">
        <v>0</v>
      </c>
      <c r="AO221" s="36">
        <v>0</v>
      </c>
    </row>
    <row r="222" spans="1:41" s="3" customFormat="1">
      <c r="A222" s="55" t="s">
        <v>674</v>
      </c>
      <c r="B222" s="55" t="s">
        <v>271</v>
      </c>
      <c r="C222" s="55" t="s">
        <v>1043</v>
      </c>
      <c r="D222" s="36">
        <v>0</v>
      </c>
      <c r="E222" s="36">
        <v>0</v>
      </c>
      <c r="F222" s="36">
        <v>7428.38</v>
      </c>
      <c r="G222" s="36">
        <v>448544.96</v>
      </c>
      <c r="H222" s="36">
        <v>57220.35</v>
      </c>
      <c r="I222" s="36">
        <v>84380.72</v>
      </c>
      <c r="J222" s="36">
        <v>153055.17000000001</v>
      </c>
      <c r="K222" s="36">
        <v>170696.52</v>
      </c>
      <c r="L222" s="36">
        <v>0</v>
      </c>
      <c r="M222" s="36">
        <v>521130.55</v>
      </c>
      <c r="N222" s="49">
        <v>3.0200000000000001E-2</v>
      </c>
      <c r="O222" s="64">
        <v>0.22439999999999999</v>
      </c>
      <c r="P222" s="36">
        <v>0</v>
      </c>
      <c r="Q222" s="36">
        <v>0</v>
      </c>
      <c r="R222" s="36">
        <v>0</v>
      </c>
      <c r="S222" s="36">
        <v>0</v>
      </c>
      <c r="T222" s="36">
        <v>0</v>
      </c>
      <c r="U222" s="36">
        <v>0</v>
      </c>
      <c r="V222" s="36">
        <v>0</v>
      </c>
      <c r="W222" s="36">
        <v>0</v>
      </c>
      <c r="X222" s="36">
        <v>0</v>
      </c>
      <c r="Y222" s="36">
        <v>0</v>
      </c>
      <c r="Z222" s="36">
        <v>0</v>
      </c>
      <c r="AA222" s="36">
        <v>0</v>
      </c>
      <c r="AB222" s="36">
        <v>0</v>
      </c>
      <c r="AC222" s="36">
        <v>168380.12</v>
      </c>
      <c r="AD222" s="37">
        <v>17.2</v>
      </c>
      <c r="AE222" s="36">
        <v>159383.79999999999</v>
      </c>
      <c r="AF222" s="69">
        <f t="shared" si="60"/>
        <v>9266.5</v>
      </c>
      <c r="AG222" s="69">
        <f t="shared" si="61"/>
        <v>9789.5400000000009</v>
      </c>
      <c r="AH222" s="70">
        <f t="shared" si="58"/>
        <v>523.04</v>
      </c>
      <c r="AI222" s="37">
        <v>0</v>
      </c>
      <c r="AJ222" s="36">
        <v>0</v>
      </c>
      <c r="AK222" s="69">
        <f t="shared" si="62"/>
        <v>0</v>
      </c>
      <c r="AL222" s="69">
        <f t="shared" si="63"/>
        <v>0</v>
      </c>
      <c r="AM222" s="70">
        <f t="shared" si="59"/>
        <v>0</v>
      </c>
      <c r="AN222" s="36">
        <v>0</v>
      </c>
      <c r="AO222" s="36">
        <v>0</v>
      </c>
    </row>
    <row r="223" spans="1:41" s="3" customFormat="1">
      <c r="A223" s="55" t="s">
        <v>780</v>
      </c>
      <c r="B223" s="55" t="s">
        <v>418</v>
      </c>
      <c r="C223" s="55" t="s">
        <v>1044</v>
      </c>
      <c r="D223" s="36">
        <v>0</v>
      </c>
      <c r="E223" s="36">
        <v>0</v>
      </c>
      <c r="F223" s="36">
        <v>0</v>
      </c>
      <c r="G223" s="36">
        <v>393795.52</v>
      </c>
      <c r="H223" s="36">
        <v>43125.73</v>
      </c>
      <c r="I223" s="36">
        <v>135724.07</v>
      </c>
      <c r="J223" s="36">
        <v>163995.41</v>
      </c>
      <c r="K223" s="36">
        <v>0</v>
      </c>
      <c r="L223" s="36">
        <v>0</v>
      </c>
      <c r="M223" s="36">
        <v>0</v>
      </c>
      <c r="N223" s="49">
        <v>9.5799999999999996E-2</v>
      </c>
      <c r="O223" s="64">
        <v>0.31690000000000002</v>
      </c>
      <c r="P223" s="36">
        <v>0</v>
      </c>
      <c r="Q223" s="36">
        <v>0</v>
      </c>
      <c r="R223" s="36">
        <v>0</v>
      </c>
      <c r="S223" s="36">
        <v>0</v>
      </c>
      <c r="T223" s="36">
        <v>0</v>
      </c>
      <c r="U223" s="36">
        <v>0</v>
      </c>
      <c r="V223" s="36">
        <v>0</v>
      </c>
      <c r="W223" s="36">
        <v>0</v>
      </c>
      <c r="X223" s="36">
        <v>0</v>
      </c>
      <c r="Y223" s="36">
        <v>0</v>
      </c>
      <c r="Z223" s="36">
        <v>0</v>
      </c>
      <c r="AA223" s="36">
        <v>4886.8999999999996</v>
      </c>
      <c r="AB223" s="36">
        <v>0</v>
      </c>
      <c r="AC223" s="36">
        <v>192345.34</v>
      </c>
      <c r="AD223" s="37">
        <v>17.59</v>
      </c>
      <c r="AE223" s="36">
        <v>162898.91</v>
      </c>
      <c r="AF223" s="69">
        <f t="shared" si="60"/>
        <v>9260.8799999999992</v>
      </c>
      <c r="AG223" s="69">
        <f t="shared" si="61"/>
        <v>10934.93</v>
      </c>
      <c r="AH223" s="70">
        <f t="shared" si="58"/>
        <v>1674.05</v>
      </c>
      <c r="AI223" s="37">
        <v>0</v>
      </c>
      <c r="AJ223" s="36">
        <v>0</v>
      </c>
      <c r="AK223" s="69">
        <f t="shared" si="62"/>
        <v>0</v>
      </c>
      <c r="AL223" s="69">
        <f t="shared" si="63"/>
        <v>0</v>
      </c>
      <c r="AM223" s="70">
        <f t="shared" si="59"/>
        <v>0</v>
      </c>
      <c r="AN223" s="36">
        <v>0</v>
      </c>
      <c r="AO223" s="36">
        <v>0</v>
      </c>
    </row>
    <row r="224" spans="1:41" s="3" customFormat="1">
      <c r="A224" s="55" t="s">
        <v>430</v>
      </c>
      <c r="B224" s="55" t="s">
        <v>23</v>
      </c>
      <c r="C224" s="55" t="s">
        <v>1045</v>
      </c>
      <c r="D224" s="36">
        <v>0</v>
      </c>
      <c r="E224" s="36">
        <v>96585.02</v>
      </c>
      <c r="F224" s="36">
        <v>21699.23</v>
      </c>
      <c r="G224" s="36">
        <v>3964737.15</v>
      </c>
      <c r="H224" s="36">
        <v>823494.4</v>
      </c>
      <c r="I224" s="36">
        <v>774049.69</v>
      </c>
      <c r="J224" s="36">
        <v>1292032.5900000001</v>
      </c>
      <c r="K224" s="36">
        <v>1186559.3500000001</v>
      </c>
      <c r="L224" s="36">
        <v>75173.600000000006</v>
      </c>
      <c r="M224" s="36">
        <v>1848772.83</v>
      </c>
      <c r="N224" s="49">
        <v>2.63E-2</v>
      </c>
      <c r="O224" s="64">
        <v>0.16089999999999999</v>
      </c>
      <c r="P224" s="36">
        <v>0</v>
      </c>
      <c r="Q224" s="36">
        <v>0</v>
      </c>
      <c r="R224" s="36">
        <v>0</v>
      </c>
      <c r="S224" s="36">
        <v>0</v>
      </c>
      <c r="T224" s="36">
        <v>0</v>
      </c>
      <c r="U224" s="36">
        <v>0</v>
      </c>
      <c r="V224" s="36">
        <v>0</v>
      </c>
      <c r="W224" s="36">
        <v>0</v>
      </c>
      <c r="X224" s="36">
        <v>0</v>
      </c>
      <c r="Y224" s="36">
        <v>0</v>
      </c>
      <c r="Z224" s="36">
        <v>5071.91</v>
      </c>
      <c r="AA224" s="36">
        <v>12522.36</v>
      </c>
      <c r="AB224" s="36">
        <v>178762.95</v>
      </c>
      <c r="AC224" s="36">
        <v>2066494.7</v>
      </c>
      <c r="AD224" s="37">
        <v>211.21</v>
      </c>
      <c r="AE224" s="36">
        <v>1957168.42</v>
      </c>
      <c r="AF224" s="69">
        <f t="shared" si="60"/>
        <v>9266.4599999999991</v>
      </c>
      <c r="AG224" s="69">
        <f t="shared" si="61"/>
        <v>9784.08</v>
      </c>
      <c r="AH224" s="70">
        <f t="shared" si="58"/>
        <v>517.62</v>
      </c>
      <c r="AI224" s="37">
        <v>18.72</v>
      </c>
      <c r="AJ224" s="36">
        <v>170078.03</v>
      </c>
      <c r="AK224" s="69">
        <f t="shared" si="62"/>
        <v>9085.36</v>
      </c>
      <c r="AL224" s="69">
        <f t="shared" si="63"/>
        <v>9549.2999999999993</v>
      </c>
      <c r="AM224" s="70">
        <f t="shared" si="59"/>
        <v>463.94</v>
      </c>
      <c r="AN224" s="36">
        <v>0</v>
      </c>
      <c r="AO224" s="36">
        <v>0</v>
      </c>
    </row>
    <row r="225" spans="1:41" s="3" customFormat="1">
      <c r="A225" s="55" t="s">
        <v>685</v>
      </c>
      <c r="B225" s="55" t="s">
        <v>282</v>
      </c>
      <c r="C225" s="55" t="s">
        <v>1046</v>
      </c>
      <c r="D225" s="36">
        <v>0</v>
      </c>
      <c r="E225" s="36">
        <v>0</v>
      </c>
      <c r="F225" s="36">
        <v>0</v>
      </c>
      <c r="G225" s="36">
        <v>4641882.17</v>
      </c>
      <c r="H225" s="36">
        <v>639062.13</v>
      </c>
      <c r="I225" s="36">
        <v>99003.839999999997</v>
      </c>
      <c r="J225" s="36">
        <v>652082.16</v>
      </c>
      <c r="K225" s="36">
        <v>282006.42</v>
      </c>
      <c r="L225" s="36">
        <v>82755.95</v>
      </c>
      <c r="M225" s="36">
        <v>1124292.4099999999</v>
      </c>
      <c r="N225" s="49">
        <v>4.8500000000000001E-2</v>
      </c>
      <c r="O225" s="64">
        <v>0.20660000000000001</v>
      </c>
      <c r="P225" s="36">
        <v>0</v>
      </c>
      <c r="Q225" s="36">
        <v>0</v>
      </c>
      <c r="R225" s="36">
        <v>0</v>
      </c>
      <c r="S225" s="36">
        <v>0</v>
      </c>
      <c r="T225" s="36">
        <v>0</v>
      </c>
      <c r="U225" s="36">
        <v>0</v>
      </c>
      <c r="V225" s="36">
        <v>0</v>
      </c>
      <c r="W225" s="36">
        <v>0</v>
      </c>
      <c r="X225" s="36">
        <v>0</v>
      </c>
      <c r="Y225" s="36">
        <v>0</v>
      </c>
      <c r="Z225" s="36">
        <v>568.15</v>
      </c>
      <c r="AA225" s="36">
        <v>0</v>
      </c>
      <c r="AB225" s="36">
        <v>379922.9</v>
      </c>
      <c r="AC225" s="36">
        <v>1269953.03</v>
      </c>
      <c r="AD225" s="37">
        <v>132.02000000000001</v>
      </c>
      <c r="AE225" s="36">
        <v>1223463.69</v>
      </c>
      <c r="AF225" s="69">
        <f t="shared" si="60"/>
        <v>9267.26</v>
      </c>
      <c r="AG225" s="69">
        <f t="shared" si="61"/>
        <v>9619.4</v>
      </c>
      <c r="AH225" s="70">
        <f t="shared" si="58"/>
        <v>352.14</v>
      </c>
      <c r="AI225" s="37">
        <v>39.78</v>
      </c>
      <c r="AJ225" s="36">
        <v>361373.96</v>
      </c>
      <c r="AK225" s="69">
        <f t="shared" si="62"/>
        <v>9084.31</v>
      </c>
      <c r="AL225" s="69">
        <f t="shared" si="63"/>
        <v>9550.6</v>
      </c>
      <c r="AM225" s="70">
        <f t="shared" si="59"/>
        <v>466.29</v>
      </c>
      <c r="AN225" s="36">
        <v>0</v>
      </c>
      <c r="AO225" s="36">
        <v>0</v>
      </c>
    </row>
    <row r="226" spans="1:41" s="3" customFormat="1">
      <c r="A226" s="55" t="s">
        <v>593</v>
      </c>
      <c r="B226" s="55" t="s">
        <v>187</v>
      </c>
      <c r="C226" s="55" t="s">
        <v>1047</v>
      </c>
      <c r="D226" s="36">
        <v>0</v>
      </c>
      <c r="E226" s="36">
        <v>99896.72</v>
      </c>
      <c r="F226" s="36">
        <v>0</v>
      </c>
      <c r="G226" s="36">
        <v>38519851.060000002</v>
      </c>
      <c r="H226" s="36">
        <v>8363422.1500000004</v>
      </c>
      <c r="I226" s="36">
        <v>1267147.74</v>
      </c>
      <c r="J226" s="36">
        <v>7405328.1600000001</v>
      </c>
      <c r="K226" s="36">
        <v>4180229.75</v>
      </c>
      <c r="L226" s="36">
        <v>788439.52</v>
      </c>
      <c r="M226" s="36">
        <v>14544538.550000001</v>
      </c>
      <c r="N226" s="49">
        <v>4.1099999999999998E-2</v>
      </c>
      <c r="O226" s="64">
        <v>0.1477</v>
      </c>
      <c r="P226" s="36">
        <v>0</v>
      </c>
      <c r="Q226" s="36">
        <v>0</v>
      </c>
      <c r="R226" s="36">
        <v>0</v>
      </c>
      <c r="S226" s="36">
        <v>0</v>
      </c>
      <c r="T226" s="36">
        <v>0</v>
      </c>
      <c r="U226" s="36">
        <v>0</v>
      </c>
      <c r="V226" s="36">
        <v>0</v>
      </c>
      <c r="W226" s="36">
        <v>0</v>
      </c>
      <c r="X226" s="36">
        <v>0</v>
      </c>
      <c r="Y226" s="36">
        <v>0</v>
      </c>
      <c r="Z226" s="36">
        <v>180717.97</v>
      </c>
      <c r="AA226" s="36">
        <v>992999.91</v>
      </c>
      <c r="AB226" s="36">
        <v>4386532.05</v>
      </c>
      <c r="AC226" s="36">
        <v>13990060.779999999</v>
      </c>
      <c r="AD226" s="37">
        <v>1305.29</v>
      </c>
      <c r="AE226" s="36">
        <v>13093842.32</v>
      </c>
      <c r="AF226" s="69">
        <f t="shared" si="60"/>
        <v>10031.370000000001</v>
      </c>
      <c r="AG226" s="69">
        <f t="shared" si="61"/>
        <v>10717.97</v>
      </c>
      <c r="AH226" s="70">
        <f t="shared" si="58"/>
        <v>686.6</v>
      </c>
      <c r="AI226" s="37">
        <v>423.75</v>
      </c>
      <c r="AJ226" s="36">
        <v>4174858.28</v>
      </c>
      <c r="AK226" s="69">
        <f t="shared" si="62"/>
        <v>9852.17</v>
      </c>
      <c r="AL226" s="69">
        <f t="shared" si="63"/>
        <v>10351.700000000001</v>
      </c>
      <c r="AM226" s="70">
        <f t="shared" si="59"/>
        <v>499.53</v>
      </c>
      <c r="AN226" s="36">
        <v>0</v>
      </c>
      <c r="AO226" s="36">
        <v>0</v>
      </c>
    </row>
    <row r="227" spans="1:41" s="3" customFormat="1">
      <c r="A227" s="55" t="s">
        <v>503</v>
      </c>
      <c r="B227" s="55" t="s">
        <v>96</v>
      </c>
      <c r="C227" s="55" t="s">
        <v>1048</v>
      </c>
      <c r="D227" s="36">
        <v>0</v>
      </c>
      <c r="E227" s="36">
        <v>0</v>
      </c>
      <c r="F227" s="36">
        <v>0</v>
      </c>
      <c r="G227" s="36">
        <v>59590.6</v>
      </c>
      <c r="H227" s="36">
        <v>3480.53</v>
      </c>
      <c r="I227" s="36">
        <v>13670.92</v>
      </c>
      <c r="J227" s="36">
        <v>20618.419999999998</v>
      </c>
      <c r="K227" s="36">
        <v>0</v>
      </c>
      <c r="L227" s="36">
        <v>0</v>
      </c>
      <c r="M227" s="36">
        <v>63950.5</v>
      </c>
      <c r="N227" s="49">
        <v>8.6599999999999996E-2</v>
      </c>
      <c r="O227" s="64">
        <v>0.41639999999999999</v>
      </c>
      <c r="P227" s="36">
        <v>0</v>
      </c>
      <c r="Q227" s="36">
        <v>0</v>
      </c>
      <c r="R227" s="36">
        <v>0</v>
      </c>
      <c r="S227" s="36">
        <v>0</v>
      </c>
      <c r="T227" s="36">
        <v>0</v>
      </c>
      <c r="U227" s="36">
        <v>0</v>
      </c>
      <c r="V227" s="36">
        <v>0</v>
      </c>
      <c r="W227" s="36">
        <v>0</v>
      </c>
      <c r="X227" s="36">
        <v>0</v>
      </c>
      <c r="Y227" s="36">
        <v>0</v>
      </c>
      <c r="Z227" s="36">
        <v>0</v>
      </c>
      <c r="AA227" s="36">
        <v>0</v>
      </c>
      <c r="AB227" s="36">
        <v>0</v>
      </c>
      <c r="AC227" s="36">
        <v>0</v>
      </c>
      <c r="AD227" s="37">
        <v>0</v>
      </c>
      <c r="AE227" s="36">
        <v>0</v>
      </c>
      <c r="AF227" s="69">
        <f t="shared" si="60"/>
        <v>0</v>
      </c>
      <c r="AG227" s="69">
        <f t="shared" si="61"/>
        <v>0</v>
      </c>
      <c r="AH227" s="70">
        <f t="shared" si="58"/>
        <v>0</v>
      </c>
      <c r="AI227" s="37">
        <v>0</v>
      </c>
      <c r="AJ227" s="36">
        <v>0</v>
      </c>
      <c r="AK227" s="69">
        <f t="shared" si="62"/>
        <v>0</v>
      </c>
      <c r="AL227" s="69">
        <f t="shared" si="63"/>
        <v>0</v>
      </c>
      <c r="AM227" s="70">
        <f t="shared" si="59"/>
        <v>0</v>
      </c>
      <c r="AN227" s="36">
        <v>0</v>
      </c>
      <c r="AO227" s="36">
        <v>0</v>
      </c>
    </row>
    <row r="228" spans="1:41" s="3" customFormat="1">
      <c r="A228" s="55" t="s">
        <v>505</v>
      </c>
      <c r="B228" s="55" t="s">
        <v>98</v>
      </c>
      <c r="C228" s="55" t="s">
        <v>1049</v>
      </c>
      <c r="D228" s="36">
        <v>0</v>
      </c>
      <c r="E228" s="36">
        <v>4370.67</v>
      </c>
      <c r="F228" s="36">
        <v>203.53</v>
      </c>
      <c r="G228" s="36">
        <v>908833.9</v>
      </c>
      <c r="H228" s="36">
        <v>68006.740000000005</v>
      </c>
      <c r="I228" s="36">
        <v>61420.84</v>
      </c>
      <c r="J228" s="36">
        <v>217650.86</v>
      </c>
      <c r="K228" s="36">
        <v>0</v>
      </c>
      <c r="L228" s="36">
        <v>21765.08</v>
      </c>
      <c r="M228" s="36">
        <v>512003.09</v>
      </c>
      <c r="N228" s="49">
        <v>3.7100000000000001E-2</v>
      </c>
      <c r="O228" s="64">
        <v>0.2011</v>
      </c>
      <c r="P228" s="36">
        <v>0</v>
      </c>
      <c r="Q228" s="36">
        <v>0</v>
      </c>
      <c r="R228" s="36">
        <v>0</v>
      </c>
      <c r="S228" s="36">
        <v>0</v>
      </c>
      <c r="T228" s="36">
        <v>0</v>
      </c>
      <c r="U228" s="36">
        <v>0</v>
      </c>
      <c r="V228" s="36">
        <v>0</v>
      </c>
      <c r="W228" s="36">
        <v>0</v>
      </c>
      <c r="X228" s="36">
        <v>0</v>
      </c>
      <c r="Y228" s="36">
        <v>0</v>
      </c>
      <c r="Z228" s="36">
        <v>263.19</v>
      </c>
      <c r="AA228" s="36">
        <v>0</v>
      </c>
      <c r="AB228" s="36">
        <v>100353.92</v>
      </c>
      <c r="AC228" s="36">
        <v>108641.45</v>
      </c>
      <c r="AD228" s="37">
        <v>10.48</v>
      </c>
      <c r="AE228" s="36">
        <v>101188.38</v>
      </c>
      <c r="AF228" s="69">
        <f t="shared" si="60"/>
        <v>9655.3799999999992</v>
      </c>
      <c r="AG228" s="69">
        <f t="shared" si="61"/>
        <v>10366.549999999999</v>
      </c>
      <c r="AH228" s="70">
        <f t="shared" si="58"/>
        <v>711.17</v>
      </c>
      <c r="AI228" s="37">
        <v>10.1</v>
      </c>
      <c r="AJ228" s="36">
        <v>95740.86</v>
      </c>
      <c r="AK228" s="69">
        <f t="shared" si="62"/>
        <v>9479.2900000000009</v>
      </c>
      <c r="AL228" s="69">
        <f t="shared" si="63"/>
        <v>9936.0300000000007</v>
      </c>
      <c r="AM228" s="70">
        <f t="shared" si="59"/>
        <v>456.74</v>
      </c>
      <c r="AN228" s="36">
        <v>0</v>
      </c>
      <c r="AO228" s="36">
        <v>0</v>
      </c>
    </row>
    <row r="229" spans="1:41" s="3" customFormat="1">
      <c r="A229" s="55" t="s">
        <v>804</v>
      </c>
      <c r="B229" s="55" t="s">
        <v>717</v>
      </c>
      <c r="C229" s="58" t="s">
        <v>1050</v>
      </c>
      <c r="D229" s="36">
        <v>4154.78</v>
      </c>
      <c r="E229" s="36">
        <v>8612.76</v>
      </c>
      <c r="F229" s="36">
        <v>4207.68</v>
      </c>
      <c r="G229" s="36">
        <v>200101.52</v>
      </c>
      <c r="H229" s="36">
        <v>21343.39</v>
      </c>
      <c r="I229" s="36">
        <v>39644.85</v>
      </c>
      <c r="J229" s="36">
        <v>81131.149999999994</v>
      </c>
      <c r="K229" s="36">
        <v>0</v>
      </c>
      <c r="L229" s="36">
        <v>0</v>
      </c>
      <c r="M229" s="36">
        <v>183100.03</v>
      </c>
      <c r="N229" s="49">
        <v>3.5000000000000003E-2</v>
      </c>
      <c r="O229" s="64">
        <v>0.14979999999999999</v>
      </c>
      <c r="P229" s="36">
        <v>0</v>
      </c>
      <c r="Q229" s="36">
        <v>0</v>
      </c>
      <c r="R229" s="36">
        <v>0</v>
      </c>
      <c r="S229" s="36">
        <v>0</v>
      </c>
      <c r="T229" s="36">
        <v>0</v>
      </c>
      <c r="U229" s="36">
        <v>0</v>
      </c>
      <c r="V229" s="36">
        <v>0</v>
      </c>
      <c r="W229" s="36">
        <v>0</v>
      </c>
      <c r="X229" s="36">
        <v>0</v>
      </c>
      <c r="Y229" s="36">
        <v>0</v>
      </c>
      <c r="Z229" s="36">
        <v>0</v>
      </c>
      <c r="AA229" s="36">
        <v>0</v>
      </c>
      <c r="AB229" s="36">
        <v>2208.2800000000002</v>
      </c>
      <c r="AC229" s="36">
        <v>494.55</v>
      </c>
      <c r="AD229" s="37">
        <v>0.06</v>
      </c>
      <c r="AE229" s="36">
        <v>519.34</v>
      </c>
      <c r="AF229" s="69">
        <f t="shared" si="60"/>
        <v>8655.67</v>
      </c>
      <c r="AG229" s="69">
        <f t="shared" si="61"/>
        <v>8242.5</v>
      </c>
      <c r="AH229" s="70">
        <f t="shared" si="58"/>
        <v>-413.17</v>
      </c>
      <c r="AI229" s="37">
        <v>0.23</v>
      </c>
      <c r="AJ229" s="36">
        <v>2163.36</v>
      </c>
      <c r="AK229" s="69">
        <f t="shared" si="62"/>
        <v>9405.91</v>
      </c>
      <c r="AL229" s="69">
        <f t="shared" si="63"/>
        <v>9601.2199999999993</v>
      </c>
      <c r="AM229" s="70">
        <f t="shared" si="59"/>
        <v>195.31</v>
      </c>
      <c r="AN229" s="36">
        <v>0</v>
      </c>
      <c r="AO229" s="36">
        <v>0</v>
      </c>
    </row>
    <row r="230" spans="1:41" s="3" customFormat="1">
      <c r="A230" s="55" t="s">
        <v>443</v>
      </c>
      <c r="B230" s="55" t="s">
        <v>36</v>
      </c>
      <c r="C230" s="55" t="s">
        <v>1051</v>
      </c>
      <c r="D230" s="36">
        <v>0</v>
      </c>
      <c r="E230" s="36">
        <v>130917.64</v>
      </c>
      <c r="F230" s="36">
        <v>98370.05</v>
      </c>
      <c r="G230" s="36">
        <v>6771900.5199999996</v>
      </c>
      <c r="H230" s="36">
        <v>948516.6</v>
      </c>
      <c r="I230" s="36">
        <v>1145368.27</v>
      </c>
      <c r="J230" s="36">
        <v>1468376.41</v>
      </c>
      <c r="K230" s="36">
        <v>714558.43</v>
      </c>
      <c r="L230" s="36">
        <v>121100.97</v>
      </c>
      <c r="M230" s="36">
        <v>738657.53</v>
      </c>
      <c r="N230" s="49">
        <v>1.8100000000000002E-2</v>
      </c>
      <c r="O230" s="64">
        <v>0.1016</v>
      </c>
      <c r="P230" s="36">
        <v>0</v>
      </c>
      <c r="Q230" s="36">
        <v>0</v>
      </c>
      <c r="R230" s="36">
        <v>0</v>
      </c>
      <c r="S230" s="36">
        <v>0</v>
      </c>
      <c r="T230" s="36">
        <v>0</v>
      </c>
      <c r="U230" s="36">
        <v>0</v>
      </c>
      <c r="V230" s="36">
        <v>0</v>
      </c>
      <c r="W230" s="36">
        <v>0</v>
      </c>
      <c r="X230" s="36">
        <v>0</v>
      </c>
      <c r="Y230" s="36">
        <v>0</v>
      </c>
      <c r="Z230" s="36">
        <v>14090.91</v>
      </c>
      <c r="AA230" s="36">
        <v>0</v>
      </c>
      <c r="AB230" s="36">
        <v>113257.61</v>
      </c>
      <c r="AC230" s="36">
        <v>418074.64</v>
      </c>
      <c r="AD230" s="37">
        <v>26.28</v>
      </c>
      <c r="AE230" s="36">
        <v>243325.34</v>
      </c>
      <c r="AF230" s="69">
        <f t="shared" si="60"/>
        <v>9258.9599999999991</v>
      </c>
      <c r="AG230" s="69">
        <f t="shared" si="61"/>
        <v>15908.47</v>
      </c>
      <c r="AH230" s="70">
        <f t="shared" si="58"/>
        <v>6649.51</v>
      </c>
      <c r="AI230" s="37">
        <v>11.87</v>
      </c>
      <c r="AJ230" s="36">
        <v>107838.74</v>
      </c>
      <c r="AK230" s="69">
        <f t="shared" si="62"/>
        <v>9084.98</v>
      </c>
      <c r="AL230" s="69">
        <f t="shared" si="63"/>
        <v>9541.5</v>
      </c>
      <c r="AM230" s="70">
        <f t="shared" si="59"/>
        <v>456.52</v>
      </c>
      <c r="AN230" s="36">
        <v>0</v>
      </c>
      <c r="AO230" s="36">
        <v>0</v>
      </c>
    </row>
    <row r="231" spans="1:41" s="3" customFormat="1">
      <c r="A231" s="55" t="s">
        <v>494</v>
      </c>
      <c r="B231" s="55" t="s">
        <v>87</v>
      </c>
      <c r="C231" s="55" t="s">
        <v>1052</v>
      </c>
      <c r="D231" s="36">
        <v>0</v>
      </c>
      <c r="E231" s="36">
        <v>21.17</v>
      </c>
      <c r="F231" s="36">
        <v>0</v>
      </c>
      <c r="G231" s="36">
        <v>0</v>
      </c>
      <c r="H231" s="36">
        <v>0</v>
      </c>
      <c r="I231" s="36">
        <v>66074.77</v>
      </c>
      <c r="J231" s="36">
        <v>142006.6</v>
      </c>
      <c r="K231" s="36">
        <v>72713.95</v>
      </c>
      <c r="L231" s="36">
        <v>0</v>
      </c>
      <c r="M231" s="36">
        <v>280053.15000000002</v>
      </c>
      <c r="N231" s="49">
        <v>2.93E-2</v>
      </c>
      <c r="O231" s="64">
        <v>0.315</v>
      </c>
      <c r="P231" s="36">
        <v>0</v>
      </c>
      <c r="Q231" s="36">
        <v>0</v>
      </c>
      <c r="R231" s="36">
        <v>0</v>
      </c>
      <c r="S231" s="36">
        <v>0</v>
      </c>
      <c r="T231" s="36">
        <v>0</v>
      </c>
      <c r="U231" s="36">
        <v>0</v>
      </c>
      <c r="V231" s="36">
        <v>0</v>
      </c>
      <c r="W231" s="36">
        <v>0</v>
      </c>
      <c r="X231" s="36">
        <v>0</v>
      </c>
      <c r="Y231" s="36">
        <v>0</v>
      </c>
      <c r="Z231" s="36">
        <v>0</v>
      </c>
      <c r="AA231" s="36">
        <v>8844.73</v>
      </c>
      <c r="AB231" s="36">
        <v>0</v>
      </c>
      <c r="AC231" s="36">
        <v>136997.54999999999</v>
      </c>
      <c r="AD231" s="37">
        <v>12.07</v>
      </c>
      <c r="AE231" s="36">
        <v>111894.11</v>
      </c>
      <c r="AF231" s="69">
        <f t="shared" si="60"/>
        <v>9270.43</v>
      </c>
      <c r="AG231" s="69">
        <f t="shared" si="61"/>
        <v>11350.25</v>
      </c>
      <c r="AH231" s="70">
        <f t="shared" si="58"/>
        <v>2079.8200000000002</v>
      </c>
      <c r="AI231" s="37">
        <v>0</v>
      </c>
      <c r="AJ231" s="36">
        <v>0</v>
      </c>
      <c r="AK231" s="69">
        <f t="shared" si="62"/>
        <v>0</v>
      </c>
      <c r="AL231" s="69">
        <f t="shared" si="63"/>
        <v>0</v>
      </c>
      <c r="AM231" s="70">
        <f t="shared" si="59"/>
        <v>0</v>
      </c>
      <c r="AN231" s="36">
        <v>0</v>
      </c>
      <c r="AO231" s="36">
        <v>0</v>
      </c>
    </row>
    <row r="232" spans="1:41" s="3" customFormat="1">
      <c r="A232" s="55" t="s">
        <v>478</v>
      </c>
      <c r="B232" s="55" t="s">
        <v>71</v>
      </c>
      <c r="C232" s="55" t="s">
        <v>1053</v>
      </c>
      <c r="D232" s="36">
        <v>0</v>
      </c>
      <c r="E232" s="36">
        <v>151621.13</v>
      </c>
      <c r="F232" s="36">
        <v>0</v>
      </c>
      <c r="G232" s="36">
        <v>4805551.75</v>
      </c>
      <c r="H232" s="36">
        <v>794462.28</v>
      </c>
      <c r="I232" s="36">
        <v>1021450.98</v>
      </c>
      <c r="J232" s="36">
        <v>1801133.29</v>
      </c>
      <c r="K232" s="36">
        <v>2241018.16</v>
      </c>
      <c r="L232" s="36">
        <v>99437.11</v>
      </c>
      <c r="M232" s="36">
        <v>1937126.16</v>
      </c>
      <c r="N232" s="49">
        <v>5.6899999999999999E-2</v>
      </c>
      <c r="O232" s="64">
        <v>0.1643</v>
      </c>
      <c r="P232" s="36">
        <v>0</v>
      </c>
      <c r="Q232" s="36">
        <v>0</v>
      </c>
      <c r="R232" s="36">
        <v>0</v>
      </c>
      <c r="S232" s="36">
        <v>0</v>
      </c>
      <c r="T232" s="36">
        <v>0</v>
      </c>
      <c r="U232" s="36">
        <v>0</v>
      </c>
      <c r="V232" s="36">
        <v>0</v>
      </c>
      <c r="W232" s="36">
        <v>0</v>
      </c>
      <c r="X232" s="36">
        <v>0</v>
      </c>
      <c r="Y232" s="36">
        <v>0</v>
      </c>
      <c r="Z232" s="36">
        <v>37957.14</v>
      </c>
      <c r="AA232" s="36">
        <v>38394.51</v>
      </c>
      <c r="AB232" s="36">
        <v>458174</v>
      </c>
      <c r="AC232" s="36">
        <v>2632040.58</v>
      </c>
      <c r="AD232" s="37">
        <v>270.60000000000002</v>
      </c>
      <c r="AE232" s="36">
        <v>2507354.92</v>
      </c>
      <c r="AF232" s="69">
        <f t="shared" si="60"/>
        <v>9265.91</v>
      </c>
      <c r="AG232" s="69">
        <f t="shared" si="61"/>
        <v>9726.68</v>
      </c>
      <c r="AH232" s="70">
        <f t="shared" si="58"/>
        <v>460.77</v>
      </c>
      <c r="AI232" s="37">
        <v>47.98</v>
      </c>
      <c r="AJ232" s="36">
        <v>435852.5</v>
      </c>
      <c r="AK232" s="69">
        <f t="shared" si="62"/>
        <v>9084.0499999999993</v>
      </c>
      <c r="AL232" s="69">
        <f t="shared" si="63"/>
        <v>9549.27</v>
      </c>
      <c r="AM232" s="70">
        <f t="shared" si="59"/>
        <v>465.22</v>
      </c>
      <c r="AN232" s="36">
        <v>0</v>
      </c>
      <c r="AO232" s="36">
        <v>0</v>
      </c>
    </row>
    <row r="233" spans="1:41" s="3" customFormat="1">
      <c r="A233" s="55" t="s">
        <v>663</v>
      </c>
      <c r="B233" s="55" t="s">
        <v>260</v>
      </c>
      <c r="C233" s="55" t="s">
        <v>1054</v>
      </c>
      <c r="D233" s="36">
        <v>91252.6</v>
      </c>
      <c r="E233" s="36">
        <v>18944.82</v>
      </c>
      <c r="F233" s="36">
        <v>0</v>
      </c>
      <c r="G233" s="36">
        <v>1822746.09</v>
      </c>
      <c r="H233" s="36">
        <v>286151.73</v>
      </c>
      <c r="I233" s="36">
        <v>0</v>
      </c>
      <c r="J233" s="36">
        <v>284229.84000000003</v>
      </c>
      <c r="K233" s="36">
        <v>0</v>
      </c>
      <c r="L233" s="36">
        <v>30112.76</v>
      </c>
      <c r="M233" s="36">
        <v>621717.61</v>
      </c>
      <c r="N233" s="49">
        <v>3.1099999999999999E-2</v>
      </c>
      <c r="O233" s="64">
        <v>0.21340000000000001</v>
      </c>
      <c r="P233" s="36">
        <v>0</v>
      </c>
      <c r="Q233" s="36">
        <v>0</v>
      </c>
      <c r="R233" s="36">
        <v>0</v>
      </c>
      <c r="S233" s="36">
        <v>0</v>
      </c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20261.21</v>
      </c>
      <c r="AB233" s="36">
        <v>128341.22</v>
      </c>
      <c r="AC233" s="36">
        <v>780823.72</v>
      </c>
      <c r="AD233" s="37">
        <v>79.81</v>
      </c>
      <c r="AE233" s="36">
        <v>739472.72</v>
      </c>
      <c r="AF233" s="69">
        <f t="shared" si="60"/>
        <v>9265.41</v>
      </c>
      <c r="AG233" s="69">
        <f t="shared" si="61"/>
        <v>9783.5300000000007</v>
      </c>
      <c r="AH233" s="70">
        <f t="shared" si="58"/>
        <v>518.12</v>
      </c>
      <c r="AI233" s="37">
        <v>13.43</v>
      </c>
      <c r="AJ233" s="36">
        <v>122013.44</v>
      </c>
      <c r="AK233" s="69">
        <f t="shared" si="62"/>
        <v>9085.14</v>
      </c>
      <c r="AL233" s="69">
        <f t="shared" si="63"/>
        <v>9556.31</v>
      </c>
      <c r="AM233" s="70">
        <f t="shared" si="59"/>
        <v>471.17</v>
      </c>
      <c r="AN233" s="36">
        <v>0</v>
      </c>
      <c r="AO233" s="36">
        <v>0</v>
      </c>
    </row>
    <row r="234" spans="1:41" s="3" customFormat="1">
      <c r="A234" s="55" t="s">
        <v>779</v>
      </c>
      <c r="B234" s="55" t="s">
        <v>415</v>
      </c>
      <c r="C234" s="58" t="s">
        <v>1055</v>
      </c>
      <c r="D234" s="36">
        <v>0</v>
      </c>
      <c r="E234" s="36">
        <v>0</v>
      </c>
      <c r="F234" s="36">
        <v>0</v>
      </c>
      <c r="G234" s="36">
        <v>317205.40999999997</v>
      </c>
      <c r="H234" s="36">
        <v>26036.09</v>
      </c>
      <c r="I234" s="36">
        <v>121715.19</v>
      </c>
      <c r="J234" s="36">
        <v>201982.13</v>
      </c>
      <c r="K234" s="36">
        <v>302838.59999999998</v>
      </c>
      <c r="L234" s="36">
        <v>0</v>
      </c>
      <c r="M234" s="36">
        <v>387859.66</v>
      </c>
      <c r="N234" s="49">
        <v>3.0599999999999999E-2</v>
      </c>
      <c r="O234" s="64">
        <v>0.1633</v>
      </c>
      <c r="P234" s="36">
        <v>0</v>
      </c>
      <c r="Q234" s="36">
        <v>0</v>
      </c>
      <c r="R234" s="36">
        <v>0</v>
      </c>
      <c r="S234" s="36">
        <v>0</v>
      </c>
      <c r="T234" s="36">
        <v>0</v>
      </c>
      <c r="U234" s="36">
        <v>0</v>
      </c>
      <c r="V234" s="36">
        <v>0</v>
      </c>
      <c r="W234" s="36">
        <v>0</v>
      </c>
      <c r="X234" s="36">
        <v>0</v>
      </c>
      <c r="Y234" s="36">
        <v>0</v>
      </c>
      <c r="Z234" s="36">
        <v>0</v>
      </c>
      <c r="AA234" s="36">
        <v>0</v>
      </c>
      <c r="AB234" s="36">
        <v>0</v>
      </c>
      <c r="AC234" s="36">
        <v>0</v>
      </c>
      <c r="AD234" s="37">
        <v>0</v>
      </c>
      <c r="AE234" s="36">
        <v>0</v>
      </c>
      <c r="AF234" s="69">
        <f t="shared" si="60"/>
        <v>0</v>
      </c>
      <c r="AG234" s="69">
        <f t="shared" si="61"/>
        <v>0</v>
      </c>
      <c r="AH234" s="70">
        <f t="shared" si="58"/>
        <v>0</v>
      </c>
      <c r="AI234" s="37">
        <v>0</v>
      </c>
      <c r="AJ234" s="36">
        <v>0</v>
      </c>
      <c r="AK234" s="69">
        <f t="shared" si="62"/>
        <v>0</v>
      </c>
      <c r="AL234" s="69">
        <f t="shared" si="63"/>
        <v>0</v>
      </c>
      <c r="AM234" s="70">
        <f t="shared" si="59"/>
        <v>0</v>
      </c>
      <c r="AN234" s="36">
        <v>0</v>
      </c>
      <c r="AO234" s="36">
        <v>0</v>
      </c>
    </row>
    <row r="235" spans="1:41" s="3" customFormat="1">
      <c r="A235" s="55" t="s">
        <v>767</v>
      </c>
      <c r="B235" s="55" t="s">
        <v>722</v>
      </c>
      <c r="C235" s="58" t="s">
        <v>1056</v>
      </c>
      <c r="D235" s="36">
        <v>0</v>
      </c>
      <c r="E235" s="36">
        <v>0</v>
      </c>
      <c r="F235" s="36">
        <v>0</v>
      </c>
      <c r="G235" s="36">
        <v>235797.21</v>
      </c>
      <c r="H235" s="36">
        <v>19911.79</v>
      </c>
      <c r="I235" s="36">
        <v>55347.85</v>
      </c>
      <c r="J235" s="36">
        <v>85776.66</v>
      </c>
      <c r="K235" s="36">
        <v>33771.980000000003</v>
      </c>
      <c r="L235" s="36">
        <v>0</v>
      </c>
      <c r="M235" s="36">
        <v>0</v>
      </c>
      <c r="N235" s="49">
        <v>0</v>
      </c>
      <c r="O235" s="64">
        <v>0.60409999999999997</v>
      </c>
      <c r="P235" s="36">
        <v>0</v>
      </c>
      <c r="Q235" s="36">
        <v>0</v>
      </c>
      <c r="R235" s="36">
        <v>0</v>
      </c>
      <c r="S235" s="36">
        <v>0</v>
      </c>
      <c r="T235" s="36">
        <v>0</v>
      </c>
      <c r="U235" s="36">
        <v>0</v>
      </c>
      <c r="V235" s="36">
        <v>0</v>
      </c>
      <c r="W235" s="36">
        <v>0</v>
      </c>
      <c r="X235" s="36">
        <v>0</v>
      </c>
      <c r="Y235" s="36">
        <v>0</v>
      </c>
      <c r="Z235" s="36">
        <v>209.65</v>
      </c>
      <c r="AA235" s="36">
        <v>8293.52</v>
      </c>
      <c r="AB235" s="36">
        <v>0</v>
      </c>
      <c r="AC235" s="36">
        <v>39249.230000000003</v>
      </c>
      <c r="AD235" s="37">
        <v>3.64</v>
      </c>
      <c r="AE235" s="36">
        <v>37860.11</v>
      </c>
      <c r="AF235" s="69">
        <f t="shared" si="60"/>
        <v>10401.129999999999</v>
      </c>
      <c r="AG235" s="69">
        <f t="shared" si="61"/>
        <v>10782.76</v>
      </c>
      <c r="AH235" s="70">
        <f t="shared" si="58"/>
        <v>381.63</v>
      </c>
      <c r="AI235" s="37">
        <v>0</v>
      </c>
      <c r="AJ235" s="36">
        <v>0</v>
      </c>
      <c r="AK235" s="69">
        <f t="shared" si="62"/>
        <v>0</v>
      </c>
      <c r="AL235" s="69">
        <f t="shared" si="63"/>
        <v>0</v>
      </c>
      <c r="AM235" s="70">
        <f t="shared" si="59"/>
        <v>0</v>
      </c>
      <c r="AN235" s="36">
        <v>0</v>
      </c>
      <c r="AO235" s="36">
        <v>0</v>
      </c>
    </row>
    <row r="236" spans="1:41" s="3" customFormat="1">
      <c r="A236" s="55" t="s">
        <v>585</v>
      </c>
      <c r="B236" s="55" t="s">
        <v>178</v>
      </c>
      <c r="C236" s="55" t="s">
        <v>1057</v>
      </c>
      <c r="D236" s="36">
        <v>0</v>
      </c>
      <c r="E236" s="36">
        <v>0</v>
      </c>
      <c r="F236" s="36">
        <v>0</v>
      </c>
      <c r="G236" s="36">
        <v>749969.92000000004</v>
      </c>
      <c r="H236" s="36">
        <v>117464.89</v>
      </c>
      <c r="I236" s="36">
        <v>158687.76999999999</v>
      </c>
      <c r="J236" s="36">
        <v>223029.43</v>
      </c>
      <c r="K236" s="36">
        <v>98409.06</v>
      </c>
      <c r="L236" s="36">
        <v>0</v>
      </c>
      <c r="M236" s="36">
        <v>514159.12</v>
      </c>
      <c r="N236" s="49">
        <v>2.9600000000000001E-2</v>
      </c>
      <c r="O236" s="64">
        <v>0.19589999999999999</v>
      </c>
      <c r="P236" s="36">
        <v>0</v>
      </c>
      <c r="Q236" s="36">
        <v>0</v>
      </c>
      <c r="R236" s="36">
        <v>0</v>
      </c>
      <c r="S236" s="36">
        <v>0</v>
      </c>
      <c r="T236" s="36">
        <v>0</v>
      </c>
      <c r="U236" s="36">
        <v>0</v>
      </c>
      <c r="V236" s="36">
        <v>0</v>
      </c>
      <c r="W236" s="36">
        <v>0</v>
      </c>
      <c r="X236" s="36">
        <v>0</v>
      </c>
      <c r="Y236" s="36">
        <v>0</v>
      </c>
      <c r="Z236" s="36">
        <v>0</v>
      </c>
      <c r="AA236" s="36">
        <v>0</v>
      </c>
      <c r="AB236" s="36">
        <v>0</v>
      </c>
      <c r="AC236" s="36">
        <v>334918.55</v>
      </c>
      <c r="AD236" s="37">
        <v>34.89</v>
      </c>
      <c r="AE236" s="36">
        <v>323177.73</v>
      </c>
      <c r="AF236" s="69">
        <f t="shared" si="60"/>
        <v>9262.76</v>
      </c>
      <c r="AG236" s="69">
        <f t="shared" si="61"/>
        <v>9599.27</v>
      </c>
      <c r="AH236" s="70">
        <f t="shared" si="58"/>
        <v>336.51</v>
      </c>
      <c r="AI236" s="37">
        <v>0</v>
      </c>
      <c r="AJ236" s="36">
        <v>0</v>
      </c>
      <c r="AK236" s="69">
        <f t="shared" si="62"/>
        <v>0</v>
      </c>
      <c r="AL236" s="69">
        <f t="shared" si="63"/>
        <v>0</v>
      </c>
      <c r="AM236" s="70">
        <f t="shared" si="59"/>
        <v>0</v>
      </c>
      <c r="AN236" s="36">
        <v>0</v>
      </c>
      <c r="AO236" s="36">
        <v>0</v>
      </c>
    </row>
    <row r="237" spans="1:41" s="3" customFormat="1">
      <c r="A237" s="55" t="s">
        <v>562</v>
      </c>
      <c r="B237" s="55" t="s">
        <v>155</v>
      </c>
      <c r="C237" s="55" t="s">
        <v>1058</v>
      </c>
      <c r="D237" s="36">
        <v>0</v>
      </c>
      <c r="E237" s="36">
        <v>0</v>
      </c>
      <c r="F237" s="36">
        <v>0</v>
      </c>
      <c r="G237" s="36">
        <v>890324.69</v>
      </c>
      <c r="H237" s="36">
        <v>164830.22</v>
      </c>
      <c r="I237" s="36">
        <v>0</v>
      </c>
      <c r="J237" s="36">
        <v>233103.13</v>
      </c>
      <c r="K237" s="36">
        <v>0</v>
      </c>
      <c r="L237" s="36">
        <v>21663.86</v>
      </c>
      <c r="M237" s="36">
        <v>1013559.41</v>
      </c>
      <c r="N237" s="49">
        <v>4.6300000000000001E-2</v>
      </c>
      <c r="O237" s="64">
        <v>0.27910000000000001</v>
      </c>
      <c r="P237" s="36">
        <v>0</v>
      </c>
      <c r="Q237" s="36">
        <v>0</v>
      </c>
      <c r="R237" s="36">
        <v>0</v>
      </c>
      <c r="S237" s="36">
        <v>0</v>
      </c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130923.87</v>
      </c>
      <c r="AC237" s="36">
        <v>300050.44</v>
      </c>
      <c r="AD237" s="37">
        <v>31.03</v>
      </c>
      <c r="AE237" s="36">
        <v>287514.57</v>
      </c>
      <c r="AF237" s="69">
        <f t="shared" si="60"/>
        <v>9265.7000000000007</v>
      </c>
      <c r="AG237" s="69">
        <f t="shared" si="61"/>
        <v>9669.69</v>
      </c>
      <c r="AH237" s="70">
        <f t="shared" si="58"/>
        <v>403.99</v>
      </c>
      <c r="AI237" s="37">
        <v>13.71</v>
      </c>
      <c r="AJ237" s="36">
        <v>124559.63</v>
      </c>
      <c r="AK237" s="69">
        <f t="shared" si="62"/>
        <v>9085.31</v>
      </c>
      <c r="AL237" s="69">
        <f t="shared" si="63"/>
        <v>9549.52</v>
      </c>
      <c r="AM237" s="70">
        <f t="shared" si="59"/>
        <v>464.21</v>
      </c>
      <c r="AN237" s="36">
        <v>0</v>
      </c>
      <c r="AO237" s="36">
        <v>0</v>
      </c>
    </row>
    <row r="238" spans="1:41" s="3" customFormat="1">
      <c r="A238" s="55" t="s">
        <v>514</v>
      </c>
      <c r="B238" s="55" t="s">
        <v>107</v>
      </c>
      <c r="C238" s="55" t="s">
        <v>1059</v>
      </c>
      <c r="D238" s="36">
        <v>0</v>
      </c>
      <c r="E238" s="36">
        <v>594911.29</v>
      </c>
      <c r="F238" s="36">
        <v>255218.19</v>
      </c>
      <c r="G238" s="36">
        <v>28297844.640000001</v>
      </c>
      <c r="H238" s="36">
        <v>5949455.7800000003</v>
      </c>
      <c r="I238" s="36">
        <v>2620883.96</v>
      </c>
      <c r="J238" s="36">
        <v>6140231.4800000004</v>
      </c>
      <c r="K238" s="36">
        <v>7171493.7300000004</v>
      </c>
      <c r="L238" s="36">
        <v>0</v>
      </c>
      <c r="M238" s="36">
        <v>9704734.4700000007</v>
      </c>
      <c r="N238" s="49">
        <v>2.4799999999999999E-2</v>
      </c>
      <c r="O238" s="64">
        <v>0.13239999999999999</v>
      </c>
      <c r="P238" s="36">
        <v>0</v>
      </c>
      <c r="Q238" s="36">
        <v>0</v>
      </c>
      <c r="R238" s="36">
        <v>0</v>
      </c>
      <c r="S238" s="36">
        <v>0</v>
      </c>
      <c r="T238" s="36">
        <v>0</v>
      </c>
      <c r="U238" s="36">
        <v>0</v>
      </c>
      <c r="V238" s="36">
        <v>0</v>
      </c>
      <c r="W238" s="36">
        <v>0</v>
      </c>
      <c r="X238" s="36">
        <v>0</v>
      </c>
      <c r="Y238" s="36">
        <v>0</v>
      </c>
      <c r="Z238" s="36">
        <v>0</v>
      </c>
      <c r="AA238" s="36">
        <v>708742.93</v>
      </c>
      <c r="AB238" s="36">
        <v>2349492.4300000002</v>
      </c>
      <c r="AC238" s="36">
        <v>16193138.33</v>
      </c>
      <c r="AD238" s="37">
        <v>1430.7</v>
      </c>
      <c r="AE238" s="36">
        <v>14899846.310000001</v>
      </c>
      <c r="AF238" s="69">
        <f t="shared" si="60"/>
        <v>10414.370000000001</v>
      </c>
      <c r="AG238" s="69">
        <f t="shared" si="61"/>
        <v>11318.33</v>
      </c>
      <c r="AH238" s="70">
        <f t="shared" si="58"/>
        <v>903.96</v>
      </c>
      <c r="AI238" s="37">
        <v>218.5</v>
      </c>
      <c r="AJ238" s="36">
        <v>2236565.67</v>
      </c>
      <c r="AK238" s="69">
        <f t="shared" si="62"/>
        <v>10236</v>
      </c>
      <c r="AL238" s="69">
        <f t="shared" si="63"/>
        <v>10752.83</v>
      </c>
      <c r="AM238" s="70">
        <f t="shared" si="59"/>
        <v>516.83000000000004</v>
      </c>
      <c r="AN238" s="36">
        <v>0</v>
      </c>
      <c r="AO238" s="36">
        <v>0</v>
      </c>
    </row>
    <row r="239" spans="1:41" s="3" customFormat="1">
      <c r="A239" s="55" t="s">
        <v>471</v>
      </c>
      <c r="B239" s="55" t="s">
        <v>64</v>
      </c>
      <c r="C239" s="55" t="s">
        <v>1060</v>
      </c>
      <c r="D239" s="36">
        <v>0</v>
      </c>
      <c r="E239" s="36">
        <v>0</v>
      </c>
      <c r="F239" s="36">
        <v>0</v>
      </c>
      <c r="G239" s="36">
        <v>917496.89</v>
      </c>
      <c r="H239" s="36">
        <v>111479.74</v>
      </c>
      <c r="I239" s="36">
        <v>108051.86</v>
      </c>
      <c r="J239" s="36">
        <v>169780.16</v>
      </c>
      <c r="K239" s="36">
        <v>0</v>
      </c>
      <c r="L239" s="36">
        <v>16169.54</v>
      </c>
      <c r="M239" s="36">
        <v>397828.14</v>
      </c>
      <c r="N239" s="49">
        <v>7.5300000000000006E-2</v>
      </c>
      <c r="O239" s="64">
        <v>0.26219999999999999</v>
      </c>
      <c r="P239" s="36">
        <v>0</v>
      </c>
      <c r="Q239" s="36">
        <v>0</v>
      </c>
      <c r="R239" s="36">
        <v>0</v>
      </c>
      <c r="S239" s="36">
        <v>0</v>
      </c>
      <c r="T239" s="36">
        <v>0</v>
      </c>
      <c r="U239" s="36">
        <v>0</v>
      </c>
      <c r="V239" s="36">
        <v>0</v>
      </c>
      <c r="W239" s="36">
        <v>0</v>
      </c>
      <c r="X239" s="36">
        <v>0</v>
      </c>
      <c r="Y239" s="36">
        <v>0</v>
      </c>
      <c r="Z239" s="36">
        <v>0</v>
      </c>
      <c r="AA239" s="36">
        <v>0</v>
      </c>
      <c r="AB239" s="36">
        <v>0</v>
      </c>
      <c r="AC239" s="36">
        <v>94975</v>
      </c>
      <c r="AD239" s="37">
        <v>9.07</v>
      </c>
      <c r="AE239" s="36">
        <v>84431.09</v>
      </c>
      <c r="AF239" s="69">
        <f t="shared" si="60"/>
        <v>9308.83</v>
      </c>
      <c r="AG239" s="69">
        <f t="shared" si="61"/>
        <v>10471.33</v>
      </c>
      <c r="AH239" s="70">
        <f t="shared" si="58"/>
        <v>1162.5</v>
      </c>
      <c r="AI239" s="37">
        <v>0</v>
      </c>
      <c r="AJ239" s="36">
        <v>0</v>
      </c>
      <c r="AK239" s="69">
        <f t="shared" si="62"/>
        <v>0</v>
      </c>
      <c r="AL239" s="69">
        <f t="shared" si="63"/>
        <v>0</v>
      </c>
      <c r="AM239" s="70">
        <f t="shared" si="59"/>
        <v>0</v>
      </c>
      <c r="AN239" s="36">
        <v>0</v>
      </c>
      <c r="AO239" s="36">
        <v>0</v>
      </c>
    </row>
    <row r="240" spans="1:41" s="3" customFormat="1">
      <c r="A240" s="55" t="s">
        <v>431</v>
      </c>
      <c r="B240" s="55" t="s">
        <v>24</v>
      </c>
      <c r="C240" s="55" t="s">
        <v>1061</v>
      </c>
      <c r="D240" s="36">
        <v>0</v>
      </c>
      <c r="E240" s="36">
        <v>377539.23</v>
      </c>
      <c r="F240" s="36">
        <v>14424.15</v>
      </c>
      <c r="G240" s="36">
        <v>25526178.16</v>
      </c>
      <c r="H240" s="36">
        <v>4978602.66</v>
      </c>
      <c r="I240" s="36">
        <v>1396993.98</v>
      </c>
      <c r="J240" s="36">
        <v>3492430.82</v>
      </c>
      <c r="K240" s="36">
        <v>1551621.73</v>
      </c>
      <c r="L240" s="36">
        <v>432085.69</v>
      </c>
      <c r="M240" s="36">
        <v>5841042.71</v>
      </c>
      <c r="N240" s="49">
        <v>4.2099999999999999E-2</v>
      </c>
      <c r="O240" s="64">
        <v>0.14219999999999999</v>
      </c>
      <c r="P240" s="36">
        <v>0</v>
      </c>
      <c r="Q240" s="36">
        <v>0</v>
      </c>
      <c r="R240" s="36">
        <v>0</v>
      </c>
      <c r="S240" s="36">
        <v>152910.32</v>
      </c>
      <c r="T240" s="36">
        <v>15098.604000000001</v>
      </c>
      <c r="U240" s="36">
        <v>5666.15</v>
      </c>
      <c r="V240" s="36">
        <v>0</v>
      </c>
      <c r="W240" s="36">
        <v>0</v>
      </c>
      <c r="X240" s="36">
        <v>0</v>
      </c>
      <c r="Y240" s="36">
        <v>0</v>
      </c>
      <c r="Z240" s="36">
        <v>221.16</v>
      </c>
      <c r="AA240" s="36">
        <v>167592.17000000001</v>
      </c>
      <c r="AB240" s="36">
        <v>1351844.03</v>
      </c>
      <c r="AC240" s="36">
        <v>8106532.54</v>
      </c>
      <c r="AD240" s="37">
        <v>821.79</v>
      </c>
      <c r="AE240" s="36">
        <v>7614743.2300000004</v>
      </c>
      <c r="AF240" s="69">
        <f t="shared" si="60"/>
        <v>9266.0499999999993</v>
      </c>
      <c r="AG240" s="69">
        <f t="shared" si="61"/>
        <v>9864.48</v>
      </c>
      <c r="AH240" s="70">
        <f t="shared" si="58"/>
        <v>598.42999999999995</v>
      </c>
      <c r="AI240" s="37">
        <v>141.57</v>
      </c>
      <c r="AJ240" s="36">
        <v>1286073.77</v>
      </c>
      <c r="AK240" s="69">
        <f t="shared" si="62"/>
        <v>9084.3700000000008</v>
      </c>
      <c r="AL240" s="69">
        <f t="shared" si="63"/>
        <v>9548.94</v>
      </c>
      <c r="AM240" s="70">
        <f t="shared" si="59"/>
        <v>464.57</v>
      </c>
      <c r="AN240" s="36">
        <v>0</v>
      </c>
      <c r="AO240" s="36">
        <v>0</v>
      </c>
    </row>
    <row r="241" spans="1:41" s="3" customFormat="1">
      <c r="A241" s="55" t="s">
        <v>452</v>
      </c>
      <c r="B241" s="55" t="s">
        <v>45</v>
      </c>
      <c r="C241" s="55" t="s">
        <v>1062</v>
      </c>
      <c r="D241" s="36">
        <v>0</v>
      </c>
      <c r="E241" s="36">
        <v>25863.27</v>
      </c>
      <c r="F241" s="36">
        <v>0</v>
      </c>
      <c r="G241" s="36">
        <v>6306522.8399999999</v>
      </c>
      <c r="H241" s="36">
        <v>773931.8</v>
      </c>
      <c r="I241" s="36">
        <v>0</v>
      </c>
      <c r="J241" s="36">
        <v>747078.05</v>
      </c>
      <c r="K241" s="36">
        <v>381358.51</v>
      </c>
      <c r="L241" s="36">
        <v>136288.18</v>
      </c>
      <c r="M241" s="36">
        <v>0</v>
      </c>
      <c r="N241" s="49">
        <v>5.8799999999999998E-2</v>
      </c>
      <c r="O241" s="64">
        <v>0.20250000000000001</v>
      </c>
      <c r="P241" s="36">
        <v>0</v>
      </c>
      <c r="Q241" s="36">
        <v>0</v>
      </c>
      <c r="R241" s="36">
        <v>0</v>
      </c>
      <c r="S241" s="36">
        <v>0</v>
      </c>
      <c r="T241" s="36">
        <v>0</v>
      </c>
      <c r="U241" s="36">
        <v>0</v>
      </c>
      <c r="V241" s="36">
        <v>0</v>
      </c>
      <c r="W241" s="36">
        <v>0</v>
      </c>
      <c r="X241" s="36">
        <v>0</v>
      </c>
      <c r="Y241" s="36">
        <v>0</v>
      </c>
      <c r="Z241" s="36">
        <v>0</v>
      </c>
      <c r="AA241" s="36">
        <v>0</v>
      </c>
      <c r="AB241" s="36">
        <v>715273.13</v>
      </c>
      <c r="AC241" s="36">
        <v>2186551.62</v>
      </c>
      <c r="AD241" s="37">
        <v>217.87</v>
      </c>
      <c r="AE241" s="36">
        <v>2102179.73</v>
      </c>
      <c r="AF241" s="69">
        <f t="shared" si="60"/>
        <v>9648.7800000000007</v>
      </c>
      <c r="AG241" s="69">
        <f t="shared" si="61"/>
        <v>10036.040000000001</v>
      </c>
      <c r="AH241" s="70">
        <f t="shared" si="58"/>
        <v>387.26</v>
      </c>
      <c r="AI241" s="37">
        <v>71.87</v>
      </c>
      <c r="AJ241" s="36">
        <v>680397.6</v>
      </c>
      <c r="AK241" s="69">
        <f t="shared" si="62"/>
        <v>9467.06</v>
      </c>
      <c r="AL241" s="69">
        <f t="shared" si="63"/>
        <v>9952.32</v>
      </c>
      <c r="AM241" s="70">
        <f t="shared" si="59"/>
        <v>485.26</v>
      </c>
      <c r="AN241" s="36">
        <v>0</v>
      </c>
      <c r="AO241" s="36">
        <v>5500</v>
      </c>
    </row>
    <row r="242" spans="1:41" s="3" customFormat="1">
      <c r="A242" s="55" t="s">
        <v>423</v>
      </c>
      <c r="B242" s="55" t="s">
        <v>16</v>
      </c>
      <c r="C242" s="55" t="s">
        <v>1063</v>
      </c>
      <c r="D242" s="36">
        <v>2131.25</v>
      </c>
      <c r="E242" s="36">
        <v>0</v>
      </c>
      <c r="F242" s="36">
        <v>0</v>
      </c>
      <c r="G242" s="36">
        <v>583559.81000000006</v>
      </c>
      <c r="H242" s="36">
        <v>57302.61</v>
      </c>
      <c r="I242" s="36">
        <v>55916.3</v>
      </c>
      <c r="J242" s="36">
        <v>138726.19</v>
      </c>
      <c r="K242" s="36">
        <v>0</v>
      </c>
      <c r="L242" s="36">
        <v>12326.23</v>
      </c>
      <c r="M242" s="36">
        <v>0</v>
      </c>
      <c r="N242" s="49">
        <v>5.4399999999999997E-2</v>
      </c>
      <c r="O242" s="64">
        <v>0.2457</v>
      </c>
      <c r="P242" s="36">
        <v>0</v>
      </c>
      <c r="Q242" s="36">
        <v>0</v>
      </c>
      <c r="R242" s="36">
        <v>0</v>
      </c>
      <c r="S242" s="36">
        <v>0</v>
      </c>
      <c r="T242" s="36">
        <v>0</v>
      </c>
      <c r="U242" s="36">
        <v>0</v>
      </c>
      <c r="V242" s="36">
        <v>0</v>
      </c>
      <c r="W242" s="36">
        <v>0</v>
      </c>
      <c r="X242" s="36">
        <v>0</v>
      </c>
      <c r="Y242" s="36">
        <v>0</v>
      </c>
      <c r="Z242" s="36">
        <v>0</v>
      </c>
      <c r="AA242" s="36">
        <v>0</v>
      </c>
      <c r="AB242" s="36">
        <v>95070.48</v>
      </c>
      <c r="AC242" s="36">
        <v>326049.71999999997</v>
      </c>
      <c r="AD242" s="37">
        <v>33.04</v>
      </c>
      <c r="AE242" s="36">
        <v>312420.18</v>
      </c>
      <c r="AF242" s="69">
        <f t="shared" si="60"/>
        <v>9455.82</v>
      </c>
      <c r="AG242" s="69">
        <f t="shared" si="61"/>
        <v>9868.33</v>
      </c>
      <c r="AH242" s="70">
        <f t="shared" si="58"/>
        <v>412.51</v>
      </c>
      <c r="AI242" s="37">
        <v>9.76</v>
      </c>
      <c r="AJ242" s="36">
        <v>90613.71</v>
      </c>
      <c r="AK242" s="69">
        <f t="shared" si="62"/>
        <v>9284.19</v>
      </c>
      <c r="AL242" s="69">
        <f t="shared" si="63"/>
        <v>9740.83</v>
      </c>
      <c r="AM242" s="70">
        <f t="shared" si="59"/>
        <v>456.64</v>
      </c>
      <c r="AN242" s="36">
        <v>0</v>
      </c>
      <c r="AO242" s="36">
        <v>0</v>
      </c>
    </row>
    <row r="243" spans="1:41" s="3" customFormat="1">
      <c r="A243" s="55" t="s">
        <v>648</v>
      </c>
      <c r="B243" s="55" t="s">
        <v>243</v>
      </c>
      <c r="C243" s="55" t="s">
        <v>1064</v>
      </c>
      <c r="D243" s="36">
        <v>0</v>
      </c>
      <c r="E243" s="36">
        <v>51627.89</v>
      </c>
      <c r="F243" s="36">
        <v>23440.37</v>
      </c>
      <c r="G243" s="36">
        <v>2164987.84</v>
      </c>
      <c r="H243" s="36">
        <v>433874.48</v>
      </c>
      <c r="I243" s="36">
        <v>263324.21999999997</v>
      </c>
      <c r="J243" s="36">
        <v>540404.98</v>
      </c>
      <c r="K243" s="36">
        <v>21750.21</v>
      </c>
      <c r="L243" s="36">
        <v>45710.75</v>
      </c>
      <c r="M243" s="36">
        <v>1718572.61</v>
      </c>
      <c r="N243" s="49">
        <v>4.3299999999999998E-2</v>
      </c>
      <c r="O243" s="64">
        <v>0.222</v>
      </c>
      <c r="P243" s="36">
        <v>0</v>
      </c>
      <c r="Q243" s="36">
        <v>0</v>
      </c>
      <c r="R243" s="36">
        <v>0</v>
      </c>
      <c r="S243" s="36">
        <v>0</v>
      </c>
      <c r="T243" s="36">
        <v>0</v>
      </c>
      <c r="U243" s="36">
        <v>0</v>
      </c>
      <c r="V243" s="36">
        <v>0</v>
      </c>
      <c r="W243" s="36">
        <v>0</v>
      </c>
      <c r="X243" s="36">
        <v>0</v>
      </c>
      <c r="Y243" s="36">
        <v>0</v>
      </c>
      <c r="Z243" s="36">
        <v>0</v>
      </c>
      <c r="AA243" s="36">
        <v>0</v>
      </c>
      <c r="AB243" s="36">
        <v>487153.69</v>
      </c>
      <c r="AC243" s="36">
        <v>986569.66</v>
      </c>
      <c r="AD243" s="37">
        <v>100.88</v>
      </c>
      <c r="AE243" s="36">
        <v>934797.49</v>
      </c>
      <c r="AF243" s="69">
        <f t="shared" si="60"/>
        <v>9266.43</v>
      </c>
      <c r="AG243" s="69">
        <f t="shared" si="61"/>
        <v>9779.64</v>
      </c>
      <c r="AH243" s="70">
        <f t="shared" si="58"/>
        <v>513.21</v>
      </c>
      <c r="AI243" s="37">
        <v>51.02</v>
      </c>
      <c r="AJ243" s="36">
        <v>463446.93</v>
      </c>
      <c r="AK243" s="69">
        <f t="shared" si="62"/>
        <v>9083.6299999999992</v>
      </c>
      <c r="AL243" s="69">
        <f t="shared" si="63"/>
        <v>9548.2900000000009</v>
      </c>
      <c r="AM243" s="70">
        <f t="shared" si="59"/>
        <v>464.66</v>
      </c>
      <c r="AN243" s="36">
        <v>0</v>
      </c>
      <c r="AO243" s="36">
        <v>0</v>
      </c>
    </row>
    <row r="244" spans="1:41" s="3" customFormat="1">
      <c r="A244" s="55" t="s">
        <v>518</v>
      </c>
      <c r="B244" s="55" t="s">
        <v>111</v>
      </c>
      <c r="C244" s="55" t="s">
        <v>1065</v>
      </c>
      <c r="D244" s="36">
        <v>0</v>
      </c>
      <c r="E244" s="36">
        <v>0</v>
      </c>
      <c r="F244" s="36">
        <v>0</v>
      </c>
      <c r="G244" s="36">
        <v>4472043.3600000003</v>
      </c>
      <c r="H244" s="36">
        <v>657778.14</v>
      </c>
      <c r="I244" s="36">
        <v>0</v>
      </c>
      <c r="J244" s="36">
        <v>423123.11</v>
      </c>
      <c r="K244" s="36">
        <v>430900.97</v>
      </c>
      <c r="L244" s="36">
        <v>106563.4</v>
      </c>
      <c r="M244" s="36">
        <v>2739211.43</v>
      </c>
      <c r="N244" s="49">
        <v>3.95E-2</v>
      </c>
      <c r="O244" s="64">
        <v>0.159</v>
      </c>
      <c r="P244" s="36">
        <v>0</v>
      </c>
      <c r="Q244" s="36">
        <v>0</v>
      </c>
      <c r="R244" s="36">
        <v>0</v>
      </c>
      <c r="S244" s="36">
        <v>0</v>
      </c>
      <c r="T244" s="36">
        <v>0</v>
      </c>
      <c r="U244" s="36">
        <v>0</v>
      </c>
      <c r="V244" s="36">
        <v>0</v>
      </c>
      <c r="W244" s="36">
        <v>0</v>
      </c>
      <c r="X244" s="36">
        <v>0</v>
      </c>
      <c r="Y244" s="36">
        <v>0</v>
      </c>
      <c r="Z244" s="36">
        <v>0</v>
      </c>
      <c r="AA244" s="36">
        <v>0</v>
      </c>
      <c r="AB244" s="36">
        <v>218201.48</v>
      </c>
      <c r="AC244" s="36">
        <v>1904485.29</v>
      </c>
      <c r="AD244" s="37">
        <v>158.53</v>
      </c>
      <c r="AE244" s="36">
        <v>1650954.65</v>
      </c>
      <c r="AF244" s="69">
        <f t="shared" si="60"/>
        <v>10414.15</v>
      </c>
      <c r="AG244" s="69">
        <f t="shared" si="61"/>
        <v>12013.41</v>
      </c>
      <c r="AH244" s="70">
        <f t="shared" si="58"/>
        <v>1599.26</v>
      </c>
      <c r="AI244" s="37">
        <v>20.3</v>
      </c>
      <c r="AJ244" s="36">
        <v>207772.44</v>
      </c>
      <c r="AK244" s="69">
        <f t="shared" si="62"/>
        <v>10235.1</v>
      </c>
      <c r="AL244" s="69">
        <f t="shared" si="63"/>
        <v>10748.84</v>
      </c>
      <c r="AM244" s="70">
        <f t="shared" si="59"/>
        <v>513.74</v>
      </c>
      <c r="AN244" s="36">
        <v>0</v>
      </c>
      <c r="AO244" s="36">
        <v>0</v>
      </c>
    </row>
    <row r="245" spans="1:41" s="3" customFormat="1">
      <c r="A245" s="55" t="s">
        <v>665</v>
      </c>
      <c r="B245" s="55" t="s">
        <v>262</v>
      </c>
      <c r="C245" s="55" t="s">
        <v>1066</v>
      </c>
      <c r="D245" s="36">
        <v>0</v>
      </c>
      <c r="E245" s="36">
        <v>34978.39</v>
      </c>
      <c r="F245" s="36">
        <v>46549.14</v>
      </c>
      <c r="G245" s="36">
        <v>4002544.99</v>
      </c>
      <c r="H245" s="36">
        <v>684425.53</v>
      </c>
      <c r="I245" s="36">
        <v>487761.81</v>
      </c>
      <c r="J245" s="36">
        <v>942486.22</v>
      </c>
      <c r="K245" s="36">
        <v>387239.06</v>
      </c>
      <c r="L245" s="36">
        <v>64558.3</v>
      </c>
      <c r="M245" s="36">
        <v>2450493.2400000002</v>
      </c>
      <c r="N245" s="49">
        <v>1.9599999999999999E-2</v>
      </c>
      <c r="O245" s="64">
        <v>0.13120000000000001</v>
      </c>
      <c r="P245" s="36">
        <v>0</v>
      </c>
      <c r="Q245" s="36">
        <v>0</v>
      </c>
      <c r="R245" s="36">
        <v>0</v>
      </c>
      <c r="S245" s="36">
        <v>0</v>
      </c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117830.05</v>
      </c>
      <c r="AB245" s="36">
        <v>0</v>
      </c>
      <c r="AC245" s="36">
        <v>1364863.83</v>
      </c>
      <c r="AD245" s="37">
        <v>135.15</v>
      </c>
      <c r="AE245" s="36">
        <v>1252206.6200000001</v>
      </c>
      <c r="AF245" s="69">
        <f t="shared" si="60"/>
        <v>9265.31</v>
      </c>
      <c r="AG245" s="69">
        <f t="shared" si="61"/>
        <v>10098.879999999999</v>
      </c>
      <c r="AH245" s="70">
        <f t="shared" si="58"/>
        <v>833.57</v>
      </c>
      <c r="AI245" s="37">
        <v>0</v>
      </c>
      <c r="AJ245" s="36">
        <v>0</v>
      </c>
      <c r="AK245" s="69">
        <f t="shared" si="62"/>
        <v>0</v>
      </c>
      <c r="AL245" s="69">
        <f t="shared" si="63"/>
        <v>0</v>
      </c>
      <c r="AM245" s="70">
        <f t="shared" si="59"/>
        <v>0</v>
      </c>
      <c r="AN245" s="36">
        <v>0</v>
      </c>
      <c r="AO245" s="36">
        <v>0</v>
      </c>
    </row>
    <row r="246" spans="1:41" s="3" customFormat="1">
      <c r="A246" s="55" t="s">
        <v>544</v>
      </c>
      <c r="B246" s="55" t="s">
        <v>137</v>
      </c>
      <c r="C246" s="55" t="s">
        <v>1067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21750.21</v>
      </c>
      <c r="L246" s="36">
        <v>0</v>
      </c>
      <c r="M246" s="36">
        <v>101219.14</v>
      </c>
      <c r="N246" s="49">
        <v>8.2600000000000007E-2</v>
      </c>
      <c r="O246" s="64">
        <v>0.21729999999999999</v>
      </c>
      <c r="P246" s="36">
        <v>0</v>
      </c>
      <c r="Q246" s="36">
        <v>0</v>
      </c>
      <c r="R246" s="36">
        <v>0</v>
      </c>
      <c r="S246" s="36">
        <v>0</v>
      </c>
      <c r="T246" s="36">
        <v>0</v>
      </c>
      <c r="U246" s="36">
        <v>0</v>
      </c>
      <c r="V246" s="36">
        <v>0</v>
      </c>
      <c r="W246" s="36">
        <v>0</v>
      </c>
      <c r="X246" s="36">
        <v>0</v>
      </c>
      <c r="Y246" s="36">
        <v>0</v>
      </c>
      <c r="Z246" s="36">
        <v>0</v>
      </c>
      <c r="AA246" s="36">
        <v>0</v>
      </c>
      <c r="AB246" s="36">
        <v>0</v>
      </c>
      <c r="AC246" s="36">
        <v>0</v>
      </c>
      <c r="AD246" s="37">
        <v>0</v>
      </c>
      <c r="AE246" s="36">
        <v>0</v>
      </c>
      <c r="AF246" s="69">
        <f t="shared" si="60"/>
        <v>0</v>
      </c>
      <c r="AG246" s="69">
        <f t="shared" si="61"/>
        <v>0</v>
      </c>
      <c r="AH246" s="70">
        <f t="shared" si="58"/>
        <v>0</v>
      </c>
      <c r="AI246" s="37">
        <v>0</v>
      </c>
      <c r="AJ246" s="36">
        <v>0</v>
      </c>
      <c r="AK246" s="69">
        <f t="shared" si="62"/>
        <v>0</v>
      </c>
      <c r="AL246" s="69">
        <f t="shared" si="63"/>
        <v>0</v>
      </c>
      <c r="AM246" s="70">
        <f t="shared" si="59"/>
        <v>0</v>
      </c>
      <c r="AN246" s="36">
        <v>0</v>
      </c>
      <c r="AO246" s="36">
        <v>0</v>
      </c>
    </row>
    <row r="247" spans="1:41" s="3" customFormat="1">
      <c r="A247" s="55" t="s">
        <v>817</v>
      </c>
      <c r="B247" s="57" t="s">
        <v>818</v>
      </c>
      <c r="C247" s="55" t="s">
        <v>1068</v>
      </c>
      <c r="D247" s="36">
        <v>0</v>
      </c>
      <c r="E247" s="36">
        <v>0</v>
      </c>
      <c r="F247" s="36">
        <v>0</v>
      </c>
      <c r="G247" s="36">
        <v>95065.29</v>
      </c>
      <c r="H247" s="36">
        <v>21743.16</v>
      </c>
      <c r="I247" s="36">
        <v>8774.4</v>
      </c>
      <c r="J247" s="36">
        <v>9572.07</v>
      </c>
      <c r="K247" s="36">
        <v>0</v>
      </c>
      <c r="L247" s="36">
        <v>0</v>
      </c>
      <c r="M247" s="36">
        <v>0</v>
      </c>
      <c r="N247" s="49">
        <v>3.5000000000000003E-2</v>
      </c>
      <c r="O247" s="64">
        <v>0.14979999999999999</v>
      </c>
      <c r="P247" s="36">
        <v>0</v>
      </c>
      <c r="Q247" s="36">
        <v>0</v>
      </c>
      <c r="R247" s="36">
        <v>0</v>
      </c>
      <c r="S247" s="36">
        <v>0</v>
      </c>
      <c r="T247" s="36">
        <v>0</v>
      </c>
      <c r="U247" s="36">
        <v>0</v>
      </c>
      <c r="V247" s="36">
        <v>0</v>
      </c>
      <c r="W247" s="36">
        <v>0</v>
      </c>
      <c r="X247" s="36">
        <v>0</v>
      </c>
      <c r="Y247" s="36">
        <v>0</v>
      </c>
      <c r="Z247" s="36">
        <v>0</v>
      </c>
      <c r="AA247" s="36">
        <v>0</v>
      </c>
      <c r="AB247" s="36">
        <v>0</v>
      </c>
      <c r="AC247" s="36">
        <v>80935.759999999995</v>
      </c>
      <c r="AD247" s="37">
        <v>8.14</v>
      </c>
      <c r="AE247" s="36">
        <v>78710.91</v>
      </c>
      <c r="AF247" s="69">
        <f t="shared" si="60"/>
        <v>9669.64</v>
      </c>
      <c r="AG247" s="69">
        <f t="shared" si="61"/>
        <v>9942.9699999999993</v>
      </c>
      <c r="AH247" s="70">
        <f t="shared" si="58"/>
        <v>273.33</v>
      </c>
      <c r="AI247" s="37">
        <v>0</v>
      </c>
      <c r="AJ247" s="36">
        <v>0</v>
      </c>
      <c r="AK247" s="69">
        <f t="shared" si="62"/>
        <v>0</v>
      </c>
      <c r="AL247" s="69">
        <f t="shared" si="63"/>
        <v>0</v>
      </c>
      <c r="AM247" s="70">
        <f t="shared" si="59"/>
        <v>0</v>
      </c>
      <c r="AN247" s="36">
        <v>0</v>
      </c>
      <c r="AO247" s="36">
        <v>0</v>
      </c>
    </row>
    <row r="248" spans="1:41" s="3" customFormat="1">
      <c r="A248" s="55" t="s">
        <v>692</v>
      </c>
      <c r="B248" s="55" t="s">
        <v>289</v>
      </c>
      <c r="C248" s="55" t="s">
        <v>1069</v>
      </c>
      <c r="D248" s="36">
        <v>0</v>
      </c>
      <c r="E248" s="36">
        <v>0</v>
      </c>
      <c r="F248" s="36">
        <v>0</v>
      </c>
      <c r="G248" s="36">
        <v>274739.89</v>
      </c>
      <c r="H248" s="36">
        <v>26439.89</v>
      </c>
      <c r="I248" s="36">
        <v>48408.5</v>
      </c>
      <c r="J248" s="36">
        <v>67234.02</v>
      </c>
      <c r="K248" s="36">
        <v>0</v>
      </c>
      <c r="L248" s="36">
        <v>0</v>
      </c>
      <c r="M248" s="36">
        <v>262262</v>
      </c>
      <c r="N248" s="49">
        <v>5.6000000000000001E-2</v>
      </c>
      <c r="O248" s="64">
        <v>0.23280000000000001</v>
      </c>
      <c r="P248" s="36">
        <v>0</v>
      </c>
      <c r="Q248" s="36">
        <v>0</v>
      </c>
      <c r="R248" s="36">
        <v>0</v>
      </c>
      <c r="S248" s="36">
        <v>0</v>
      </c>
      <c r="T248" s="36">
        <v>0</v>
      </c>
      <c r="U248" s="36">
        <v>0</v>
      </c>
      <c r="V248" s="36">
        <v>0</v>
      </c>
      <c r="W248" s="36">
        <v>0</v>
      </c>
      <c r="X248" s="36">
        <v>0</v>
      </c>
      <c r="Y248" s="36">
        <v>0</v>
      </c>
      <c r="Z248" s="36">
        <v>0</v>
      </c>
      <c r="AA248" s="36">
        <v>0</v>
      </c>
      <c r="AB248" s="36">
        <v>22294</v>
      </c>
      <c r="AC248" s="36">
        <v>54398.79</v>
      </c>
      <c r="AD248" s="37">
        <v>5.58</v>
      </c>
      <c r="AE248" s="36">
        <v>52551.92</v>
      </c>
      <c r="AF248" s="69">
        <f t="shared" si="60"/>
        <v>9417.91</v>
      </c>
      <c r="AG248" s="69">
        <f t="shared" si="61"/>
        <v>9748.89</v>
      </c>
      <c r="AH248" s="70">
        <f t="shared" si="58"/>
        <v>330.98</v>
      </c>
      <c r="AI248" s="37">
        <v>2.2999999999999998</v>
      </c>
      <c r="AJ248" s="36">
        <v>21256.47</v>
      </c>
      <c r="AK248" s="69">
        <f t="shared" si="62"/>
        <v>9241.94</v>
      </c>
      <c r="AL248" s="69">
        <f t="shared" si="63"/>
        <v>9693.0400000000009</v>
      </c>
      <c r="AM248" s="70">
        <f t="shared" si="59"/>
        <v>451.1</v>
      </c>
      <c r="AN248" s="36">
        <v>0</v>
      </c>
      <c r="AO248" s="36">
        <v>0</v>
      </c>
    </row>
    <row r="249" spans="1:41" s="3" customFormat="1">
      <c r="A249" s="55" t="s">
        <v>482</v>
      </c>
      <c r="B249" s="55" t="s">
        <v>75</v>
      </c>
      <c r="C249" s="55" t="s">
        <v>1070</v>
      </c>
      <c r="D249" s="36">
        <v>141123.79</v>
      </c>
      <c r="E249" s="36">
        <v>75478.789999999994</v>
      </c>
      <c r="F249" s="36">
        <v>52850.57</v>
      </c>
      <c r="G249" s="36">
        <v>2370841.2000000002</v>
      </c>
      <c r="H249" s="36">
        <v>350297.11</v>
      </c>
      <c r="I249" s="36">
        <v>544087.84</v>
      </c>
      <c r="J249" s="36">
        <v>905657.64</v>
      </c>
      <c r="K249" s="36">
        <v>1300428.1000000001</v>
      </c>
      <c r="L249" s="36">
        <v>0</v>
      </c>
      <c r="M249" s="36">
        <v>1412622.53</v>
      </c>
      <c r="N249" s="49">
        <v>4.6300000000000001E-2</v>
      </c>
      <c r="O249" s="64">
        <v>0.16189999999999999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15408.53</v>
      </c>
      <c r="AA249" s="36">
        <v>77753.02</v>
      </c>
      <c r="AB249" s="36">
        <v>172675.37</v>
      </c>
      <c r="AC249" s="36">
        <v>1198564.43</v>
      </c>
      <c r="AD249" s="37">
        <v>122.9</v>
      </c>
      <c r="AE249" s="36">
        <v>1138755.7</v>
      </c>
      <c r="AF249" s="69">
        <f t="shared" si="60"/>
        <v>9265.7099999999991</v>
      </c>
      <c r="AG249" s="69">
        <f t="shared" si="61"/>
        <v>9752.36</v>
      </c>
      <c r="AH249" s="70">
        <f t="shared" si="58"/>
        <v>486.65</v>
      </c>
      <c r="AI249" s="37">
        <v>18.079999999999998</v>
      </c>
      <c r="AJ249" s="36">
        <v>164099.69</v>
      </c>
      <c r="AK249" s="69">
        <f t="shared" si="62"/>
        <v>9076.31</v>
      </c>
      <c r="AL249" s="69">
        <f t="shared" si="63"/>
        <v>9550.6299999999992</v>
      </c>
      <c r="AM249" s="70">
        <f t="shared" si="59"/>
        <v>474.32</v>
      </c>
      <c r="AN249" s="36">
        <v>0</v>
      </c>
      <c r="AO249" s="36">
        <v>0</v>
      </c>
    </row>
    <row r="250" spans="1:41" s="3" customFormat="1">
      <c r="A250" s="55" t="s">
        <v>610</v>
      </c>
      <c r="B250" s="55" t="s">
        <v>204</v>
      </c>
      <c r="C250" s="55" t="s">
        <v>1071</v>
      </c>
      <c r="D250" s="36">
        <v>0</v>
      </c>
      <c r="E250" s="36">
        <v>0</v>
      </c>
      <c r="F250" s="36">
        <v>0</v>
      </c>
      <c r="G250" s="36">
        <v>1583241.45</v>
      </c>
      <c r="H250" s="36">
        <v>192009.21</v>
      </c>
      <c r="I250" s="36">
        <v>0</v>
      </c>
      <c r="J250" s="36">
        <v>237620.1</v>
      </c>
      <c r="K250" s="36">
        <v>143723.72</v>
      </c>
      <c r="L250" s="36">
        <v>26907.16</v>
      </c>
      <c r="M250" s="36">
        <v>444714.74</v>
      </c>
      <c r="N250" s="49">
        <v>6.9099999999999995E-2</v>
      </c>
      <c r="O250" s="64">
        <v>0.20369999999999999</v>
      </c>
      <c r="P250" s="36">
        <v>0</v>
      </c>
      <c r="Q250" s="36">
        <v>0</v>
      </c>
      <c r="R250" s="36">
        <v>0</v>
      </c>
      <c r="S250" s="36">
        <v>0</v>
      </c>
      <c r="T250" s="36">
        <v>0</v>
      </c>
      <c r="U250" s="36">
        <v>0</v>
      </c>
      <c r="V250" s="36">
        <v>0</v>
      </c>
      <c r="W250" s="36">
        <v>0</v>
      </c>
      <c r="X250" s="36">
        <v>0</v>
      </c>
      <c r="Y250" s="36">
        <v>0</v>
      </c>
      <c r="Z250" s="36">
        <v>0</v>
      </c>
      <c r="AA250" s="36">
        <v>18824.37</v>
      </c>
      <c r="AB250" s="36">
        <v>0</v>
      </c>
      <c r="AC250" s="36">
        <v>266008.28999999998</v>
      </c>
      <c r="AD250" s="37">
        <v>25.27</v>
      </c>
      <c r="AE250" s="36">
        <v>253356.06</v>
      </c>
      <c r="AF250" s="69">
        <f t="shared" si="60"/>
        <v>10025.959999999999</v>
      </c>
      <c r="AG250" s="69">
        <f t="shared" si="61"/>
        <v>10526.64</v>
      </c>
      <c r="AH250" s="70">
        <f t="shared" si="58"/>
        <v>500.68</v>
      </c>
      <c r="AI250" s="37">
        <v>0</v>
      </c>
      <c r="AJ250" s="36">
        <v>0</v>
      </c>
      <c r="AK250" s="69">
        <f t="shared" si="62"/>
        <v>0</v>
      </c>
      <c r="AL250" s="69">
        <f t="shared" si="63"/>
        <v>0</v>
      </c>
      <c r="AM250" s="70">
        <f t="shared" si="59"/>
        <v>0</v>
      </c>
      <c r="AN250" s="36">
        <v>0</v>
      </c>
      <c r="AO250" s="36">
        <v>0</v>
      </c>
    </row>
    <row r="251" spans="1:41" s="3" customFormat="1">
      <c r="A251" s="55" t="s">
        <v>496</v>
      </c>
      <c r="B251" s="55" t="s">
        <v>89</v>
      </c>
      <c r="C251" s="55" t="s">
        <v>1072</v>
      </c>
      <c r="D251" s="36">
        <v>0</v>
      </c>
      <c r="E251" s="36">
        <v>1884.24</v>
      </c>
      <c r="F251" s="36">
        <v>1607.74</v>
      </c>
      <c r="G251" s="36">
        <v>172003.55</v>
      </c>
      <c r="H251" s="36">
        <v>7192.04</v>
      </c>
      <c r="I251" s="36">
        <v>18414.27</v>
      </c>
      <c r="J251" s="36">
        <v>25346.73</v>
      </c>
      <c r="K251" s="36">
        <v>0</v>
      </c>
      <c r="L251" s="36">
        <v>0</v>
      </c>
      <c r="M251" s="36">
        <v>0</v>
      </c>
      <c r="N251" s="49">
        <v>7.3700000000000002E-2</v>
      </c>
      <c r="O251" s="64">
        <v>0.37119999999999997</v>
      </c>
      <c r="P251" s="36">
        <v>0</v>
      </c>
      <c r="Q251" s="36">
        <v>0</v>
      </c>
      <c r="R251" s="36">
        <v>0</v>
      </c>
      <c r="S251" s="36">
        <v>0</v>
      </c>
      <c r="T251" s="36">
        <v>0</v>
      </c>
      <c r="U251" s="36">
        <v>0</v>
      </c>
      <c r="V251" s="36">
        <v>0</v>
      </c>
      <c r="W251" s="36">
        <v>0</v>
      </c>
      <c r="X251" s="36">
        <v>0</v>
      </c>
      <c r="Y251" s="36">
        <v>0</v>
      </c>
      <c r="Z251" s="36">
        <v>0</v>
      </c>
      <c r="AA251" s="36">
        <v>0</v>
      </c>
      <c r="AB251" s="36">
        <v>0</v>
      </c>
      <c r="AC251" s="36">
        <v>0</v>
      </c>
      <c r="AD251" s="37">
        <v>0</v>
      </c>
      <c r="AE251" s="36">
        <v>0</v>
      </c>
      <c r="AF251" s="69">
        <f t="shared" si="60"/>
        <v>0</v>
      </c>
      <c r="AG251" s="69">
        <f t="shared" si="61"/>
        <v>0</v>
      </c>
      <c r="AH251" s="70">
        <f t="shared" si="58"/>
        <v>0</v>
      </c>
      <c r="AI251" s="37">
        <v>0</v>
      </c>
      <c r="AJ251" s="36">
        <v>0</v>
      </c>
      <c r="AK251" s="69">
        <f t="shared" si="62"/>
        <v>0</v>
      </c>
      <c r="AL251" s="69">
        <f t="shared" si="63"/>
        <v>0</v>
      </c>
      <c r="AM251" s="70">
        <f t="shared" si="59"/>
        <v>0</v>
      </c>
      <c r="AN251" s="36">
        <v>0</v>
      </c>
      <c r="AO251" s="36">
        <v>0</v>
      </c>
    </row>
    <row r="252" spans="1:41" s="3" customFormat="1">
      <c r="A252" s="55" t="s">
        <v>508</v>
      </c>
      <c r="B252" s="55" t="s">
        <v>101</v>
      </c>
      <c r="C252" s="55" t="s">
        <v>1073</v>
      </c>
      <c r="D252" s="36">
        <v>0</v>
      </c>
      <c r="E252" s="36">
        <v>334876.59999999998</v>
      </c>
      <c r="F252" s="36">
        <v>445878.94</v>
      </c>
      <c r="G252" s="36">
        <v>108026580.66</v>
      </c>
      <c r="H252" s="36">
        <v>17789988.510000002</v>
      </c>
      <c r="I252" s="36">
        <v>5131573.07</v>
      </c>
      <c r="J252" s="36">
        <v>16124008.67</v>
      </c>
      <c r="K252" s="36">
        <v>14531445.02</v>
      </c>
      <c r="L252" s="36">
        <v>1794547.92</v>
      </c>
      <c r="M252" s="36">
        <v>41955628.689999998</v>
      </c>
      <c r="N252" s="49">
        <v>4.3400000000000001E-2</v>
      </c>
      <c r="O252" s="64">
        <v>0.15720000000000001</v>
      </c>
      <c r="P252" s="36">
        <v>0</v>
      </c>
      <c r="Q252" s="36">
        <v>0</v>
      </c>
      <c r="R252" s="36">
        <v>0</v>
      </c>
      <c r="S252" s="36">
        <v>1150622.56</v>
      </c>
      <c r="T252" s="36">
        <v>88261.966000000015</v>
      </c>
      <c r="U252" s="36">
        <v>36848.559999999998</v>
      </c>
      <c r="V252" s="36">
        <v>0</v>
      </c>
      <c r="W252" s="36">
        <v>0</v>
      </c>
      <c r="X252" s="36">
        <v>0</v>
      </c>
      <c r="Y252" s="36">
        <v>0</v>
      </c>
      <c r="Z252" s="36">
        <v>195681.6</v>
      </c>
      <c r="AA252" s="36">
        <v>1886644.8</v>
      </c>
      <c r="AB252" s="36">
        <v>4289491.05</v>
      </c>
      <c r="AC252" s="36">
        <v>21014549.609999999</v>
      </c>
      <c r="AD252" s="37">
        <v>1914.95</v>
      </c>
      <c r="AE252" s="36">
        <v>19942925.039999999</v>
      </c>
      <c r="AF252" s="69">
        <f t="shared" si="60"/>
        <v>10414.33</v>
      </c>
      <c r="AG252" s="69">
        <f t="shared" si="61"/>
        <v>10973.94</v>
      </c>
      <c r="AH252" s="70">
        <f t="shared" si="58"/>
        <v>559.61</v>
      </c>
      <c r="AI252" s="37">
        <v>398.89</v>
      </c>
      <c r="AJ252" s="36">
        <v>4083107.86</v>
      </c>
      <c r="AK252" s="69">
        <f t="shared" si="62"/>
        <v>10236.18</v>
      </c>
      <c r="AL252" s="69">
        <f t="shared" si="63"/>
        <v>10753.57</v>
      </c>
      <c r="AM252" s="70">
        <f t="shared" si="59"/>
        <v>517.39</v>
      </c>
      <c r="AN252" s="36">
        <v>0</v>
      </c>
      <c r="AO252" s="36">
        <v>0</v>
      </c>
    </row>
    <row r="253" spans="1:41" s="3" customFormat="1">
      <c r="A253" s="55" t="s">
        <v>613</v>
      </c>
      <c r="B253" s="55" t="s">
        <v>207</v>
      </c>
      <c r="C253" s="55" t="s">
        <v>1074</v>
      </c>
      <c r="D253" s="36">
        <v>0</v>
      </c>
      <c r="E253" s="36">
        <v>161900.95000000001</v>
      </c>
      <c r="F253" s="36">
        <v>48755.78</v>
      </c>
      <c r="G253" s="36">
        <v>9589906.4299999997</v>
      </c>
      <c r="H253" s="36">
        <v>1826009.35</v>
      </c>
      <c r="I253" s="36">
        <v>787243.63</v>
      </c>
      <c r="J253" s="36">
        <v>1677093.26</v>
      </c>
      <c r="K253" s="36">
        <v>785830.94</v>
      </c>
      <c r="L253" s="36">
        <v>148527.51</v>
      </c>
      <c r="M253" s="36">
        <v>4058625.86</v>
      </c>
      <c r="N253" s="49">
        <v>2.8400000000000002E-2</v>
      </c>
      <c r="O253" s="64">
        <v>0.13719999999999999</v>
      </c>
      <c r="P253" s="36">
        <v>0</v>
      </c>
      <c r="Q253" s="36">
        <v>0</v>
      </c>
      <c r="R253" s="36">
        <v>0</v>
      </c>
      <c r="S253" s="36">
        <v>0</v>
      </c>
      <c r="T253" s="36">
        <v>0</v>
      </c>
      <c r="U253" s="36">
        <v>0</v>
      </c>
      <c r="V253" s="36">
        <v>0</v>
      </c>
      <c r="W253" s="36">
        <v>0</v>
      </c>
      <c r="X253" s="36">
        <v>0</v>
      </c>
      <c r="Y253" s="36">
        <v>0</v>
      </c>
      <c r="Z253" s="36">
        <v>31533.21</v>
      </c>
      <c r="AA253" s="36">
        <v>326423.28000000003</v>
      </c>
      <c r="AB253" s="36">
        <v>409679.89</v>
      </c>
      <c r="AC253" s="36">
        <v>3886395.36</v>
      </c>
      <c r="AD253" s="37">
        <v>365.38</v>
      </c>
      <c r="AE253" s="36">
        <v>3665310.39</v>
      </c>
      <c r="AF253" s="69">
        <f t="shared" si="60"/>
        <v>10031.5</v>
      </c>
      <c r="AG253" s="69">
        <f t="shared" si="61"/>
        <v>10636.58</v>
      </c>
      <c r="AH253" s="70">
        <f t="shared" si="58"/>
        <v>605.08000000000004</v>
      </c>
      <c r="AI253" s="37">
        <v>39.56</v>
      </c>
      <c r="AJ253" s="36">
        <v>389805.97</v>
      </c>
      <c r="AK253" s="69">
        <f t="shared" si="62"/>
        <v>9853.5400000000009</v>
      </c>
      <c r="AL253" s="69">
        <f t="shared" si="63"/>
        <v>10355.91</v>
      </c>
      <c r="AM253" s="70">
        <f t="shared" si="59"/>
        <v>502.37</v>
      </c>
      <c r="AN253" s="36">
        <v>0</v>
      </c>
      <c r="AO253" s="36">
        <v>0</v>
      </c>
    </row>
    <row r="254" spans="1:41" s="3" customFormat="1">
      <c r="A254" s="55" t="s">
        <v>698</v>
      </c>
      <c r="B254" s="55" t="s">
        <v>296</v>
      </c>
      <c r="C254" s="55" t="s">
        <v>1075</v>
      </c>
      <c r="D254" s="36">
        <v>0</v>
      </c>
      <c r="E254" s="36">
        <v>0</v>
      </c>
      <c r="F254" s="36">
        <v>58359.39</v>
      </c>
      <c r="G254" s="36">
        <v>5569530.0800000001</v>
      </c>
      <c r="H254" s="36">
        <v>783776.77</v>
      </c>
      <c r="I254" s="36">
        <v>1161074.55</v>
      </c>
      <c r="J254" s="36">
        <v>1575829.16</v>
      </c>
      <c r="K254" s="36">
        <v>730124.74</v>
      </c>
      <c r="L254" s="36">
        <v>113193.67</v>
      </c>
      <c r="M254" s="36">
        <v>2130159.89</v>
      </c>
      <c r="N254" s="49">
        <v>3.5999999999999997E-2</v>
      </c>
      <c r="O254" s="64">
        <v>0.14810000000000001</v>
      </c>
      <c r="P254" s="36">
        <v>0</v>
      </c>
      <c r="Q254" s="36">
        <v>0</v>
      </c>
      <c r="R254" s="36">
        <v>0</v>
      </c>
      <c r="S254" s="36">
        <v>0</v>
      </c>
      <c r="T254" s="36">
        <v>0</v>
      </c>
      <c r="U254" s="36">
        <v>0</v>
      </c>
      <c r="V254" s="36">
        <v>250269.45</v>
      </c>
      <c r="W254" s="36">
        <v>0</v>
      </c>
      <c r="X254" s="36">
        <v>9428.01</v>
      </c>
      <c r="Y254" s="36">
        <v>0</v>
      </c>
      <c r="Z254" s="36">
        <v>1178.58</v>
      </c>
      <c r="AA254" s="36">
        <v>487.57</v>
      </c>
      <c r="AB254" s="36">
        <v>1810793.96</v>
      </c>
      <c r="AC254" s="36">
        <v>4259379.57</v>
      </c>
      <c r="AD254" s="37">
        <v>441.35</v>
      </c>
      <c r="AE254" s="36">
        <v>4089687.34</v>
      </c>
      <c r="AF254" s="69">
        <f t="shared" si="60"/>
        <v>9266.31</v>
      </c>
      <c r="AG254" s="69">
        <f t="shared" si="61"/>
        <v>9650.7999999999993</v>
      </c>
      <c r="AH254" s="70">
        <f t="shared" si="58"/>
        <v>384.49</v>
      </c>
      <c r="AI254" s="37">
        <v>189.63</v>
      </c>
      <c r="AJ254" s="36">
        <v>1722723.87</v>
      </c>
      <c r="AK254" s="69">
        <f t="shared" si="62"/>
        <v>9084.66</v>
      </c>
      <c r="AL254" s="69">
        <f t="shared" si="63"/>
        <v>9549.09</v>
      </c>
      <c r="AM254" s="70">
        <f t="shared" si="59"/>
        <v>464.43</v>
      </c>
      <c r="AN254" s="36">
        <v>15000</v>
      </c>
      <c r="AO254" s="36">
        <v>0</v>
      </c>
    </row>
    <row r="255" spans="1:41" s="3" customFormat="1">
      <c r="A255" s="55" t="s">
        <v>591</v>
      </c>
      <c r="B255" s="55" t="s">
        <v>185</v>
      </c>
      <c r="C255" s="55" t="s">
        <v>1076</v>
      </c>
      <c r="D255" s="36">
        <v>0</v>
      </c>
      <c r="E255" s="36">
        <v>0</v>
      </c>
      <c r="F255" s="36">
        <v>0</v>
      </c>
      <c r="G255" s="36">
        <v>467152.54</v>
      </c>
      <c r="H255" s="36">
        <v>74513.02</v>
      </c>
      <c r="I255" s="36">
        <v>81239.47</v>
      </c>
      <c r="J255" s="36">
        <v>115793.32</v>
      </c>
      <c r="K255" s="36">
        <v>0</v>
      </c>
      <c r="L255" s="36">
        <v>0</v>
      </c>
      <c r="M255" s="36">
        <v>411361.88</v>
      </c>
      <c r="N255" s="49">
        <v>6.5299999999999997E-2</v>
      </c>
      <c r="O255" s="64">
        <v>0.27460000000000001</v>
      </c>
      <c r="P255" s="36">
        <v>0</v>
      </c>
      <c r="Q255" s="36">
        <v>0</v>
      </c>
      <c r="R255" s="36">
        <v>0</v>
      </c>
      <c r="S255" s="36">
        <v>0</v>
      </c>
      <c r="T255" s="36">
        <v>0</v>
      </c>
      <c r="U255" s="36">
        <v>0</v>
      </c>
      <c r="V255" s="36">
        <v>0</v>
      </c>
      <c r="W255" s="36">
        <v>0</v>
      </c>
      <c r="X255" s="36">
        <v>0</v>
      </c>
      <c r="Y255" s="36">
        <v>0</v>
      </c>
      <c r="Z255" s="36">
        <v>0</v>
      </c>
      <c r="AA255" s="36">
        <v>0</v>
      </c>
      <c r="AB255" s="36">
        <v>48657.3</v>
      </c>
      <c r="AC255" s="36">
        <v>181169.25</v>
      </c>
      <c r="AD255" s="37">
        <v>18.54</v>
      </c>
      <c r="AE255" s="36">
        <v>171683.9</v>
      </c>
      <c r="AF255" s="69">
        <f t="shared" si="60"/>
        <v>9260.19</v>
      </c>
      <c r="AG255" s="69">
        <f t="shared" si="61"/>
        <v>9771.7999999999993</v>
      </c>
      <c r="AH255" s="70">
        <f t="shared" si="58"/>
        <v>511.61</v>
      </c>
      <c r="AI255" s="37">
        <v>5.09</v>
      </c>
      <c r="AJ255" s="36">
        <v>46361.72</v>
      </c>
      <c r="AK255" s="69">
        <f t="shared" si="62"/>
        <v>9108.39</v>
      </c>
      <c r="AL255" s="69">
        <f t="shared" si="63"/>
        <v>9559.39</v>
      </c>
      <c r="AM255" s="70">
        <f t="shared" si="59"/>
        <v>451</v>
      </c>
      <c r="AN255" s="36">
        <v>80</v>
      </c>
      <c r="AO255" s="36">
        <v>0</v>
      </c>
    </row>
    <row r="256" spans="1:41" s="3" customFormat="1">
      <c r="A256" s="55" t="s">
        <v>441</v>
      </c>
      <c r="B256" s="55" t="s">
        <v>34</v>
      </c>
      <c r="C256" s="55" t="s">
        <v>1077</v>
      </c>
      <c r="D256" s="36">
        <v>0</v>
      </c>
      <c r="E256" s="36">
        <v>84773.42</v>
      </c>
      <c r="F256" s="36">
        <v>7648.95</v>
      </c>
      <c r="G256" s="36">
        <v>5100663.29</v>
      </c>
      <c r="H256" s="36">
        <v>606030.84</v>
      </c>
      <c r="I256" s="36">
        <v>220841.56</v>
      </c>
      <c r="J256" s="36">
        <v>938291.74</v>
      </c>
      <c r="K256" s="36">
        <v>82104.25</v>
      </c>
      <c r="L256" s="36">
        <v>84439.4</v>
      </c>
      <c r="M256" s="36">
        <v>1649958.31</v>
      </c>
      <c r="N256" s="49">
        <v>4.82E-2</v>
      </c>
      <c r="O256" s="64">
        <v>0.17710000000000001</v>
      </c>
      <c r="P256" s="36">
        <v>0</v>
      </c>
      <c r="Q256" s="36">
        <v>0</v>
      </c>
      <c r="R256" s="36">
        <v>0</v>
      </c>
      <c r="S256" s="36">
        <v>0</v>
      </c>
      <c r="T256" s="36">
        <v>0</v>
      </c>
      <c r="U256" s="36">
        <v>0</v>
      </c>
      <c r="V256" s="36">
        <v>0</v>
      </c>
      <c r="W256" s="36">
        <v>0</v>
      </c>
      <c r="X256" s="36">
        <v>0</v>
      </c>
      <c r="Y256" s="36">
        <v>0</v>
      </c>
      <c r="Z256" s="36">
        <v>30180.09</v>
      </c>
      <c r="AA256" s="36">
        <v>0</v>
      </c>
      <c r="AB256" s="36">
        <v>689544.11</v>
      </c>
      <c r="AC256" s="36">
        <v>2478652.5499999998</v>
      </c>
      <c r="AD256" s="37">
        <v>242.93</v>
      </c>
      <c r="AE256" s="36">
        <v>2343829.35</v>
      </c>
      <c r="AF256" s="69">
        <f t="shared" si="60"/>
        <v>9648.17</v>
      </c>
      <c r="AG256" s="69">
        <f t="shared" si="61"/>
        <v>10203.16</v>
      </c>
      <c r="AH256" s="70">
        <f t="shared" si="58"/>
        <v>554.99</v>
      </c>
      <c r="AI256" s="37">
        <v>69.3</v>
      </c>
      <c r="AJ256" s="36">
        <v>656163.55000000005</v>
      </c>
      <c r="AK256" s="69">
        <f t="shared" si="62"/>
        <v>9468.4500000000007</v>
      </c>
      <c r="AL256" s="69">
        <f t="shared" si="63"/>
        <v>9950.1299999999992</v>
      </c>
      <c r="AM256" s="70">
        <f t="shared" si="59"/>
        <v>481.68</v>
      </c>
      <c r="AN256" s="36">
        <v>0</v>
      </c>
      <c r="AO256" s="36">
        <v>0</v>
      </c>
    </row>
    <row r="257" spans="1:41" s="3" customFormat="1">
      <c r="A257" s="55" t="s">
        <v>607</v>
      </c>
      <c r="B257" s="55" t="s">
        <v>201</v>
      </c>
      <c r="C257" s="55" t="s">
        <v>1078</v>
      </c>
      <c r="D257" s="36">
        <v>1264.27</v>
      </c>
      <c r="E257" s="36">
        <v>0</v>
      </c>
      <c r="F257" s="36">
        <v>0</v>
      </c>
      <c r="G257" s="36">
        <v>4405.8</v>
      </c>
      <c r="H257" s="36">
        <v>201.6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49">
        <v>0.16250000000000001</v>
      </c>
      <c r="O257" s="64">
        <v>0.56299999999999994</v>
      </c>
      <c r="P257" s="36">
        <v>0</v>
      </c>
      <c r="Q257" s="36">
        <v>0</v>
      </c>
      <c r="R257" s="36">
        <v>0</v>
      </c>
      <c r="S257" s="36">
        <v>0</v>
      </c>
      <c r="T257" s="36">
        <v>0</v>
      </c>
      <c r="U257" s="36">
        <v>0</v>
      </c>
      <c r="V257" s="36">
        <v>0</v>
      </c>
      <c r="W257" s="36">
        <v>0</v>
      </c>
      <c r="X257" s="36">
        <v>0</v>
      </c>
      <c r="Y257" s="36">
        <v>0</v>
      </c>
      <c r="Z257" s="36">
        <v>0</v>
      </c>
      <c r="AA257" s="36">
        <v>0</v>
      </c>
      <c r="AB257" s="36">
        <v>0</v>
      </c>
      <c r="AC257" s="36">
        <v>0</v>
      </c>
      <c r="AD257" s="37">
        <v>0</v>
      </c>
      <c r="AE257" s="36">
        <v>0</v>
      </c>
      <c r="AF257" s="69">
        <f t="shared" si="60"/>
        <v>0</v>
      </c>
      <c r="AG257" s="69">
        <f t="shared" si="61"/>
        <v>0</v>
      </c>
      <c r="AH257" s="70">
        <f t="shared" si="58"/>
        <v>0</v>
      </c>
      <c r="AI257" s="37">
        <v>0</v>
      </c>
      <c r="AJ257" s="36">
        <v>0</v>
      </c>
      <c r="AK257" s="69">
        <f t="shared" si="62"/>
        <v>0</v>
      </c>
      <c r="AL257" s="69">
        <f t="shared" si="63"/>
        <v>0</v>
      </c>
      <c r="AM257" s="70">
        <f t="shared" si="59"/>
        <v>0</v>
      </c>
      <c r="AN257" s="36">
        <v>0</v>
      </c>
      <c r="AO257" s="36">
        <v>0</v>
      </c>
    </row>
    <row r="258" spans="1:41" s="3" customFormat="1">
      <c r="A258" s="55" t="s">
        <v>571</v>
      </c>
      <c r="B258" s="55" t="s">
        <v>164</v>
      </c>
      <c r="C258" s="55" t="s">
        <v>1079</v>
      </c>
      <c r="D258" s="36">
        <v>0</v>
      </c>
      <c r="E258" s="36">
        <v>147328.51999999999</v>
      </c>
      <c r="F258" s="36">
        <v>97306.76</v>
      </c>
      <c r="G258" s="36">
        <v>8492724.5299999993</v>
      </c>
      <c r="H258" s="36">
        <v>1077254.5900000001</v>
      </c>
      <c r="I258" s="36">
        <v>1370455.77</v>
      </c>
      <c r="J258" s="36">
        <v>2047126.42</v>
      </c>
      <c r="K258" s="36">
        <v>1841624.56</v>
      </c>
      <c r="L258" s="36">
        <v>136049.04</v>
      </c>
      <c r="M258" s="36">
        <v>3991082.52</v>
      </c>
      <c r="N258" s="49">
        <v>2.86E-2</v>
      </c>
      <c r="O258" s="64">
        <v>0.14119999999999999</v>
      </c>
      <c r="P258" s="36">
        <v>0</v>
      </c>
      <c r="Q258" s="36">
        <v>0</v>
      </c>
      <c r="R258" s="36">
        <v>0</v>
      </c>
      <c r="S258" s="36">
        <v>148094.87</v>
      </c>
      <c r="T258" s="36">
        <v>10130.810000000038</v>
      </c>
      <c r="U258" s="36">
        <v>5640.83</v>
      </c>
      <c r="V258" s="36">
        <v>0</v>
      </c>
      <c r="W258" s="36">
        <v>0</v>
      </c>
      <c r="X258" s="36">
        <v>0</v>
      </c>
      <c r="Y258" s="36">
        <v>0</v>
      </c>
      <c r="Z258" s="36">
        <v>114018.35</v>
      </c>
      <c r="AA258" s="36">
        <v>262058.18</v>
      </c>
      <c r="AB258" s="36">
        <v>1281684.6499999999</v>
      </c>
      <c r="AC258" s="36">
        <v>6544386.9699999997</v>
      </c>
      <c r="AD258" s="37">
        <v>675.48</v>
      </c>
      <c r="AE258" s="36">
        <v>6258945.4000000004</v>
      </c>
      <c r="AF258" s="69">
        <f t="shared" si="60"/>
        <v>9265.92</v>
      </c>
      <c r="AG258" s="69">
        <f t="shared" si="61"/>
        <v>9688.5</v>
      </c>
      <c r="AH258" s="70">
        <f t="shared" si="58"/>
        <v>422.58</v>
      </c>
      <c r="AI258" s="37">
        <v>134.22999999999999</v>
      </c>
      <c r="AJ258" s="36">
        <v>1219264.48</v>
      </c>
      <c r="AK258" s="69">
        <f t="shared" si="62"/>
        <v>9083.4</v>
      </c>
      <c r="AL258" s="69">
        <f t="shared" si="63"/>
        <v>9548.42</v>
      </c>
      <c r="AM258" s="70">
        <f t="shared" si="59"/>
        <v>465.02</v>
      </c>
      <c r="AN258" s="36">
        <v>0</v>
      </c>
      <c r="AO258" s="36">
        <v>0</v>
      </c>
    </row>
    <row r="259" spans="1:41" s="3" customFormat="1">
      <c r="A259" s="55" t="s">
        <v>523</v>
      </c>
      <c r="B259" s="55" t="s">
        <v>116</v>
      </c>
      <c r="C259" s="55" t="s">
        <v>1080</v>
      </c>
      <c r="D259" s="36">
        <v>0</v>
      </c>
      <c r="E259" s="36">
        <v>200615.31</v>
      </c>
      <c r="F259" s="36">
        <v>0</v>
      </c>
      <c r="G259" s="36">
        <v>16864819.170000002</v>
      </c>
      <c r="H259" s="36">
        <v>2809276.87</v>
      </c>
      <c r="I259" s="36">
        <v>0</v>
      </c>
      <c r="J259" s="36">
        <v>2157189.1</v>
      </c>
      <c r="K259" s="36">
        <v>2188153.58</v>
      </c>
      <c r="L259" s="36">
        <v>333339.37</v>
      </c>
      <c r="M259" s="36">
        <v>5628002.2400000002</v>
      </c>
      <c r="N259" s="49">
        <v>3.2099999999999997E-2</v>
      </c>
      <c r="O259" s="64">
        <v>0.12470000000000001</v>
      </c>
      <c r="P259" s="36">
        <v>0</v>
      </c>
      <c r="Q259" s="36">
        <v>0</v>
      </c>
      <c r="R259" s="36">
        <v>0</v>
      </c>
      <c r="S259" s="36">
        <v>0</v>
      </c>
      <c r="T259" s="36">
        <v>0</v>
      </c>
      <c r="U259" s="36">
        <v>0</v>
      </c>
      <c r="V259" s="36">
        <v>264101.37</v>
      </c>
      <c r="W259" s="36">
        <v>24741.022000000004</v>
      </c>
      <c r="X259" s="36">
        <v>10710.38</v>
      </c>
      <c r="Y259" s="36">
        <v>0</v>
      </c>
      <c r="Z259" s="36">
        <v>17920.39</v>
      </c>
      <c r="AA259" s="36">
        <v>227168.21</v>
      </c>
      <c r="AB259" s="36">
        <v>300799.33</v>
      </c>
      <c r="AC259" s="36">
        <v>5014272.7</v>
      </c>
      <c r="AD259" s="37">
        <v>455.21</v>
      </c>
      <c r="AE259" s="36">
        <v>4740610.57</v>
      </c>
      <c r="AF259" s="69">
        <f t="shared" si="60"/>
        <v>10414.120000000001</v>
      </c>
      <c r="AG259" s="69">
        <f t="shared" si="61"/>
        <v>11015.3</v>
      </c>
      <c r="AH259" s="70">
        <f t="shared" si="58"/>
        <v>601.17999999999995</v>
      </c>
      <c r="AI259" s="37">
        <v>27.96</v>
      </c>
      <c r="AJ259" s="36">
        <v>286212.8</v>
      </c>
      <c r="AK259" s="69">
        <f t="shared" si="62"/>
        <v>10236.51</v>
      </c>
      <c r="AL259" s="69">
        <f t="shared" si="63"/>
        <v>10758.2</v>
      </c>
      <c r="AM259" s="70">
        <f t="shared" si="59"/>
        <v>521.69000000000005</v>
      </c>
      <c r="AN259" s="36">
        <v>0</v>
      </c>
      <c r="AO259" s="36">
        <v>0</v>
      </c>
    </row>
    <row r="260" spans="1:41" s="3" customFormat="1">
      <c r="A260" s="55" t="s">
        <v>618</v>
      </c>
      <c r="B260" s="57" t="s">
        <v>212</v>
      </c>
      <c r="C260" s="55" t="s">
        <v>1081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27462.75</v>
      </c>
      <c r="J260" s="36">
        <v>39655.75</v>
      </c>
      <c r="K260" s="36">
        <v>0</v>
      </c>
      <c r="L260" s="36">
        <v>0</v>
      </c>
      <c r="M260" s="36">
        <v>137490.06</v>
      </c>
      <c r="N260" s="49">
        <v>0.1573</v>
      </c>
      <c r="O260" s="64">
        <v>0.28739999999999999</v>
      </c>
      <c r="P260" s="36">
        <v>0</v>
      </c>
      <c r="Q260" s="36">
        <v>0</v>
      </c>
      <c r="R260" s="36">
        <v>0</v>
      </c>
      <c r="S260" s="36">
        <v>0</v>
      </c>
      <c r="T260" s="36">
        <v>0</v>
      </c>
      <c r="U260" s="36">
        <v>0</v>
      </c>
      <c r="V260" s="36">
        <v>0</v>
      </c>
      <c r="W260" s="36">
        <v>0</v>
      </c>
      <c r="X260" s="36">
        <v>0</v>
      </c>
      <c r="Y260" s="36">
        <v>0</v>
      </c>
      <c r="Z260" s="36">
        <v>0</v>
      </c>
      <c r="AA260" s="36">
        <v>0</v>
      </c>
      <c r="AB260" s="36">
        <v>0</v>
      </c>
      <c r="AC260" s="36">
        <v>0</v>
      </c>
      <c r="AD260" s="37">
        <v>0</v>
      </c>
      <c r="AE260" s="36">
        <v>0</v>
      </c>
      <c r="AF260" s="69">
        <f t="shared" si="60"/>
        <v>0</v>
      </c>
      <c r="AG260" s="69">
        <f t="shared" si="61"/>
        <v>0</v>
      </c>
      <c r="AH260" s="70">
        <f t="shared" si="58"/>
        <v>0</v>
      </c>
      <c r="AI260" s="37">
        <v>0</v>
      </c>
      <c r="AJ260" s="36">
        <v>0</v>
      </c>
      <c r="AK260" s="69">
        <f t="shared" si="62"/>
        <v>0</v>
      </c>
      <c r="AL260" s="69">
        <f t="shared" si="63"/>
        <v>0</v>
      </c>
      <c r="AM260" s="70">
        <f t="shared" si="59"/>
        <v>0</v>
      </c>
      <c r="AN260" s="36">
        <v>0</v>
      </c>
      <c r="AO260" s="36">
        <v>0</v>
      </c>
    </row>
    <row r="261" spans="1:41" s="3" customFormat="1">
      <c r="A261" s="55" t="s">
        <v>515</v>
      </c>
      <c r="B261" s="55" t="s">
        <v>108</v>
      </c>
      <c r="C261" s="55" t="s">
        <v>1082</v>
      </c>
      <c r="D261" s="36">
        <v>0</v>
      </c>
      <c r="E261" s="36">
        <v>0</v>
      </c>
      <c r="F261" s="36">
        <v>1225.74</v>
      </c>
      <c r="G261" s="36">
        <v>93372.02</v>
      </c>
      <c r="H261" s="36">
        <v>16645</v>
      </c>
      <c r="I261" s="36">
        <v>15777.89</v>
      </c>
      <c r="J261" s="36">
        <v>27047.81</v>
      </c>
      <c r="K261" s="36">
        <v>0</v>
      </c>
      <c r="L261" s="36">
        <v>0</v>
      </c>
      <c r="M261" s="36">
        <v>61317.86</v>
      </c>
      <c r="N261" s="49">
        <v>7.4899999999999994E-2</v>
      </c>
      <c r="O261" s="64">
        <v>0.26919999999999999</v>
      </c>
      <c r="P261" s="36">
        <v>0</v>
      </c>
      <c r="Q261" s="36">
        <v>0</v>
      </c>
      <c r="R261" s="36">
        <v>0</v>
      </c>
      <c r="S261" s="36">
        <v>0</v>
      </c>
      <c r="T261" s="36">
        <v>0</v>
      </c>
      <c r="U261" s="36">
        <v>0</v>
      </c>
      <c r="V261" s="36">
        <v>0</v>
      </c>
      <c r="W261" s="36">
        <v>0</v>
      </c>
      <c r="X261" s="36">
        <v>0</v>
      </c>
      <c r="Y261" s="36">
        <v>0</v>
      </c>
      <c r="Z261" s="36">
        <v>0</v>
      </c>
      <c r="AA261" s="36">
        <v>0</v>
      </c>
      <c r="AB261" s="36">
        <v>0</v>
      </c>
      <c r="AC261" s="36">
        <v>16752.82</v>
      </c>
      <c r="AD261" s="37">
        <v>1.56</v>
      </c>
      <c r="AE261" s="36">
        <v>16164.67</v>
      </c>
      <c r="AF261" s="69">
        <f t="shared" si="60"/>
        <v>10361.969999999999</v>
      </c>
      <c r="AG261" s="69">
        <f t="shared" si="61"/>
        <v>10738.99</v>
      </c>
      <c r="AH261" s="70">
        <f t="shared" si="58"/>
        <v>377.02</v>
      </c>
      <c r="AI261" s="37">
        <v>0</v>
      </c>
      <c r="AJ261" s="36">
        <v>0</v>
      </c>
      <c r="AK261" s="69">
        <f t="shared" si="62"/>
        <v>0</v>
      </c>
      <c r="AL261" s="69">
        <f t="shared" si="63"/>
        <v>0</v>
      </c>
      <c r="AM261" s="70">
        <f t="shared" si="59"/>
        <v>0</v>
      </c>
      <c r="AN261" s="36">
        <v>0</v>
      </c>
      <c r="AO261" s="36">
        <v>0</v>
      </c>
    </row>
    <row r="262" spans="1:41" s="3" customFormat="1">
      <c r="A262" s="55" t="s">
        <v>630</v>
      </c>
      <c r="B262" s="55" t="s">
        <v>224</v>
      </c>
      <c r="C262" s="55" t="s">
        <v>1083</v>
      </c>
      <c r="D262" s="36">
        <v>0</v>
      </c>
      <c r="E262" s="36">
        <v>148418.03</v>
      </c>
      <c r="F262" s="36">
        <v>0</v>
      </c>
      <c r="G262" s="36">
        <v>18062371.739999998</v>
      </c>
      <c r="H262" s="36">
        <v>2947400.08</v>
      </c>
      <c r="I262" s="36">
        <v>12122.12</v>
      </c>
      <c r="J262" s="36">
        <v>1676851.37</v>
      </c>
      <c r="K262" s="36">
        <v>1262867.8999999999</v>
      </c>
      <c r="L262" s="36">
        <v>352960.25</v>
      </c>
      <c r="M262" s="36">
        <v>7273580.2999999998</v>
      </c>
      <c r="N262" s="49">
        <v>4.7699999999999999E-2</v>
      </c>
      <c r="O262" s="64">
        <v>0.1671</v>
      </c>
      <c r="P262" s="36">
        <v>0</v>
      </c>
      <c r="Q262" s="36">
        <v>0</v>
      </c>
      <c r="R262" s="36">
        <v>0</v>
      </c>
      <c r="S262" s="36">
        <v>0</v>
      </c>
      <c r="T262" s="36">
        <v>0</v>
      </c>
      <c r="U262" s="36">
        <v>0</v>
      </c>
      <c r="V262" s="36">
        <v>0</v>
      </c>
      <c r="W262" s="36">
        <v>0</v>
      </c>
      <c r="X262" s="36">
        <v>0</v>
      </c>
      <c r="Y262" s="36">
        <v>0</v>
      </c>
      <c r="Z262" s="36">
        <v>44904.79</v>
      </c>
      <c r="AA262" s="36">
        <v>228673.54</v>
      </c>
      <c r="AB262" s="36">
        <v>1308644.8600000001</v>
      </c>
      <c r="AC262" s="36">
        <v>5016563.05</v>
      </c>
      <c r="AD262" s="37">
        <v>439.81</v>
      </c>
      <c r="AE262" s="36">
        <v>4661548.0999999996</v>
      </c>
      <c r="AF262" s="69">
        <f t="shared" si="60"/>
        <v>10599</v>
      </c>
      <c r="AG262" s="69">
        <f t="shared" si="61"/>
        <v>11406.21</v>
      </c>
      <c r="AH262" s="70">
        <f t="shared" si="58"/>
        <v>807.21</v>
      </c>
      <c r="AI262" s="37">
        <v>119.48</v>
      </c>
      <c r="AJ262" s="36">
        <v>1245209.1399999999</v>
      </c>
      <c r="AK262" s="69">
        <f t="shared" si="62"/>
        <v>10421.9</v>
      </c>
      <c r="AL262" s="69">
        <f t="shared" si="63"/>
        <v>10952.84</v>
      </c>
      <c r="AM262" s="70">
        <f t="shared" si="59"/>
        <v>530.94000000000005</v>
      </c>
      <c r="AN262" s="36">
        <v>0</v>
      </c>
      <c r="AO262" s="36">
        <v>0</v>
      </c>
    </row>
    <row r="263" spans="1:41" s="3" customFormat="1">
      <c r="A263" s="55" t="s">
        <v>521</v>
      </c>
      <c r="B263" s="55" t="s">
        <v>114</v>
      </c>
      <c r="C263" s="55" t="s">
        <v>1084</v>
      </c>
      <c r="D263" s="36">
        <v>0</v>
      </c>
      <c r="E263" s="36">
        <v>0</v>
      </c>
      <c r="F263" s="36">
        <v>0</v>
      </c>
      <c r="G263" s="36">
        <v>10911397.41</v>
      </c>
      <c r="H263" s="36">
        <v>1764526.1</v>
      </c>
      <c r="I263" s="36">
        <v>0</v>
      </c>
      <c r="J263" s="36">
        <v>685587.16</v>
      </c>
      <c r="K263" s="36">
        <v>609374.81999999995</v>
      </c>
      <c r="L263" s="36">
        <v>253448.13</v>
      </c>
      <c r="M263" s="36">
        <v>4271142.3</v>
      </c>
      <c r="N263" s="49">
        <v>4.0399999999999998E-2</v>
      </c>
      <c r="O263" s="64">
        <v>0.16500000000000001</v>
      </c>
      <c r="P263" s="36">
        <v>0</v>
      </c>
      <c r="Q263" s="36">
        <v>0</v>
      </c>
      <c r="R263" s="36">
        <v>0</v>
      </c>
      <c r="S263" s="36">
        <v>0</v>
      </c>
      <c r="T263" s="36">
        <v>0</v>
      </c>
      <c r="U263" s="36">
        <v>0</v>
      </c>
      <c r="V263" s="36">
        <v>0</v>
      </c>
      <c r="W263" s="36">
        <v>0</v>
      </c>
      <c r="X263" s="36">
        <v>0</v>
      </c>
      <c r="Y263" s="36">
        <v>0</v>
      </c>
      <c r="Z263" s="36">
        <v>3374.37</v>
      </c>
      <c r="AA263" s="36">
        <v>121471.09</v>
      </c>
      <c r="AB263" s="36">
        <v>508619.36</v>
      </c>
      <c r="AC263" s="36">
        <v>5195849.8600000003</v>
      </c>
      <c r="AD263" s="37">
        <v>446.72</v>
      </c>
      <c r="AE263" s="36">
        <v>4652351.33</v>
      </c>
      <c r="AF263" s="69">
        <f t="shared" si="60"/>
        <v>10414.469999999999</v>
      </c>
      <c r="AG263" s="69">
        <f t="shared" si="61"/>
        <v>11631.11</v>
      </c>
      <c r="AH263" s="70">
        <f t="shared" ref="AH263:AH326" si="64">ROUND(AG263-AF263,2)</f>
        <v>1216.6400000000001</v>
      </c>
      <c r="AI263" s="37">
        <v>47.31</v>
      </c>
      <c r="AJ263" s="36">
        <v>484204.22</v>
      </c>
      <c r="AK263" s="69">
        <f t="shared" si="62"/>
        <v>10234.709999999999</v>
      </c>
      <c r="AL263" s="69">
        <f t="shared" si="63"/>
        <v>10750.78</v>
      </c>
      <c r="AM263" s="70">
        <f t="shared" ref="AM263:AM326" si="65">ROUND(AL263-AK263,2)</f>
        <v>516.07000000000005</v>
      </c>
      <c r="AN263" s="36">
        <v>0</v>
      </c>
      <c r="AO263" s="36">
        <v>0</v>
      </c>
    </row>
    <row r="264" spans="1:41" s="3" customFormat="1">
      <c r="A264" s="55" t="s">
        <v>481</v>
      </c>
      <c r="B264" s="55" t="s">
        <v>74</v>
      </c>
      <c r="C264" s="55" t="s">
        <v>1085</v>
      </c>
      <c r="D264" s="36">
        <v>0</v>
      </c>
      <c r="E264" s="36">
        <v>24704.74</v>
      </c>
      <c r="F264" s="36">
        <v>2899.86</v>
      </c>
      <c r="G264" s="36">
        <v>1016440.49</v>
      </c>
      <c r="H264" s="36">
        <v>244139.99</v>
      </c>
      <c r="I264" s="36">
        <v>170277.94</v>
      </c>
      <c r="J264" s="36">
        <v>279355.46999999997</v>
      </c>
      <c r="K264" s="36">
        <v>250660.53</v>
      </c>
      <c r="L264" s="36">
        <v>16139.58</v>
      </c>
      <c r="M264" s="36">
        <v>399939.72</v>
      </c>
      <c r="N264" s="49">
        <v>4.1599999999999998E-2</v>
      </c>
      <c r="O264" s="64">
        <v>0.2243</v>
      </c>
      <c r="P264" s="36">
        <v>0</v>
      </c>
      <c r="Q264" s="36">
        <v>0</v>
      </c>
      <c r="R264" s="36">
        <v>0</v>
      </c>
      <c r="S264" s="36">
        <v>0</v>
      </c>
      <c r="T264" s="36">
        <v>0</v>
      </c>
      <c r="U264" s="36">
        <v>0</v>
      </c>
      <c r="V264" s="36">
        <v>0</v>
      </c>
      <c r="W264" s="36">
        <v>0</v>
      </c>
      <c r="X264" s="36">
        <v>0</v>
      </c>
      <c r="Y264" s="36">
        <v>0</v>
      </c>
      <c r="Z264" s="36">
        <v>0</v>
      </c>
      <c r="AA264" s="36">
        <v>0</v>
      </c>
      <c r="AB264" s="36">
        <v>22968.98</v>
      </c>
      <c r="AC264" s="36">
        <v>322321.53999999998</v>
      </c>
      <c r="AD264" s="37">
        <v>32.590000000000003</v>
      </c>
      <c r="AE264" s="36">
        <v>301986.98</v>
      </c>
      <c r="AF264" s="69">
        <f t="shared" ref="AF264:AF327" si="66">IFERROR(ROUND(AE264/AD264,2),0)</f>
        <v>9266.25</v>
      </c>
      <c r="AG264" s="69">
        <f t="shared" ref="AG264:AG327" si="67">IFERROR(ROUND(AC264/AD264,2),0)</f>
        <v>9890.2000000000007</v>
      </c>
      <c r="AH264" s="70">
        <f t="shared" si="64"/>
        <v>623.95000000000005</v>
      </c>
      <c r="AI264" s="37">
        <v>2.42</v>
      </c>
      <c r="AJ264" s="36">
        <v>21995.51</v>
      </c>
      <c r="AK264" s="69">
        <f t="shared" ref="AK264:AK327" si="68">IFERROR(ROUND(AJ264/AI264,2),0)</f>
        <v>9089.0499999999993</v>
      </c>
      <c r="AL264" s="69">
        <f t="shared" ref="AL264:AL327" si="69">IFERROR(ROUND(AB264/AI264,2),0)</f>
        <v>9491.31</v>
      </c>
      <c r="AM264" s="70">
        <f t="shared" si="65"/>
        <v>402.26</v>
      </c>
      <c r="AN264" s="36">
        <v>0</v>
      </c>
      <c r="AO264" s="36">
        <v>0</v>
      </c>
    </row>
    <row r="265" spans="1:41" s="3" customFormat="1">
      <c r="A265" s="55" t="s">
        <v>586</v>
      </c>
      <c r="B265" s="55" t="s">
        <v>179</v>
      </c>
      <c r="C265" s="55" t="s">
        <v>1086</v>
      </c>
      <c r="D265" s="36">
        <v>0</v>
      </c>
      <c r="E265" s="36">
        <v>0</v>
      </c>
      <c r="F265" s="36">
        <v>0</v>
      </c>
      <c r="G265" s="36">
        <v>1748296.42</v>
      </c>
      <c r="H265" s="36">
        <v>396310.15</v>
      </c>
      <c r="I265" s="36">
        <v>169086.43</v>
      </c>
      <c r="J265" s="36">
        <v>261916.05</v>
      </c>
      <c r="K265" s="36">
        <v>209718.94</v>
      </c>
      <c r="L265" s="36">
        <v>0</v>
      </c>
      <c r="M265" s="36">
        <v>593673.1</v>
      </c>
      <c r="N265" s="49">
        <v>2.1999999999999999E-2</v>
      </c>
      <c r="O265" s="64">
        <v>0.18970000000000001</v>
      </c>
      <c r="P265" s="36">
        <v>0</v>
      </c>
      <c r="Q265" s="36">
        <v>0</v>
      </c>
      <c r="R265" s="36">
        <v>0</v>
      </c>
      <c r="S265" s="36">
        <v>0</v>
      </c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62478.239999999998</v>
      </c>
      <c r="AC265" s="36">
        <v>371278.21</v>
      </c>
      <c r="AD265" s="37">
        <v>37.479999999999997</v>
      </c>
      <c r="AE265" s="36">
        <v>347248.99</v>
      </c>
      <c r="AF265" s="69">
        <f t="shared" si="66"/>
        <v>9264.91</v>
      </c>
      <c r="AG265" s="69">
        <f t="shared" si="67"/>
        <v>9906.0400000000009</v>
      </c>
      <c r="AH265" s="70">
        <f t="shared" si="64"/>
        <v>641.13</v>
      </c>
      <c r="AI265" s="37">
        <v>6.54</v>
      </c>
      <c r="AJ265" s="36">
        <v>59298.32</v>
      </c>
      <c r="AK265" s="69">
        <f t="shared" si="68"/>
        <v>9067.02</v>
      </c>
      <c r="AL265" s="69">
        <f t="shared" si="69"/>
        <v>9553.25</v>
      </c>
      <c r="AM265" s="70">
        <f t="shared" si="65"/>
        <v>486.23</v>
      </c>
      <c r="AN265" s="36">
        <v>0</v>
      </c>
      <c r="AO265" s="36">
        <v>0</v>
      </c>
    </row>
    <row r="266" spans="1:41" s="3" customFormat="1">
      <c r="A266" s="55" t="s">
        <v>531</v>
      </c>
      <c r="B266" s="55" t="s">
        <v>124</v>
      </c>
      <c r="C266" s="55" t="s">
        <v>1087</v>
      </c>
      <c r="D266" s="36">
        <v>0</v>
      </c>
      <c r="E266" s="36">
        <v>272907.62</v>
      </c>
      <c r="F266" s="36">
        <v>437.7</v>
      </c>
      <c r="G266" s="36">
        <v>20001310.449999999</v>
      </c>
      <c r="H266" s="36">
        <v>4134622.16</v>
      </c>
      <c r="I266" s="36">
        <v>476217</v>
      </c>
      <c r="J266" s="36">
        <v>3231588.73</v>
      </c>
      <c r="K266" s="36">
        <v>496349.6</v>
      </c>
      <c r="L266" s="36">
        <v>330709.71999999997</v>
      </c>
      <c r="M266" s="36">
        <v>7769452.9000000004</v>
      </c>
      <c r="N266" s="49">
        <v>1.78E-2</v>
      </c>
      <c r="O266" s="64">
        <v>0.16969999999999999</v>
      </c>
      <c r="P266" s="36">
        <v>0</v>
      </c>
      <c r="Q266" s="36">
        <v>0</v>
      </c>
      <c r="R266" s="36">
        <v>0</v>
      </c>
      <c r="S266" s="36">
        <v>0</v>
      </c>
      <c r="T266" s="36">
        <v>0</v>
      </c>
      <c r="U266" s="36">
        <v>0</v>
      </c>
      <c r="V266" s="36">
        <v>0</v>
      </c>
      <c r="W266" s="36">
        <v>0</v>
      </c>
      <c r="X266" s="36">
        <v>0</v>
      </c>
      <c r="Y266" s="36">
        <v>0</v>
      </c>
      <c r="Z266" s="36">
        <v>204419.56</v>
      </c>
      <c r="AA266" s="36">
        <v>141488.4</v>
      </c>
      <c r="AB266" s="36">
        <v>3590714.04</v>
      </c>
      <c r="AC266" s="36">
        <v>7448782.5300000003</v>
      </c>
      <c r="AD266" s="37">
        <v>677.07</v>
      </c>
      <c r="AE266" s="36">
        <v>7051165.4400000004</v>
      </c>
      <c r="AF266" s="69">
        <f t="shared" si="66"/>
        <v>10414.23</v>
      </c>
      <c r="AG266" s="69">
        <f t="shared" si="67"/>
        <v>11001.5</v>
      </c>
      <c r="AH266" s="70">
        <f t="shared" si="64"/>
        <v>587.27</v>
      </c>
      <c r="AI266" s="37">
        <v>333.92</v>
      </c>
      <c r="AJ266" s="36">
        <v>3418090.31</v>
      </c>
      <c r="AK266" s="69">
        <f t="shared" si="68"/>
        <v>10236.26</v>
      </c>
      <c r="AL266" s="69">
        <f t="shared" si="69"/>
        <v>10753.22</v>
      </c>
      <c r="AM266" s="70">
        <f t="shared" si="65"/>
        <v>516.96</v>
      </c>
      <c r="AN266" s="36">
        <v>0</v>
      </c>
      <c r="AO266" s="36">
        <v>0</v>
      </c>
    </row>
    <row r="267" spans="1:41" s="3" customFormat="1">
      <c r="A267" s="55" t="s">
        <v>502</v>
      </c>
      <c r="B267" s="55" t="s">
        <v>95</v>
      </c>
      <c r="C267" s="55" t="s">
        <v>1088</v>
      </c>
      <c r="D267" s="36">
        <v>0</v>
      </c>
      <c r="E267" s="36">
        <v>4666.6099999999997</v>
      </c>
      <c r="F267" s="36">
        <v>0</v>
      </c>
      <c r="G267" s="36">
        <v>2358040.84</v>
      </c>
      <c r="H267" s="36">
        <v>404407.26</v>
      </c>
      <c r="I267" s="36">
        <v>9083.2199999999993</v>
      </c>
      <c r="J267" s="36">
        <v>290284.39</v>
      </c>
      <c r="K267" s="36">
        <v>21482.3</v>
      </c>
      <c r="L267" s="36">
        <v>42514.5</v>
      </c>
      <c r="M267" s="36">
        <v>831671.74</v>
      </c>
      <c r="N267" s="49">
        <v>3.3000000000000002E-2</v>
      </c>
      <c r="O267" s="64">
        <v>0.17330000000000001</v>
      </c>
      <c r="P267" s="36">
        <v>0</v>
      </c>
      <c r="Q267" s="36">
        <v>0</v>
      </c>
      <c r="R267" s="36">
        <v>0</v>
      </c>
      <c r="S267" s="36">
        <v>0</v>
      </c>
      <c r="T267" s="36">
        <v>0</v>
      </c>
      <c r="U267" s="36">
        <v>0</v>
      </c>
      <c r="V267" s="36">
        <v>0</v>
      </c>
      <c r="W267" s="36">
        <v>0</v>
      </c>
      <c r="X267" s="36">
        <v>0</v>
      </c>
      <c r="Y267" s="36">
        <v>0</v>
      </c>
      <c r="Z267" s="36">
        <v>0</v>
      </c>
      <c r="AA267" s="36">
        <v>37611.42</v>
      </c>
      <c r="AB267" s="36">
        <v>0</v>
      </c>
      <c r="AC267" s="36">
        <v>690770.76</v>
      </c>
      <c r="AD267" s="37">
        <v>62.63</v>
      </c>
      <c r="AE267" s="36">
        <v>655035.64</v>
      </c>
      <c r="AF267" s="69">
        <f t="shared" si="66"/>
        <v>10458.82</v>
      </c>
      <c r="AG267" s="69">
        <f t="shared" si="67"/>
        <v>11029.39</v>
      </c>
      <c r="AH267" s="70">
        <f t="shared" si="64"/>
        <v>570.57000000000005</v>
      </c>
      <c r="AI267" s="37">
        <v>0</v>
      </c>
      <c r="AJ267" s="36">
        <v>0</v>
      </c>
      <c r="AK267" s="69">
        <f t="shared" si="68"/>
        <v>0</v>
      </c>
      <c r="AL267" s="69">
        <f t="shared" si="69"/>
        <v>0</v>
      </c>
      <c r="AM267" s="70">
        <f t="shared" si="65"/>
        <v>0</v>
      </c>
      <c r="AN267" s="36">
        <v>0</v>
      </c>
      <c r="AO267" s="36">
        <v>0</v>
      </c>
    </row>
    <row r="268" spans="1:41" s="3" customFormat="1">
      <c r="A268" s="55" t="s">
        <v>569</v>
      </c>
      <c r="B268" s="55" t="s">
        <v>162</v>
      </c>
      <c r="C268" s="55" t="s">
        <v>1089</v>
      </c>
      <c r="D268" s="36">
        <v>0</v>
      </c>
      <c r="E268" s="36">
        <v>0</v>
      </c>
      <c r="F268" s="36">
        <v>0</v>
      </c>
      <c r="G268" s="36">
        <v>497447.1</v>
      </c>
      <c r="H268" s="36">
        <v>45302.93</v>
      </c>
      <c r="I268" s="36">
        <v>0</v>
      </c>
      <c r="J268" s="36">
        <v>72790.570000000007</v>
      </c>
      <c r="K268" s="36">
        <v>29426.75</v>
      </c>
      <c r="L268" s="36">
        <v>6499.15</v>
      </c>
      <c r="M268" s="36">
        <v>147767.34</v>
      </c>
      <c r="N268" s="49">
        <v>5.5599999999999997E-2</v>
      </c>
      <c r="O268" s="64">
        <v>0.27429999999999999</v>
      </c>
      <c r="P268" s="36">
        <v>0</v>
      </c>
      <c r="Q268" s="36">
        <v>0</v>
      </c>
      <c r="R268" s="36">
        <v>0</v>
      </c>
      <c r="S268" s="36">
        <v>0</v>
      </c>
      <c r="T268" s="36">
        <v>0</v>
      </c>
      <c r="U268" s="36">
        <v>0</v>
      </c>
      <c r="V268" s="36">
        <v>0</v>
      </c>
      <c r="W268" s="36">
        <v>0</v>
      </c>
      <c r="X268" s="36">
        <v>0</v>
      </c>
      <c r="Y268" s="36">
        <v>0</v>
      </c>
      <c r="Z268" s="36">
        <v>0</v>
      </c>
      <c r="AA268" s="36">
        <v>0</v>
      </c>
      <c r="AB268" s="36">
        <v>0</v>
      </c>
      <c r="AC268" s="36">
        <v>0</v>
      </c>
      <c r="AD268" s="37">
        <v>0</v>
      </c>
      <c r="AE268" s="36">
        <v>0</v>
      </c>
      <c r="AF268" s="69">
        <f t="shared" si="66"/>
        <v>0</v>
      </c>
      <c r="AG268" s="69">
        <f t="shared" si="67"/>
        <v>0</v>
      </c>
      <c r="AH268" s="70">
        <f t="shared" si="64"/>
        <v>0</v>
      </c>
      <c r="AI268" s="37">
        <v>0</v>
      </c>
      <c r="AJ268" s="36">
        <v>0</v>
      </c>
      <c r="AK268" s="69">
        <f t="shared" si="68"/>
        <v>0</v>
      </c>
      <c r="AL268" s="69">
        <f t="shared" si="69"/>
        <v>0</v>
      </c>
      <c r="AM268" s="70">
        <f t="shared" si="65"/>
        <v>0</v>
      </c>
      <c r="AN268" s="36">
        <v>0</v>
      </c>
      <c r="AO268" s="36">
        <v>0</v>
      </c>
    </row>
    <row r="269" spans="1:41" s="3" customFormat="1">
      <c r="A269" s="55" t="s">
        <v>636</v>
      </c>
      <c r="B269" s="55" t="s">
        <v>230</v>
      </c>
      <c r="C269" s="55" t="s">
        <v>1090</v>
      </c>
      <c r="D269" s="36">
        <v>0</v>
      </c>
      <c r="E269" s="36">
        <v>1136755.3700000001</v>
      </c>
      <c r="F269" s="36">
        <v>475893.1</v>
      </c>
      <c r="G269" s="36">
        <v>55602113.969999999</v>
      </c>
      <c r="H269" s="36">
        <v>11002154.970000001</v>
      </c>
      <c r="I269" s="36">
        <v>5653400.8200000003</v>
      </c>
      <c r="J269" s="36">
        <v>11873203.26</v>
      </c>
      <c r="K269" s="36">
        <v>4527775.72</v>
      </c>
      <c r="L269" s="36">
        <v>895042.36</v>
      </c>
      <c r="M269" s="36">
        <v>15384963.17</v>
      </c>
      <c r="N269" s="49">
        <v>1.7600000000000001E-2</v>
      </c>
      <c r="O269" s="64">
        <v>0.13569999999999999</v>
      </c>
      <c r="P269" s="36">
        <v>0</v>
      </c>
      <c r="Q269" s="36">
        <v>0</v>
      </c>
      <c r="R269" s="36">
        <v>0</v>
      </c>
      <c r="S269" s="36">
        <v>0</v>
      </c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131828.15</v>
      </c>
      <c r="AA269" s="36">
        <v>0</v>
      </c>
      <c r="AB269" s="36">
        <v>2453520.25</v>
      </c>
      <c r="AC269" s="36">
        <v>10966786.449999999</v>
      </c>
      <c r="AD269" s="37">
        <v>1124.3499999999999</v>
      </c>
      <c r="AE269" s="36">
        <v>10418081.9</v>
      </c>
      <c r="AF269" s="69">
        <f t="shared" si="66"/>
        <v>9265.8700000000008</v>
      </c>
      <c r="AG269" s="69">
        <f t="shared" si="67"/>
        <v>9753.89</v>
      </c>
      <c r="AH269" s="70">
        <f t="shared" si="64"/>
        <v>488.02</v>
      </c>
      <c r="AI269" s="37">
        <v>256.93</v>
      </c>
      <c r="AJ269" s="36">
        <v>2334134.3199999998</v>
      </c>
      <c r="AK269" s="69">
        <f t="shared" si="68"/>
        <v>9084.7099999999991</v>
      </c>
      <c r="AL269" s="69">
        <f t="shared" si="69"/>
        <v>9549.3700000000008</v>
      </c>
      <c r="AM269" s="70">
        <f t="shared" si="65"/>
        <v>464.66</v>
      </c>
      <c r="AN269" s="36">
        <v>0</v>
      </c>
      <c r="AO269" s="36">
        <v>0</v>
      </c>
    </row>
    <row r="270" spans="1:41" s="3" customFormat="1">
      <c r="A270" s="55" t="s">
        <v>778</v>
      </c>
      <c r="B270" s="55" t="s">
        <v>417</v>
      </c>
      <c r="C270" s="58" t="s">
        <v>1091</v>
      </c>
      <c r="D270" s="36">
        <v>68915.570000000007</v>
      </c>
      <c r="E270" s="36">
        <v>0</v>
      </c>
      <c r="F270" s="36">
        <v>0</v>
      </c>
      <c r="G270" s="36">
        <v>1181530.1200000001</v>
      </c>
      <c r="H270" s="36">
        <v>75181.100000000006</v>
      </c>
      <c r="I270" s="36">
        <v>0</v>
      </c>
      <c r="J270" s="36">
        <v>267115.39</v>
      </c>
      <c r="K270" s="36">
        <v>89346.47</v>
      </c>
      <c r="L270" s="36">
        <v>25779.99</v>
      </c>
      <c r="M270" s="36">
        <v>528762.77</v>
      </c>
      <c r="N270" s="49">
        <v>5.1299999999999998E-2</v>
      </c>
      <c r="O270" s="64">
        <v>0.34129999999999999</v>
      </c>
      <c r="P270" s="36">
        <v>0</v>
      </c>
      <c r="Q270" s="36">
        <v>0</v>
      </c>
      <c r="R270" s="36">
        <v>0</v>
      </c>
      <c r="S270" s="36">
        <v>0</v>
      </c>
      <c r="T270" s="36">
        <v>0</v>
      </c>
      <c r="U270" s="36">
        <v>0</v>
      </c>
      <c r="V270" s="36">
        <v>0</v>
      </c>
      <c r="W270" s="36">
        <v>0</v>
      </c>
      <c r="X270" s="36">
        <v>0</v>
      </c>
      <c r="Y270" s="36">
        <v>0</v>
      </c>
      <c r="Z270" s="36">
        <v>0</v>
      </c>
      <c r="AA270" s="36">
        <v>0</v>
      </c>
      <c r="AB270" s="36">
        <v>0</v>
      </c>
      <c r="AC270" s="36">
        <v>4568.7</v>
      </c>
      <c r="AD270" s="37">
        <v>0</v>
      </c>
      <c r="AE270" s="36">
        <v>0</v>
      </c>
      <c r="AF270" s="69">
        <f t="shared" si="66"/>
        <v>0</v>
      </c>
      <c r="AG270" s="69">
        <f t="shared" si="67"/>
        <v>0</v>
      </c>
      <c r="AH270" s="70">
        <f t="shared" si="64"/>
        <v>0</v>
      </c>
      <c r="AI270" s="37">
        <v>0</v>
      </c>
      <c r="AJ270" s="36">
        <v>0</v>
      </c>
      <c r="AK270" s="69">
        <f t="shared" si="68"/>
        <v>0</v>
      </c>
      <c r="AL270" s="69">
        <f t="shared" si="69"/>
        <v>0</v>
      </c>
      <c r="AM270" s="70">
        <f t="shared" si="65"/>
        <v>0</v>
      </c>
      <c r="AN270" s="36">
        <v>0</v>
      </c>
      <c r="AO270" s="36">
        <v>0</v>
      </c>
    </row>
    <row r="271" spans="1:41" s="3" customFormat="1">
      <c r="A271" s="55" t="s">
        <v>561</v>
      </c>
      <c r="B271" s="55" t="s">
        <v>154</v>
      </c>
      <c r="C271" s="55" t="s">
        <v>1092</v>
      </c>
      <c r="D271" s="36">
        <v>0</v>
      </c>
      <c r="E271" s="36">
        <v>0</v>
      </c>
      <c r="F271" s="36">
        <v>1080.49</v>
      </c>
      <c r="G271" s="36">
        <v>97883.57</v>
      </c>
      <c r="H271" s="36">
        <v>17941.7</v>
      </c>
      <c r="I271" s="36">
        <v>11373.54</v>
      </c>
      <c r="J271" s="36">
        <v>28487.98</v>
      </c>
      <c r="K271" s="36">
        <v>0</v>
      </c>
      <c r="L271" s="36">
        <v>1516.48</v>
      </c>
      <c r="M271" s="36">
        <v>168161.97</v>
      </c>
      <c r="N271" s="49">
        <v>6.4899999999999999E-2</v>
      </c>
      <c r="O271" s="64">
        <v>0.221</v>
      </c>
      <c r="P271" s="36">
        <v>0</v>
      </c>
      <c r="Q271" s="36">
        <v>0</v>
      </c>
      <c r="R271" s="36">
        <v>0</v>
      </c>
      <c r="S271" s="36">
        <v>0</v>
      </c>
      <c r="T271" s="36">
        <v>0</v>
      </c>
      <c r="U271" s="36">
        <v>0</v>
      </c>
      <c r="V271" s="36">
        <v>0</v>
      </c>
      <c r="W271" s="36">
        <v>0</v>
      </c>
      <c r="X271" s="36">
        <v>0</v>
      </c>
      <c r="Y271" s="36">
        <v>0</v>
      </c>
      <c r="Z271" s="36">
        <v>0</v>
      </c>
      <c r="AA271" s="36">
        <v>0</v>
      </c>
      <c r="AB271" s="36">
        <v>0</v>
      </c>
      <c r="AC271" s="36">
        <v>31290.880000000001</v>
      </c>
      <c r="AD271" s="37">
        <v>3.27</v>
      </c>
      <c r="AE271" s="36">
        <v>30316.04</v>
      </c>
      <c r="AF271" s="69">
        <f t="shared" si="66"/>
        <v>9270.9599999999991</v>
      </c>
      <c r="AG271" s="69">
        <f t="shared" si="67"/>
        <v>9569.08</v>
      </c>
      <c r="AH271" s="70">
        <f t="shared" si="64"/>
        <v>298.12</v>
      </c>
      <c r="AI271" s="37">
        <v>0</v>
      </c>
      <c r="AJ271" s="36">
        <v>0</v>
      </c>
      <c r="AK271" s="69">
        <f t="shared" si="68"/>
        <v>0</v>
      </c>
      <c r="AL271" s="69">
        <f t="shared" si="69"/>
        <v>0</v>
      </c>
      <c r="AM271" s="70">
        <f t="shared" si="65"/>
        <v>0</v>
      </c>
      <c r="AN271" s="36">
        <v>0</v>
      </c>
      <c r="AO271" s="36">
        <v>0</v>
      </c>
    </row>
    <row r="272" spans="1:41" s="3" customFormat="1">
      <c r="A272" s="55" t="s">
        <v>693</v>
      </c>
      <c r="B272" s="55" t="s">
        <v>290</v>
      </c>
      <c r="C272" s="55" t="s">
        <v>1093</v>
      </c>
      <c r="D272" s="36">
        <v>0</v>
      </c>
      <c r="E272" s="36">
        <v>3525.35</v>
      </c>
      <c r="F272" s="36">
        <v>1820.59</v>
      </c>
      <c r="G272" s="36">
        <v>266409.64</v>
      </c>
      <c r="H272" s="36">
        <v>26937.74</v>
      </c>
      <c r="I272" s="36">
        <v>13106.65</v>
      </c>
      <c r="J272" s="36">
        <v>45060.83</v>
      </c>
      <c r="K272" s="36">
        <v>0</v>
      </c>
      <c r="L272" s="36">
        <v>0</v>
      </c>
      <c r="M272" s="36">
        <v>373035.94</v>
      </c>
      <c r="N272" s="49">
        <v>4.8399999999999999E-2</v>
      </c>
      <c r="O272" s="64">
        <v>0.23</v>
      </c>
      <c r="P272" s="36">
        <v>0</v>
      </c>
      <c r="Q272" s="36">
        <v>0</v>
      </c>
      <c r="R272" s="36">
        <v>0</v>
      </c>
      <c r="S272" s="36">
        <v>0</v>
      </c>
      <c r="T272" s="36">
        <v>0</v>
      </c>
      <c r="U272" s="36">
        <v>0</v>
      </c>
      <c r="V272" s="36">
        <v>0</v>
      </c>
      <c r="W272" s="36">
        <v>0</v>
      </c>
      <c r="X272" s="36">
        <v>0</v>
      </c>
      <c r="Y272" s="36">
        <v>0</v>
      </c>
      <c r="Z272" s="36">
        <v>0</v>
      </c>
      <c r="AA272" s="36">
        <v>0</v>
      </c>
      <c r="AB272" s="36">
        <v>0</v>
      </c>
      <c r="AC272" s="36">
        <v>98735.43</v>
      </c>
      <c r="AD272" s="37">
        <v>9.9499999999999993</v>
      </c>
      <c r="AE272" s="36">
        <v>92151.86</v>
      </c>
      <c r="AF272" s="69">
        <f t="shared" si="66"/>
        <v>9261.49</v>
      </c>
      <c r="AG272" s="69">
        <f t="shared" si="67"/>
        <v>9923.16</v>
      </c>
      <c r="AH272" s="70">
        <f t="shared" si="64"/>
        <v>661.67</v>
      </c>
      <c r="AI272" s="37">
        <v>0</v>
      </c>
      <c r="AJ272" s="36">
        <v>0</v>
      </c>
      <c r="AK272" s="69">
        <f t="shared" si="68"/>
        <v>0</v>
      </c>
      <c r="AL272" s="69">
        <f t="shared" si="69"/>
        <v>0</v>
      </c>
      <c r="AM272" s="70">
        <f t="shared" si="65"/>
        <v>0</v>
      </c>
      <c r="AN272" s="36">
        <v>0</v>
      </c>
      <c r="AO272" s="36">
        <v>0</v>
      </c>
    </row>
    <row r="273" spans="1:41" s="3" customFormat="1">
      <c r="A273" s="55" t="s">
        <v>635</v>
      </c>
      <c r="B273" s="55" t="s">
        <v>229</v>
      </c>
      <c r="C273" s="55" t="s">
        <v>1094</v>
      </c>
      <c r="D273" s="36">
        <v>0</v>
      </c>
      <c r="E273" s="36">
        <v>35117.050000000003</v>
      </c>
      <c r="F273" s="36">
        <v>0</v>
      </c>
      <c r="G273" s="36">
        <v>10169063.24</v>
      </c>
      <c r="H273" s="36">
        <v>1763023.67</v>
      </c>
      <c r="I273" s="36">
        <v>0</v>
      </c>
      <c r="J273" s="36">
        <v>1168378.8999999999</v>
      </c>
      <c r="K273" s="36">
        <v>330419.7</v>
      </c>
      <c r="L273" s="36">
        <v>169201.59</v>
      </c>
      <c r="M273" s="36">
        <v>3752266.44</v>
      </c>
      <c r="N273" s="49">
        <v>4.87E-2</v>
      </c>
      <c r="O273" s="64">
        <v>0.14249999999999999</v>
      </c>
      <c r="P273" s="36">
        <v>0</v>
      </c>
      <c r="Q273" s="36">
        <v>0</v>
      </c>
      <c r="R273" s="36">
        <v>0</v>
      </c>
      <c r="S273" s="36">
        <v>0</v>
      </c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16185.8</v>
      </c>
      <c r="AA273" s="36">
        <v>30449.87</v>
      </c>
      <c r="AB273" s="36">
        <v>889123.02</v>
      </c>
      <c r="AC273" s="36">
        <v>4060346.59</v>
      </c>
      <c r="AD273" s="37">
        <v>378.73</v>
      </c>
      <c r="AE273" s="36">
        <v>3869040.46</v>
      </c>
      <c r="AF273" s="69">
        <f t="shared" si="66"/>
        <v>10215.83</v>
      </c>
      <c r="AG273" s="69">
        <f t="shared" si="67"/>
        <v>10720.95</v>
      </c>
      <c r="AH273" s="70">
        <f t="shared" si="64"/>
        <v>505.12</v>
      </c>
      <c r="AI273" s="37">
        <v>84.27</v>
      </c>
      <c r="AJ273" s="36">
        <v>845853.52</v>
      </c>
      <c r="AK273" s="69">
        <f t="shared" si="68"/>
        <v>10037.42</v>
      </c>
      <c r="AL273" s="69">
        <f t="shared" si="69"/>
        <v>10550.88</v>
      </c>
      <c r="AM273" s="70">
        <f t="shared" si="65"/>
        <v>513.46</v>
      </c>
      <c r="AN273" s="36">
        <v>0</v>
      </c>
      <c r="AO273" s="36">
        <v>0</v>
      </c>
    </row>
    <row r="274" spans="1:41" s="3" customFormat="1">
      <c r="A274" s="55" t="s">
        <v>474</v>
      </c>
      <c r="B274" s="55" t="s">
        <v>67</v>
      </c>
      <c r="C274" s="55" t="s">
        <v>1095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36">
        <v>123456.31</v>
      </c>
      <c r="N274" s="49">
        <v>9.0399999999999994E-2</v>
      </c>
      <c r="O274" s="64">
        <v>0.32119999999999999</v>
      </c>
      <c r="P274" s="36">
        <v>0</v>
      </c>
      <c r="Q274" s="36">
        <v>0</v>
      </c>
      <c r="R274" s="36">
        <v>0</v>
      </c>
      <c r="S274" s="36">
        <v>0</v>
      </c>
      <c r="T274" s="36">
        <v>0</v>
      </c>
      <c r="U274" s="36">
        <v>0</v>
      </c>
      <c r="V274" s="36">
        <v>0</v>
      </c>
      <c r="W274" s="36">
        <v>0</v>
      </c>
      <c r="X274" s="36">
        <v>0</v>
      </c>
      <c r="Y274" s="36">
        <v>0</v>
      </c>
      <c r="Z274" s="36">
        <v>0</v>
      </c>
      <c r="AA274" s="36">
        <v>0</v>
      </c>
      <c r="AB274" s="36">
        <v>0</v>
      </c>
      <c r="AC274" s="36">
        <v>0</v>
      </c>
      <c r="AD274" s="37">
        <v>0</v>
      </c>
      <c r="AE274" s="36">
        <v>0</v>
      </c>
      <c r="AF274" s="69">
        <f t="shared" si="66"/>
        <v>0</v>
      </c>
      <c r="AG274" s="69">
        <f t="shared" si="67"/>
        <v>0</v>
      </c>
      <c r="AH274" s="70">
        <f t="shared" si="64"/>
        <v>0</v>
      </c>
      <c r="AI274" s="37">
        <v>0</v>
      </c>
      <c r="AJ274" s="36">
        <v>0</v>
      </c>
      <c r="AK274" s="69">
        <f t="shared" si="68"/>
        <v>0</v>
      </c>
      <c r="AL274" s="69">
        <f t="shared" si="69"/>
        <v>0</v>
      </c>
      <c r="AM274" s="70">
        <f t="shared" si="65"/>
        <v>0</v>
      </c>
      <c r="AN274" s="36">
        <v>0</v>
      </c>
      <c r="AO274" s="36">
        <v>0</v>
      </c>
    </row>
    <row r="275" spans="1:41" s="3" customFormat="1">
      <c r="A275" s="55" t="s">
        <v>454</v>
      </c>
      <c r="B275" s="55" t="s">
        <v>47</v>
      </c>
      <c r="C275" s="55" t="s">
        <v>1096</v>
      </c>
      <c r="D275" s="36">
        <v>42107.67</v>
      </c>
      <c r="E275" s="36">
        <v>23126.67</v>
      </c>
      <c r="F275" s="36">
        <v>0</v>
      </c>
      <c r="G275" s="36">
        <v>1290961.43</v>
      </c>
      <c r="H275" s="36">
        <v>435418.05</v>
      </c>
      <c r="I275" s="36">
        <v>7798.99</v>
      </c>
      <c r="J275" s="36">
        <v>411938.3</v>
      </c>
      <c r="K275" s="36">
        <v>0</v>
      </c>
      <c r="L275" s="36">
        <v>0</v>
      </c>
      <c r="M275" s="36">
        <v>64975.73</v>
      </c>
      <c r="N275" s="49">
        <v>0</v>
      </c>
      <c r="O275" s="64">
        <v>6.2799999999999995E-2</v>
      </c>
      <c r="P275" s="36">
        <v>0</v>
      </c>
      <c r="Q275" s="36">
        <v>0</v>
      </c>
      <c r="R275" s="36">
        <v>0</v>
      </c>
      <c r="S275" s="36">
        <v>0</v>
      </c>
      <c r="T275" s="36">
        <v>0</v>
      </c>
      <c r="U275" s="36">
        <v>0</v>
      </c>
      <c r="V275" s="36">
        <v>0</v>
      </c>
      <c r="W275" s="36">
        <v>0</v>
      </c>
      <c r="X275" s="36">
        <v>0</v>
      </c>
      <c r="Y275" s="36">
        <v>0</v>
      </c>
      <c r="Z275" s="36">
        <v>0</v>
      </c>
      <c r="AA275" s="36">
        <v>0</v>
      </c>
      <c r="AB275" s="36">
        <v>0</v>
      </c>
      <c r="AC275" s="36">
        <v>0</v>
      </c>
      <c r="AD275" s="37">
        <v>0</v>
      </c>
      <c r="AE275" s="36">
        <v>0</v>
      </c>
      <c r="AF275" s="69">
        <f t="shared" si="66"/>
        <v>0</v>
      </c>
      <c r="AG275" s="69">
        <f t="shared" si="67"/>
        <v>0</v>
      </c>
      <c r="AH275" s="70">
        <f t="shared" si="64"/>
        <v>0</v>
      </c>
      <c r="AI275" s="37">
        <v>0</v>
      </c>
      <c r="AJ275" s="36">
        <v>0</v>
      </c>
      <c r="AK275" s="69">
        <f t="shared" si="68"/>
        <v>0</v>
      </c>
      <c r="AL275" s="69">
        <f t="shared" si="69"/>
        <v>0</v>
      </c>
      <c r="AM275" s="70">
        <f t="shared" si="65"/>
        <v>0</v>
      </c>
      <c r="AN275" s="36">
        <v>0</v>
      </c>
      <c r="AO275" s="36">
        <v>0</v>
      </c>
    </row>
    <row r="276" spans="1:41" s="3" customFormat="1">
      <c r="A276" s="55" t="s">
        <v>433</v>
      </c>
      <c r="B276" s="55" t="s">
        <v>26</v>
      </c>
      <c r="C276" s="55" t="s">
        <v>1097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49">
        <v>0.27879999999999999</v>
      </c>
      <c r="O276" s="64">
        <v>0.71950000000000003</v>
      </c>
      <c r="P276" s="36">
        <v>0</v>
      </c>
      <c r="Q276" s="36">
        <v>0</v>
      </c>
      <c r="R276" s="36">
        <v>0</v>
      </c>
      <c r="S276" s="36">
        <v>0</v>
      </c>
      <c r="T276" s="36">
        <v>0</v>
      </c>
      <c r="U276" s="36">
        <v>0</v>
      </c>
      <c r="V276" s="36">
        <v>0</v>
      </c>
      <c r="W276" s="36">
        <v>0</v>
      </c>
      <c r="X276" s="36">
        <v>0</v>
      </c>
      <c r="Y276" s="36">
        <v>0</v>
      </c>
      <c r="Z276" s="36">
        <v>0</v>
      </c>
      <c r="AA276" s="36">
        <v>0</v>
      </c>
      <c r="AB276" s="36">
        <v>0</v>
      </c>
      <c r="AC276" s="36">
        <v>0</v>
      </c>
      <c r="AD276" s="37">
        <v>0</v>
      </c>
      <c r="AE276" s="36">
        <v>0</v>
      </c>
      <c r="AF276" s="69">
        <f t="shared" si="66"/>
        <v>0</v>
      </c>
      <c r="AG276" s="69">
        <f t="shared" si="67"/>
        <v>0</v>
      </c>
      <c r="AH276" s="70">
        <f t="shared" si="64"/>
        <v>0</v>
      </c>
      <c r="AI276" s="37">
        <v>0</v>
      </c>
      <c r="AJ276" s="36">
        <v>0</v>
      </c>
      <c r="AK276" s="69">
        <f t="shared" si="68"/>
        <v>0</v>
      </c>
      <c r="AL276" s="69">
        <f t="shared" si="69"/>
        <v>0</v>
      </c>
      <c r="AM276" s="70">
        <f t="shared" si="65"/>
        <v>0</v>
      </c>
      <c r="AN276" s="36">
        <v>0</v>
      </c>
      <c r="AO276" s="36">
        <v>0</v>
      </c>
    </row>
    <row r="277" spans="1:41" s="3" customFormat="1">
      <c r="A277" s="55" t="s">
        <v>592</v>
      </c>
      <c r="B277" s="55" t="s">
        <v>186</v>
      </c>
      <c r="C277" s="55" t="s">
        <v>1098</v>
      </c>
      <c r="D277" s="36">
        <v>0</v>
      </c>
      <c r="E277" s="36">
        <v>60475.360000000001</v>
      </c>
      <c r="F277" s="36">
        <v>0</v>
      </c>
      <c r="G277" s="36">
        <v>5373050.9000000004</v>
      </c>
      <c r="H277" s="36">
        <v>810185.14</v>
      </c>
      <c r="I277" s="36">
        <v>5697.68</v>
      </c>
      <c r="J277" s="36">
        <v>616487.55000000005</v>
      </c>
      <c r="K277" s="36">
        <v>215467.56</v>
      </c>
      <c r="L277" s="36">
        <v>97430.11</v>
      </c>
      <c r="M277" s="36">
        <v>3133583.87</v>
      </c>
      <c r="N277" s="49">
        <v>8.0500000000000002E-2</v>
      </c>
      <c r="O277" s="64">
        <v>0.18190000000000001</v>
      </c>
      <c r="P277" s="36">
        <v>0</v>
      </c>
      <c r="Q277" s="36">
        <v>0</v>
      </c>
      <c r="R277" s="36">
        <v>0</v>
      </c>
      <c r="S277" s="36">
        <v>0</v>
      </c>
      <c r="T277" s="36">
        <v>0</v>
      </c>
      <c r="U277" s="36">
        <v>0</v>
      </c>
      <c r="V277" s="36">
        <v>0</v>
      </c>
      <c r="W277" s="36">
        <v>0</v>
      </c>
      <c r="X277" s="36">
        <v>0</v>
      </c>
      <c r="Y277" s="36">
        <v>0</v>
      </c>
      <c r="Z277" s="36">
        <v>12870</v>
      </c>
      <c r="AA277" s="36">
        <v>230400.17</v>
      </c>
      <c r="AB277" s="36">
        <v>163664.03</v>
      </c>
      <c r="AC277" s="36">
        <v>2395798.62</v>
      </c>
      <c r="AD277" s="37">
        <v>230.73</v>
      </c>
      <c r="AE277" s="36">
        <v>2226214.4700000002</v>
      </c>
      <c r="AF277" s="69">
        <f t="shared" si="66"/>
        <v>9648.57</v>
      </c>
      <c r="AG277" s="69">
        <f t="shared" si="67"/>
        <v>10383.56</v>
      </c>
      <c r="AH277" s="70">
        <f t="shared" si="64"/>
        <v>734.99</v>
      </c>
      <c r="AI277" s="37">
        <v>16.440000000000001</v>
      </c>
      <c r="AJ277" s="36">
        <v>155541.85999999999</v>
      </c>
      <c r="AK277" s="69">
        <f t="shared" si="68"/>
        <v>9461.18</v>
      </c>
      <c r="AL277" s="69">
        <f t="shared" si="69"/>
        <v>9955.23</v>
      </c>
      <c r="AM277" s="70">
        <f t="shared" si="65"/>
        <v>494.05</v>
      </c>
      <c r="AN277" s="36">
        <v>0</v>
      </c>
      <c r="AO277" s="36">
        <v>0</v>
      </c>
    </row>
    <row r="278" spans="1:41" s="3" customFormat="1">
      <c r="A278" s="55" t="s">
        <v>689</v>
      </c>
      <c r="B278" s="55" t="s">
        <v>286</v>
      </c>
      <c r="C278" s="55" t="s">
        <v>1099</v>
      </c>
      <c r="D278" s="36">
        <v>0</v>
      </c>
      <c r="E278" s="36">
        <v>0</v>
      </c>
      <c r="F278" s="36">
        <v>0</v>
      </c>
      <c r="G278" s="36">
        <v>61882.73</v>
      </c>
      <c r="H278" s="36">
        <v>5934.02</v>
      </c>
      <c r="I278" s="36">
        <v>0</v>
      </c>
      <c r="J278" s="36">
        <v>0</v>
      </c>
      <c r="K278" s="36">
        <v>0</v>
      </c>
      <c r="L278" s="36">
        <v>0</v>
      </c>
      <c r="M278" s="36">
        <v>99147.23</v>
      </c>
      <c r="N278" s="49">
        <v>8.72E-2</v>
      </c>
      <c r="O278" s="64">
        <v>0.29649999999999999</v>
      </c>
      <c r="P278" s="36">
        <v>0</v>
      </c>
      <c r="Q278" s="36">
        <v>0</v>
      </c>
      <c r="R278" s="36">
        <v>0</v>
      </c>
      <c r="S278" s="36">
        <v>0</v>
      </c>
      <c r="T278" s="36">
        <v>0</v>
      </c>
      <c r="U278" s="36">
        <v>0</v>
      </c>
      <c r="V278" s="36">
        <v>0</v>
      </c>
      <c r="W278" s="36">
        <v>0</v>
      </c>
      <c r="X278" s="36">
        <v>0</v>
      </c>
      <c r="Y278" s="36">
        <v>0</v>
      </c>
      <c r="Z278" s="36">
        <v>0</v>
      </c>
      <c r="AA278" s="36">
        <v>0</v>
      </c>
      <c r="AB278" s="36">
        <v>0</v>
      </c>
      <c r="AC278" s="36">
        <v>0</v>
      </c>
      <c r="AD278" s="37">
        <v>0</v>
      </c>
      <c r="AE278" s="36">
        <v>0</v>
      </c>
      <c r="AF278" s="69">
        <f t="shared" si="66"/>
        <v>0</v>
      </c>
      <c r="AG278" s="69">
        <f t="shared" si="67"/>
        <v>0</v>
      </c>
      <c r="AH278" s="70">
        <f t="shared" si="64"/>
        <v>0</v>
      </c>
      <c r="AI278" s="37">
        <v>0</v>
      </c>
      <c r="AJ278" s="36">
        <v>0</v>
      </c>
      <c r="AK278" s="69">
        <f t="shared" si="68"/>
        <v>0</v>
      </c>
      <c r="AL278" s="69">
        <f t="shared" si="69"/>
        <v>0</v>
      </c>
      <c r="AM278" s="70">
        <f t="shared" si="65"/>
        <v>0</v>
      </c>
      <c r="AN278" s="36">
        <v>0</v>
      </c>
      <c r="AO278" s="36">
        <v>0</v>
      </c>
    </row>
    <row r="279" spans="1:41" s="3" customFormat="1">
      <c r="A279" s="55" t="s">
        <v>621</v>
      </c>
      <c r="B279" s="55" t="s">
        <v>215</v>
      </c>
      <c r="C279" s="55" t="s">
        <v>1100</v>
      </c>
      <c r="D279" s="36">
        <v>0</v>
      </c>
      <c r="E279" s="36">
        <v>3759.02</v>
      </c>
      <c r="F279" s="36">
        <v>3857.26</v>
      </c>
      <c r="G279" s="36">
        <v>0</v>
      </c>
      <c r="H279" s="36">
        <v>0</v>
      </c>
      <c r="I279" s="36">
        <v>249784.29</v>
      </c>
      <c r="J279" s="36">
        <v>291053.95</v>
      </c>
      <c r="K279" s="36">
        <v>29213.53</v>
      </c>
      <c r="L279" s="36">
        <v>22097.14</v>
      </c>
      <c r="M279" s="36">
        <v>778087.07</v>
      </c>
      <c r="N279" s="49">
        <v>4.1399999999999999E-2</v>
      </c>
      <c r="O279" s="64">
        <v>0.20250000000000001</v>
      </c>
      <c r="P279" s="36">
        <v>0</v>
      </c>
      <c r="Q279" s="36">
        <v>0</v>
      </c>
      <c r="R279" s="36">
        <v>0</v>
      </c>
      <c r="S279" s="36">
        <v>0</v>
      </c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146773.47</v>
      </c>
      <c r="AC279" s="36">
        <v>282880.51</v>
      </c>
      <c r="AD279" s="37">
        <v>29.47</v>
      </c>
      <c r="AE279" s="36">
        <v>272870.03999999998</v>
      </c>
      <c r="AF279" s="69">
        <f t="shared" si="66"/>
        <v>9259.25</v>
      </c>
      <c r="AG279" s="69">
        <f t="shared" si="67"/>
        <v>9598.93</v>
      </c>
      <c r="AH279" s="70">
        <f t="shared" si="64"/>
        <v>339.68</v>
      </c>
      <c r="AI279" s="37">
        <v>15.38</v>
      </c>
      <c r="AJ279" s="36">
        <v>139666.89000000001</v>
      </c>
      <c r="AK279" s="69">
        <f t="shared" si="68"/>
        <v>9081.07</v>
      </c>
      <c r="AL279" s="69">
        <f t="shared" si="69"/>
        <v>9543.14</v>
      </c>
      <c r="AM279" s="70">
        <f t="shared" si="65"/>
        <v>462.07</v>
      </c>
      <c r="AN279" s="36">
        <v>0</v>
      </c>
      <c r="AO279" s="36">
        <v>0</v>
      </c>
    </row>
    <row r="280" spans="1:41" s="3" customFormat="1">
      <c r="A280" s="55" t="s">
        <v>632</v>
      </c>
      <c r="B280" s="55" t="s">
        <v>226</v>
      </c>
      <c r="C280" s="55" t="s">
        <v>1101</v>
      </c>
      <c r="D280" s="36">
        <v>0</v>
      </c>
      <c r="E280" s="36">
        <v>72605.210000000006</v>
      </c>
      <c r="F280" s="36">
        <v>0</v>
      </c>
      <c r="G280" s="36">
        <v>4741036.72</v>
      </c>
      <c r="H280" s="36">
        <v>1009496.02</v>
      </c>
      <c r="I280" s="36">
        <v>722652.69</v>
      </c>
      <c r="J280" s="36">
        <v>914366.68</v>
      </c>
      <c r="K280" s="36">
        <v>593228.37</v>
      </c>
      <c r="L280" s="36">
        <v>75758.960000000006</v>
      </c>
      <c r="M280" s="36">
        <v>2044653.19</v>
      </c>
      <c r="N280" s="49">
        <v>1.8599999999999998E-2</v>
      </c>
      <c r="O280" s="64">
        <v>0.16839999999999999</v>
      </c>
      <c r="P280" s="36">
        <v>0</v>
      </c>
      <c r="Q280" s="36">
        <v>0</v>
      </c>
      <c r="R280" s="36">
        <v>0</v>
      </c>
      <c r="S280" s="36">
        <v>0</v>
      </c>
      <c r="T280" s="36">
        <v>0</v>
      </c>
      <c r="U280" s="36">
        <v>0</v>
      </c>
      <c r="V280" s="36">
        <v>0</v>
      </c>
      <c r="W280" s="36">
        <v>0</v>
      </c>
      <c r="X280" s="36">
        <v>0</v>
      </c>
      <c r="Y280" s="36">
        <v>0</v>
      </c>
      <c r="Z280" s="36">
        <v>26390.47</v>
      </c>
      <c r="AA280" s="36">
        <v>179991.42</v>
      </c>
      <c r="AB280" s="36">
        <v>256286.8</v>
      </c>
      <c r="AC280" s="36">
        <v>1792912.12</v>
      </c>
      <c r="AD280" s="37">
        <v>162.94</v>
      </c>
      <c r="AE280" s="36">
        <v>1696766.5</v>
      </c>
      <c r="AF280" s="69">
        <f t="shared" si="66"/>
        <v>10413.44</v>
      </c>
      <c r="AG280" s="69">
        <f t="shared" si="67"/>
        <v>11003.51</v>
      </c>
      <c r="AH280" s="70">
        <f t="shared" si="64"/>
        <v>590.07000000000005</v>
      </c>
      <c r="AI280" s="37">
        <v>23.83</v>
      </c>
      <c r="AJ280" s="36">
        <v>244043.09</v>
      </c>
      <c r="AK280" s="69">
        <f t="shared" si="68"/>
        <v>10241</v>
      </c>
      <c r="AL280" s="69">
        <f t="shared" si="69"/>
        <v>10754.8</v>
      </c>
      <c r="AM280" s="70">
        <f t="shared" si="65"/>
        <v>513.79999999999995</v>
      </c>
      <c r="AN280" s="36">
        <v>0</v>
      </c>
      <c r="AO280" s="36">
        <v>0</v>
      </c>
    </row>
    <row r="281" spans="1:41" s="3" customFormat="1">
      <c r="A281" s="55" t="s">
        <v>655</v>
      </c>
      <c r="B281" s="55" t="s">
        <v>250</v>
      </c>
      <c r="C281" s="55" t="s">
        <v>1102</v>
      </c>
      <c r="D281" s="36">
        <v>0</v>
      </c>
      <c r="E281" s="36">
        <v>0</v>
      </c>
      <c r="F281" s="36">
        <v>0</v>
      </c>
      <c r="G281" s="36">
        <v>176914.14</v>
      </c>
      <c r="H281" s="36">
        <v>14343.58</v>
      </c>
      <c r="I281" s="36">
        <v>26104.95</v>
      </c>
      <c r="J281" s="36">
        <v>49610.23</v>
      </c>
      <c r="K281" s="36">
        <v>0</v>
      </c>
      <c r="L281" s="36">
        <v>3032.93</v>
      </c>
      <c r="M281" s="36">
        <v>0</v>
      </c>
      <c r="N281" s="49">
        <v>9.0300000000000005E-2</v>
      </c>
      <c r="O281" s="64">
        <v>0.24299999999999999</v>
      </c>
      <c r="P281" s="36">
        <v>0</v>
      </c>
      <c r="Q281" s="36">
        <v>0</v>
      </c>
      <c r="R281" s="36">
        <v>0</v>
      </c>
      <c r="S281" s="36">
        <v>0</v>
      </c>
      <c r="T281" s="36">
        <v>0</v>
      </c>
      <c r="U281" s="36">
        <v>0</v>
      </c>
      <c r="V281" s="36">
        <v>0</v>
      </c>
      <c r="W281" s="36">
        <v>0</v>
      </c>
      <c r="X281" s="36">
        <v>0</v>
      </c>
      <c r="Y281" s="36">
        <v>0</v>
      </c>
      <c r="Z281" s="36">
        <v>0</v>
      </c>
      <c r="AA281" s="36">
        <v>0</v>
      </c>
      <c r="AB281" s="36">
        <v>0</v>
      </c>
      <c r="AC281" s="36">
        <v>0</v>
      </c>
      <c r="AD281" s="37">
        <v>0</v>
      </c>
      <c r="AE281" s="36">
        <v>0</v>
      </c>
      <c r="AF281" s="69">
        <f t="shared" si="66"/>
        <v>0</v>
      </c>
      <c r="AG281" s="69">
        <f t="shared" si="67"/>
        <v>0</v>
      </c>
      <c r="AH281" s="70">
        <f t="shared" si="64"/>
        <v>0</v>
      </c>
      <c r="AI281" s="37">
        <v>0</v>
      </c>
      <c r="AJ281" s="36">
        <v>0</v>
      </c>
      <c r="AK281" s="69">
        <f t="shared" si="68"/>
        <v>0</v>
      </c>
      <c r="AL281" s="69">
        <f t="shared" si="69"/>
        <v>0</v>
      </c>
      <c r="AM281" s="70">
        <f t="shared" si="65"/>
        <v>0</v>
      </c>
      <c r="AN281" s="36">
        <v>0</v>
      </c>
      <c r="AO281" s="36">
        <v>0</v>
      </c>
    </row>
    <row r="282" spans="1:41" s="3" customFormat="1">
      <c r="A282" s="55" t="s">
        <v>720</v>
      </c>
      <c r="B282" s="56" t="s">
        <v>721</v>
      </c>
      <c r="C282" s="56" t="s">
        <v>1103</v>
      </c>
      <c r="D282" s="36">
        <v>0</v>
      </c>
      <c r="E282" s="36">
        <v>0</v>
      </c>
      <c r="F282" s="36">
        <v>0</v>
      </c>
      <c r="G282" s="36">
        <v>1064412.71</v>
      </c>
      <c r="H282" s="36">
        <v>106498.17</v>
      </c>
      <c r="I282" s="36">
        <v>0</v>
      </c>
      <c r="J282" s="36">
        <v>172179.42</v>
      </c>
      <c r="K282" s="36">
        <v>220627.22</v>
      </c>
      <c r="L282" s="36">
        <v>20661.54</v>
      </c>
      <c r="M282" s="36">
        <v>882423.49</v>
      </c>
      <c r="N282" s="49">
        <v>0.1767</v>
      </c>
      <c r="O282" s="64">
        <v>0.3518</v>
      </c>
      <c r="P282" s="36">
        <v>0</v>
      </c>
      <c r="Q282" s="36">
        <v>0</v>
      </c>
      <c r="R282" s="36">
        <v>0</v>
      </c>
      <c r="S282" s="36">
        <v>0</v>
      </c>
      <c r="T282" s="36">
        <v>0</v>
      </c>
      <c r="U282" s="36">
        <v>0</v>
      </c>
      <c r="V282" s="36">
        <v>0</v>
      </c>
      <c r="W282" s="36">
        <v>0</v>
      </c>
      <c r="X282" s="36">
        <v>0</v>
      </c>
      <c r="Y282" s="36">
        <v>0</v>
      </c>
      <c r="Z282" s="36">
        <v>0</v>
      </c>
      <c r="AA282" s="36">
        <v>0</v>
      </c>
      <c r="AB282" s="36">
        <v>0</v>
      </c>
      <c r="AC282" s="36">
        <v>4365.6499999999996</v>
      </c>
      <c r="AD282" s="37">
        <v>0</v>
      </c>
      <c r="AE282" s="36">
        <v>0</v>
      </c>
      <c r="AF282" s="69">
        <f t="shared" si="66"/>
        <v>0</v>
      </c>
      <c r="AG282" s="69">
        <f t="shared" si="67"/>
        <v>0</v>
      </c>
      <c r="AH282" s="70">
        <f t="shared" si="64"/>
        <v>0</v>
      </c>
      <c r="AI282" s="37">
        <v>0</v>
      </c>
      <c r="AJ282" s="36">
        <v>0</v>
      </c>
      <c r="AK282" s="69">
        <f t="shared" si="68"/>
        <v>0</v>
      </c>
      <c r="AL282" s="69">
        <f t="shared" si="69"/>
        <v>0</v>
      </c>
      <c r="AM282" s="70">
        <f t="shared" si="65"/>
        <v>0</v>
      </c>
      <c r="AN282" s="36">
        <v>0</v>
      </c>
      <c r="AO282" s="36">
        <v>0</v>
      </c>
    </row>
    <row r="283" spans="1:41" s="3" customFormat="1">
      <c r="A283" s="55" t="s">
        <v>723</v>
      </c>
      <c r="B283" s="56" t="s">
        <v>416</v>
      </c>
      <c r="C283" s="56" t="s">
        <v>1104</v>
      </c>
      <c r="D283" s="36">
        <v>0</v>
      </c>
      <c r="E283" s="36">
        <v>0</v>
      </c>
      <c r="F283" s="36">
        <v>0</v>
      </c>
      <c r="G283" s="36">
        <v>189519.33</v>
      </c>
      <c r="H283" s="36">
        <v>17394.990000000002</v>
      </c>
      <c r="I283" s="36">
        <v>53694.73</v>
      </c>
      <c r="J283" s="36">
        <v>69241.08</v>
      </c>
      <c r="K283" s="36">
        <v>19775.259999999998</v>
      </c>
      <c r="L283" s="36">
        <v>3587.62</v>
      </c>
      <c r="M283" s="36">
        <v>22670.93</v>
      </c>
      <c r="N283" s="49">
        <v>0.14069999999999999</v>
      </c>
      <c r="O283" s="64">
        <v>0.3523</v>
      </c>
      <c r="P283" s="36">
        <v>0</v>
      </c>
      <c r="Q283" s="36">
        <v>0</v>
      </c>
      <c r="R283" s="36">
        <v>0</v>
      </c>
      <c r="S283" s="36">
        <v>0</v>
      </c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7">
        <v>0</v>
      </c>
      <c r="AE283" s="36">
        <v>0</v>
      </c>
      <c r="AF283" s="69">
        <f t="shared" si="66"/>
        <v>0</v>
      </c>
      <c r="AG283" s="69">
        <f t="shared" si="67"/>
        <v>0</v>
      </c>
      <c r="AH283" s="70">
        <f t="shared" si="64"/>
        <v>0</v>
      </c>
      <c r="AI283" s="37">
        <v>0</v>
      </c>
      <c r="AJ283" s="36">
        <v>0</v>
      </c>
      <c r="AK283" s="69">
        <f t="shared" si="68"/>
        <v>0</v>
      </c>
      <c r="AL283" s="69">
        <f t="shared" si="69"/>
        <v>0</v>
      </c>
      <c r="AM283" s="70">
        <f t="shared" si="65"/>
        <v>0</v>
      </c>
      <c r="AN283" s="36">
        <v>0</v>
      </c>
      <c r="AO283" s="36">
        <v>0</v>
      </c>
    </row>
    <row r="284" spans="1:41" s="3" customFormat="1">
      <c r="A284" s="55" t="s">
        <v>777</v>
      </c>
      <c r="B284" s="56" t="s">
        <v>414</v>
      </c>
      <c r="C284" s="56" t="s">
        <v>1105</v>
      </c>
      <c r="D284" s="36">
        <v>0</v>
      </c>
      <c r="E284" s="36">
        <v>0</v>
      </c>
      <c r="F284" s="36">
        <v>0</v>
      </c>
      <c r="G284" s="36">
        <v>406527.87</v>
      </c>
      <c r="H284" s="36">
        <v>55515.71</v>
      </c>
      <c r="I284" s="36">
        <v>0</v>
      </c>
      <c r="J284" s="36">
        <v>67995.199999999997</v>
      </c>
      <c r="K284" s="36">
        <v>61134.69</v>
      </c>
      <c r="L284" s="36">
        <v>7763.72</v>
      </c>
      <c r="M284" s="36">
        <v>27647.73</v>
      </c>
      <c r="N284" s="49">
        <v>0.16220000000000001</v>
      </c>
      <c r="O284" s="64">
        <v>0.3982</v>
      </c>
      <c r="P284" s="36">
        <v>0</v>
      </c>
      <c r="Q284" s="36">
        <v>0</v>
      </c>
      <c r="R284" s="36">
        <v>0</v>
      </c>
      <c r="S284" s="36">
        <v>0</v>
      </c>
      <c r="T284" s="36">
        <v>0</v>
      </c>
      <c r="U284" s="36">
        <v>0</v>
      </c>
      <c r="V284" s="36">
        <v>0</v>
      </c>
      <c r="W284" s="36">
        <v>0</v>
      </c>
      <c r="X284" s="36">
        <v>0</v>
      </c>
      <c r="Y284" s="36">
        <v>0</v>
      </c>
      <c r="Z284" s="36">
        <v>0</v>
      </c>
      <c r="AA284" s="36">
        <v>0</v>
      </c>
      <c r="AB284" s="36">
        <v>0</v>
      </c>
      <c r="AC284" s="36">
        <v>0</v>
      </c>
      <c r="AD284" s="37">
        <v>0</v>
      </c>
      <c r="AE284" s="36">
        <v>0</v>
      </c>
      <c r="AF284" s="69">
        <f t="shared" si="66"/>
        <v>0</v>
      </c>
      <c r="AG284" s="69">
        <f t="shared" si="67"/>
        <v>0</v>
      </c>
      <c r="AH284" s="70">
        <f t="shared" si="64"/>
        <v>0</v>
      </c>
      <c r="AI284" s="37">
        <v>0</v>
      </c>
      <c r="AJ284" s="36">
        <v>0</v>
      </c>
      <c r="AK284" s="69">
        <f t="shared" si="68"/>
        <v>0</v>
      </c>
      <c r="AL284" s="69">
        <f t="shared" si="69"/>
        <v>0</v>
      </c>
      <c r="AM284" s="70">
        <f t="shared" si="65"/>
        <v>0</v>
      </c>
      <c r="AN284" s="36">
        <v>0</v>
      </c>
      <c r="AO284" s="36">
        <v>0</v>
      </c>
    </row>
    <row r="285" spans="1:41" s="3" customFormat="1">
      <c r="A285" s="55" t="s">
        <v>597</v>
      </c>
      <c r="B285" s="55" t="s">
        <v>191</v>
      </c>
      <c r="C285" s="55" t="s">
        <v>1106</v>
      </c>
      <c r="D285" s="36">
        <v>0</v>
      </c>
      <c r="E285" s="36">
        <v>218706.25</v>
      </c>
      <c r="F285" s="36">
        <v>0</v>
      </c>
      <c r="G285" s="36">
        <v>18048549.59</v>
      </c>
      <c r="H285" s="36">
        <v>3507629.9</v>
      </c>
      <c r="I285" s="36">
        <v>305665.32</v>
      </c>
      <c r="J285" s="36">
        <v>2518988.31</v>
      </c>
      <c r="K285" s="36">
        <v>1282684.19</v>
      </c>
      <c r="L285" s="36">
        <v>360795.08</v>
      </c>
      <c r="M285" s="36">
        <v>5834940.5800000001</v>
      </c>
      <c r="N285" s="49">
        <v>4.5400000000000003E-2</v>
      </c>
      <c r="O285" s="64">
        <v>0.14299999999999999</v>
      </c>
      <c r="P285" s="36">
        <v>0</v>
      </c>
      <c r="Q285" s="36">
        <v>0</v>
      </c>
      <c r="R285" s="36">
        <v>0</v>
      </c>
      <c r="S285" s="36">
        <v>0</v>
      </c>
      <c r="T285" s="36">
        <v>0</v>
      </c>
      <c r="U285" s="36">
        <v>0</v>
      </c>
      <c r="V285" s="36">
        <v>0</v>
      </c>
      <c r="W285" s="36">
        <v>0</v>
      </c>
      <c r="X285" s="36">
        <v>0</v>
      </c>
      <c r="Y285" s="36">
        <v>0</v>
      </c>
      <c r="Z285" s="36">
        <v>97019.85</v>
      </c>
      <c r="AA285" s="36">
        <v>110582.35</v>
      </c>
      <c r="AB285" s="36">
        <v>1271382.44</v>
      </c>
      <c r="AC285" s="36">
        <v>6735694.1799999997</v>
      </c>
      <c r="AD285" s="37">
        <v>616.13</v>
      </c>
      <c r="AE285" s="36">
        <v>6180673.1399999997</v>
      </c>
      <c r="AF285" s="69">
        <f t="shared" si="66"/>
        <v>10031.44</v>
      </c>
      <c r="AG285" s="69">
        <f t="shared" si="67"/>
        <v>10932.26</v>
      </c>
      <c r="AH285" s="70">
        <f t="shared" si="64"/>
        <v>900.82</v>
      </c>
      <c r="AI285" s="37">
        <v>122.82</v>
      </c>
      <c r="AJ285" s="36">
        <v>1210213.06</v>
      </c>
      <c r="AK285" s="69">
        <f t="shared" si="68"/>
        <v>9853.5499999999993</v>
      </c>
      <c r="AL285" s="69">
        <f t="shared" si="69"/>
        <v>10351.59</v>
      </c>
      <c r="AM285" s="70">
        <f t="shared" si="65"/>
        <v>498.04</v>
      </c>
      <c r="AN285" s="36">
        <v>0</v>
      </c>
      <c r="AO285" s="36">
        <v>0</v>
      </c>
    </row>
    <row r="286" spans="1:41" s="3" customFormat="1">
      <c r="A286" s="55" t="s">
        <v>701</v>
      </c>
      <c r="B286" s="55" t="s">
        <v>299</v>
      </c>
      <c r="C286" s="55" t="s">
        <v>1107</v>
      </c>
      <c r="D286" s="36">
        <v>0</v>
      </c>
      <c r="E286" s="36">
        <v>288147.08</v>
      </c>
      <c r="F286" s="36">
        <v>31404.65</v>
      </c>
      <c r="G286" s="36">
        <v>9343551.1400000006</v>
      </c>
      <c r="H286" s="36">
        <v>1975534.68</v>
      </c>
      <c r="I286" s="36">
        <v>1945522.92</v>
      </c>
      <c r="J286" s="36">
        <v>3983008.92</v>
      </c>
      <c r="K286" s="36">
        <v>3369257.08</v>
      </c>
      <c r="L286" s="36">
        <v>185984.23</v>
      </c>
      <c r="M286" s="36">
        <v>3516804.89</v>
      </c>
      <c r="N286" s="49">
        <v>5.1799999999999999E-2</v>
      </c>
      <c r="O286" s="64">
        <v>0.16500000000000001</v>
      </c>
      <c r="P286" s="36">
        <v>0</v>
      </c>
      <c r="Q286" s="36">
        <v>0</v>
      </c>
      <c r="R286" s="36">
        <v>0</v>
      </c>
      <c r="S286" s="36">
        <v>0</v>
      </c>
      <c r="T286" s="36">
        <v>0</v>
      </c>
      <c r="U286" s="36">
        <v>0</v>
      </c>
      <c r="V286" s="36">
        <v>0</v>
      </c>
      <c r="W286" s="36">
        <v>0</v>
      </c>
      <c r="X286" s="36">
        <v>0</v>
      </c>
      <c r="Y286" s="36">
        <v>0</v>
      </c>
      <c r="Z286" s="36">
        <v>40283.449999999997</v>
      </c>
      <c r="AA286" s="36">
        <v>0</v>
      </c>
      <c r="AB286" s="36">
        <v>420140.99</v>
      </c>
      <c r="AC286" s="36">
        <v>3283515.08</v>
      </c>
      <c r="AD286" s="37">
        <v>331.86</v>
      </c>
      <c r="AE286" s="36">
        <v>3074929.14</v>
      </c>
      <c r="AF286" s="69">
        <f t="shared" si="66"/>
        <v>9265.74</v>
      </c>
      <c r="AG286" s="69">
        <f t="shared" si="67"/>
        <v>9894.2800000000007</v>
      </c>
      <c r="AH286" s="70">
        <f t="shared" si="64"/>
        <v>628.54</v>
      </c>
      <c r="AI286" s="37">
        <v>44</v>
      </c>
      <c r="AJ286" s="36">
        <v>399702.88</v>
      </c>
      <c r="AK286" s="69">
        <f t="shared" si="68"/>
        <v>9084.16</v>
      </c>
      <c r="AL286" s="69">
        <f t="shared" si="69"/>
        <v>9548.66</v>
      </c>
      <c r="AM286" s="70">
        <f t="shared" si="65"/>
        <v>464.5</v>
      </c>
      <c r="AN286" s="36">
        <v>5965</v>
      </c>
      <c r="AO286" s="36">
        <v>0</v>
      </c>
    </row>
    <row r="287" spans="1:41" s="3" customFormat="1">
      <c r="A287" s="55" t="s">
        <v>805</v>
      </c>
      <c r="B287" s="55" t="s">
        <v>412</v>
      </c>
      <c r="C287" s="58" t="s">
        <v>1108</v>
      </c>
      <c r="D287" s="36">
        <v>846.95</v>
      </c>
      <c r="E287" s="36">
        <v>0</v>
      </c>
      <c r="F287" s="36">
        <v>2691.83</v>
      </c>
      <c r="G287" s="36">
        <v>143075.31</v>
      </c>
      <c r="H287" s="36">
        <v>27953.58</v>
      </c>
      <c r="I287" s="36">
        <v>27423.49</v>
      </c>
      <c r="J287" s="36">
        <v>36564.65</v>
      </c>
      <c r="K287" s="36">
        <v>0</v>
      </c>
      <c r="L287" s="36">
        <v>0</v>
      </c>
      <c r="M287" s="36">
        <v>55592.32</v>
      </c>
      <c r="N287" s="49">
        <v>3.5000000000000003E-2</v>
      </c>
      <c r="O287" s="64">
        <v>0.14979999999999999</v>
      </c>
      <c r="P287" s="36">
        <v>0</v>
      </c>
      <c r="Q287" s="36">
        <v>0</v>
      </c>
      <c r="R287" s="36">
        <v>0</v>
      </c>
      <c r="S287" s="36">
        <v>0</v>
      </c>
      <c r="T287" s="36">
        <v>0</v>
      </c>
      <c r="U287" s="36">
        <v>0</v>
      </c>
      <c r="V287" s="36">
        <v>0</v>
      </c>
      <c r="W287" s="36">
        <v>0</v>
      </c>
      <c r="X287" s="36">
        <v>0</v>
      </c>
      <c r="Y287" s="36">
        <v>0</v>
      </c>
      <c r="Z287" s="36">
        <v>0</v>
      </c>
      <c r="AA287" s="36">
        <v>0</v>
      </c>
      <c r="AB287" s="36">
        <v>5832.13</v>
      </c>
      <c r="AC287" s="36">
        <v>69914.039999999994</v>
      </c>
      <c r="AD287" s="37">
        <v>6.49</v>
      </c>
      <c r="AE287" s="36">
        <v>67558.27</v>
      </c>
      <c r="AF287" s="69">
        <f t="shared" si="66"/>
        <v>10409.59</v>
      </c>
      <c r="AG287" s="69">
        <f t="shared" si="67"/>
        <v>10772.58</v>
      </c>
      <c r="AH287" s="70">
        <f t="shared" si="64"/>
        <v>362.99</v>
      </c>
      <c r="AI287" s="37">
        <v>0.53</v>
      </c>
      <c r="AJ287" s="36">
        <v>5339.39</v>
      </c>
      <c r="AK287" s="69">
        <f t="shared" si="68"/>
        <v>10074.32</v>
      </c>
      <c r="AL287" s="69">
        <f t="shared" si="69"/>
        <v>11004.02</v>
      </c>
      <c r="AM287" s="70">
        <f t="shared" si="65"/>
        <v>929.7</v>
      </c>
      <c r="AN287" s="36">
        <v>0</v>
      </c>
      <c r="AO287" s="36">
        <v>0</v>
      </c>
    </row>
    <row r="288" spans="1:41" s="3" customFormat="1">
      <c r="A288" s="55" t="s">
        <v>594</v>
      </c>
      <c r="B288" s="55" t="s">
        <v>188</v>
      </c>
      <c r="C288" s="55" t="s">
        <v>1109</v>
      </c>
      <c r="D288" s="36">
        <v>0</v>
      </c>
      <c r="E288" s="36">
        <v>1014241.54</v>
      </c>
      <c r="F288" s="36">
        <v>520048.96</v>
      </c>
      <c r="G288" s="36">
        <v>55901233.869999997</v>
      </c>
      <c r="H288" s="36">
        <v>11529348.34</v>
      </c>
      <c r="I288" s="36">
        <v>5974345.7199999997</v>
      </c>
      <c r="J288" s="36">
        <v>11909347.189999999</v>
      </c>
      <c r="K288" s="36">
        <v>7072478.3899999997</v>
      </c>
      <c r="L288" s="36">
        <v>931705.19</v>
      </c>
      <c r="M288" s="36">
        <v>16768857.560000001</v>
      </c>
      <c r="N288" s="49">
        <v>3.04E-2</v>
      </c>
      <c r="O288" s="64">
        <v>0.1401</v>
      </c>
      <c r="P288" s="36">
        <v>0</v>
      </c>
      <c r="Q288" s="36">
        <v>19491.48</v>
      </c>
      <c r="R288" s="36">
        <v>0</v>
      </c>
      <c r="S288" s="36">
        <v>531638.95000000007</v>
      </c>
      <c r="T288" s="36">
        <v>12854.249999999884</v>
      </c>
      <c r="U288" s="36">
        <v>16851.099999999999</v>
      </c>
      <c r="V288" s="36">
        <v>0</v>
      </c>
      <c r="W288" s="36">
        <v>0</v>
      </c>
      <c r="X288" s="36">
        <v>0</v>
      </c>
      <c r="Y288" s="36">
        <v>0</v>
      </c>
      <c r="Z288" s="36">
        <v>20593.349999999999</v>
      </c>
      <c r="AA288" s="36">
        <v>621834.62</v>
      </c>
      <c r="AB288" s="36">
        <v>3040805.77</v>
      </c>
      <c r="AC288" s="36">
        <v>15987691.6</v>
      </c>
      <c r="AD288" s="37">
        <v>1526.38</v>
      </c>
      <c r="AE288" s="36">
        <v>15311802.85</v>
      </c>
      <c r="AF288" s="69">
        <f t="shared" si="66"/>
        <v>10031.450000000001</v>
      </c>
      <c r="AG288" s="69">
        <f t="shared" si="67"/>
        <v>10474.25</v>
      </c>
      <c r="AH288" s="70">
        <f t="shared" si="64"/>
        <v>442.8</v>
      </c>
      <c r="AI288" s="37">
        <v>293.74</v>
      </c>
      <c r="AJ288" s="36">
        <v>2894122.24</v>
      </c>
      <c r="AK288" s="69">
        <f t="shared" si="68"/>
        <v>9852.67</v>
      </c>
      <c r="AL288" s="69">
        <f t="shared" si="69"/>
        <v>10352.030000000001</v>
      </c>
      <c r="AM288" s="70">
        <f t="shared" si="65"/>
        <v>499.36</v>
      </c>
      <c r="AN288" s="36">
        <v>0</v>
      </c>
      <c r="AO288" s="36">
        <v>0</v>
      </c>
    </row>
    <row r="289" spans="1:41" s="3" customFormat="1">
      <c r="A289" s="55" t="s">
        <v>493</v>
      </c>
      <c r="B289" s="55" t="s">
        <v>86</v>
      </c>
      <c r="C289" s="55" t="s">
        <v>1110</v>
      </c>
      <c r="D289" s="36">
        <v>6998</v>
      </c>
      <c r="E289" s="36">
        <v>5386.72</v>
      </c>
      <c r="F289" s="36">
        <v>0</v>
      </c>
      <c r="G289" s="36">
        <v>347093.79</v>
      </c>
      <c r="H289" s="36">
        <v>31538.37</v>
      </c>
      <c r="I289" s="36">
        <v>58600.74</v>
      </c>
      <c r="J289" s="36">
        <v>98787.21</v>
      </c>
      <c r="K289" s="36">
        <v>0</v>
      </c>
      <c r="L289" s="36">
        <v>0</v>
      </c>
      <c r="M289" s="36">
        <v>129420.71</v>
      </c>
      <c r="N289" s="49">
        <v>0.16239999999999999</v>
      </c>
      <c r="O289" s="64">
        <v>0.32740000000000002</v>
      </c>
      <c r="P289" s="36">
        <v>0</v>
      </c>
      <c r="Q289" s="36">
        <v>0</v>
      </c>
      <c r="R289" s="36">
        <v>0</v>
      </c>
      <c r="S289" s="36">
        <v>0</v>
      </c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972.36</v>
      </c>
      <c r="AC289" s="36">
        <v>42123.83</v>
      </c>
      <c r="AD289" s="37">
        <v>4.25</v>
      </c>
      <c r="AE289" s="36">
        <v>39329.769999999997</v>
      </c>
      <c r="AF289" s="69">
        <f t="shared" si="66"/>
        <v>9254.06</v>
      </c>
      <c r="AG289" s="69">
        <f t="shared" si="67"/>
        <v>9911.49</v>
      </c>
      <c r="AH289" s="70">
        <f t="shared" si="64"/>
        <v>657.43</v>
      </c>
      <c r="AI289" s="37">
        <v>0.11</v>
      </c>
      <c r="AJ289" s="36">
        <v>998.25</v>
      </c>
      <c r="AK289" s="69">
        <f t="shared" si="68"/>
        <v>9075</v>
      </c>
      <c r="AL289" s="69">
        <f t="shared" si="69"/>
        <v>8839.64</v>
      </c>
      <c r="AM289" s="70">
        <f t="shared" si="65"/>
        <v>-235.36</v>
      </c>
      <c r="AN289" s="36">
        <v>0</v>
      </c>
      <c r="AO289" s="36">
        <v>0</v>
      </c>
    </row>
    <row r="290" spans="1:41" s="3" customFormat="1">
      <c r="A290" s="55" t="s">
        <v>520</v>
      </c>
      <c r="B290" s="55" t="s">
        <v>113</v>
      </c>
      <c r="C290" s="55" t="s">
        <v>1111</v>
      </c>
      <c r="D290" s="36">
        <v>0</v>
      </c>
      <c r="E290" s="36">
        <v>0</v>
      </c>
      <c r="F290" s="36">
        <v>0</v>
      </c>
      <c r="G290" s="36">
        <v>15350303</v>
      </c>
      <c r="H290" s="36">
        <v>2612735.41</v>
      </c>
      <c r="I290" s="36">
        <v>0</v>
      </c>
      <c r="J290" s="36">
        <v>1295004.3500000001</v>
      </c>
      <c r="K290" s="36">
        <v>1143422.8500000001</v>
      </c>
      <c r="L290" s="36">
        <v>334132.27</v>
      </c>
      <c r="M290" s="36">
        <v>6525683.8899999997</v>
      </c>
      <c r="N290" s="49">
        <v>2.9100000000000001E-2</v>
      </c>
      <c r="O290" s="64">
        <v>0.15160000000000001</v>
      </c>
      <c r="P290" s="36">
        <v>0</v>
      </c>
      <c r="Q290" s="36">
        <v>0</v>
      </c>
      <c r="R290" s="36">
        <v>0</v>
      </c>
      <c r="S290" s="36">
        <v>0</v>
      </c>
      <c r="T290" s="36">
        <v>0</v>
      </c>
      <c r="U290" s="36">
        <v>0</v>
      </c>
      <c r="V290" s="36">
        <v>0</v>
      </c>
      <c r="W290" s="36">
        <v>0</v>
      </c>
      <c r="X290" s="36">
        <v>0</v>
      </c>
      <c r="Y290" s="36">
        <v>0</v>
      </c>
      <c r="Z290" s="36">
        <v>2673.43</v>
      </c>
      <c r="AA290" s="36">
        <v>365476.21</v>
      </c>
      <c r="AB290" s="36">
        <v>411964.52</v>
      </c>
      <c r="AC290" s="36">
        <v>6075318.0499999998</v>
      </c>
      <c r="AD290" s="37">
        <v>513.71</v>
      </c>
      <c r="AE290" s="36">
        <v>5444633.5499999998</v>
      </c>
      <c r="AF290" s="69">
        <f t="shared" si="66"/>
        <v>10598.65</v>
      </c>
      <c r="AG290" s="69">
        <f t="shared" si="67"/>
        <v>11826.36</v>
      </c>
      <c r="AH290" s="70">
        <f t="shared" si="64"/>
        <v>1227.71</v>
      </c>
      <c r="AI290" s="37">
        <v>37.61</v>
      </c>
      <c r="AJ290" s="36">
        <v>391972.88</v>
      </c>
      <c r="AK290" s="69">
        <f t="shared" si="68"/>
        <v>10422.040000000001</v>
      </c>
      <c r="AL290" s="69">
        <f t="shared" si="69"/>
        <v>10953.59</v>
      </c>
      <c r="AM290" s="70">
        <f t="shared" si="65"/>
        <v>531.54999999999995</v>
      </c>
      <c r="AN290" s="36">
        <v>0</v>
      </c>
      <c r="AO290" s="36">
        <v>0</v>
      </c>
    </row>
    <row r="291" spans="1:41" s="3" customFormat="1">
      <c r="A291" s="55" t="s">
        <v>684</v>
      </c>
      <c r="B291" s="55" t="s">
        <v>281</v>
      </c>
      <c r="C291" s="55" t="s">
        <v>1112</v>
      </c>
      <c r="D291" s="36">
        <v>0</v>
      </c>
      <c r="E291" s="36">
        <v>4651.75</v>
      </c>
      <c r="F291" s="36">
        <v>0</v>
      </c>
      <c r="G291" s="36">
        <v>352123.86</v>
      </c>
      <c r="H291" s="36">
        <v>43267.96</v>
      </c>
      <c r="I291" s="36">
        <v>63148.61</v>
      </c>
      <c r="J291" s="36">
        <v>90243.51</v>
      </c>
      <c r="K291" s="36">
        <v>0</v>
      </c>
      <c r="L291" s="36">
        <v>5681.2</v>
      </c>
      <c r="M291" s="36">
        <v>266834.09999999998</v>
      </c>
      <c r="N291" s="49">
        <v>6.0400000000000002E-2</v>
      </c>
      <c r="O291" s="64">
        <v>0.2354</v>
      </c>
      <c r="P291" s="36">
        <v>0</v>
      </c>
      <c r="Q291" s="36">
        <v>0</v>
      </c>
      <c r="R291" s="36">
        <v>0</v>
      </c>
      <c r="S291" s="36">
        <v>0</v>
      </c>
      <c r="T291" s="36">
        <v>0</v>
      </c>
      <c r="U291" s="36">
        <v>0</v>
      </c>
      <c r="V291" s="36">
        <v>0</v>
      </c>
      <c r="W291" s="36">
        <v>0</v>
      </c>
      <c r="X291" s="36">
        <v>0</v>
      </c>
      <c r="Y291" s="36">
        <v>0</v>
      </c>
      <c r="Z291" s="36">
        <v>7517.63</v>
      </c>
      <c r="AA291" s="36">
        <v>23741.72</v>
      </c>
      <c r="AB291" s="36">
        <v>64003.4</v>
      </c>
      <c r="AC291" s="36">
        <v>212197.08</v>
      </c>
      <c r="AD291" s="37">
        <v>21.63</v>
      </c>
      <c r="AE291" s="36">
        <v>201419.45</v>
      </c>
      <c r="AF291" s="69">
        <f t="shared" si="66"/>
        <v>9312.0400000000009</v>
      </c>
      <c r="AG291" s="69">
        <f t="shared" si="67"/>
        <v>9810.31</v>
      </c>
      <c r="AH291" s="70">
        <f t="shared" si="64"/>
        <v>498.27</v>
      </c>
      <c r="AI291" s="37">
        <v>6.67</v>
      </c>
      <c r="AJ291" s="36">
        <v>60985.279999999999</v>
      </c>
      <c r="AK291" s="69">
        <f t="shared" si="68"/>
        <v>9143.2199999999993</v>
      </c>
      <c r="AL291" s="69">
        <f t="shared" si="69"/>
        <v>9595.7099999999991</v>
      </c>
      <c r="AM291" s="70">
        <f t="shared" si="65"/>
        <v>452.49</v>
      </c>
      <c r="AN291" s="36">
        <v>0</v>
      </c>
      <c r="AO291" s="36">
        <v>0</v>
      </c>
    </row>
    <row r="292" spans="1:41" s="3" customFormat="1">
      <c r="A292" s="55" t="s">
        <v>666</v>
      </c>
      <c r="B292" s="55" t="s">
        <v>263</v>
      </c>
      <c r="C292" s="55" t="s">
        <v>1113</v>
      </c>
      <c r="D292" s="36">
        <v>0</v>
      </c>
      <c r="E292" s="36">
        <v>0</v>
      </c>
      <c r="F292" s="36">
        <v>0</v>
      </c>
      <c r="G292" s="36">
        <v>2158368.09</v>
      </c>
      <c r="H292" s="36">
        <v>381753.14</v>
      </c>
      <c r="I292" s="36">
        <v>278163.96000000002</v>
      </c>
      <c r="J292" s="36">
        <v>431219.13</v>
      </c>
      <c r="K292" s="36">
        <v>36143.730000000003</v>
      </c>
      <c r="L292" s="36">
        <v>38886.629999999997</v>
      </c>
      <c r="M292" s="36">
        <v>1306174.43</v>
      </c>
      <c r="N292" s="49">
        <v>1.6500000000000001E-2</v>
      </c>
      <c r="O292" s="64">
        <v>0.17050000000000001</v>
      </c>
      <c r="P292" s="36">
        <v>0</v>
      </c>
      <c r="Q292" s="36">
        <v>0</v>
      </c>
      <c r="R292" s="36">
        <v>0</v>
      </c>
      <c r="S292" s="36">
        <v>0</v>
      </c>
      <c r="T292" s="36">
        <v>0</v>
      </c>
      <c r="U292" s="36">
        <v>0</v>
      </c>
      <c r="V292" s="36">
        <v>0</v>
      </c>
      <c r="W292" s="36">
        <v>0</v>
      </c>
      <c r="X292" s="36">
        <v>0</v>
      </c>
      <c r="Y292" s="36">
        <v>0</v>
      </c>
      <c r="Z292" s="36">
        <v>28963.22</v>
      </c>
      <c r="AA292" s="36">
        <v>48081.71</v>
      </c>
      <c r="AB292" s="36">
        <v>267277.7</v>
      </c>
      <c r="AC292" s="36">
        <v>892856.26</v>
      </c>
      <c r="AD292" s="37">
        <v>88.44</v>
      </c>
      <c r="AE292" s="36">
        <v>819380.43</v>
      </c>
      <c r="AF292" s="69">
        <f t="shared" si="66"/>
        <v>9264.82</v>
      </c>
      <c r="AG292" s="69">
        <f t="shared" si="67"/>
        <v>10095.620000000001</v>
      </c>
      <c r="AH292" s="70">
        <f t="shared" si="64"/>
        <v>830.8</v>
      </c>
      <c r="AI292" s="37">
        <v>27.99</v>
      </c>
      <c r="AJ292" s="36">
        <v>254269.65</v>
      </c>
      <c r="AK292" s="69">
        <f t="shared" si="68"/>
        <v>9084.2999999999993</v>
      </c>
      <c r="AL292" s="69">
        <f t="shared" si="69"/>
        <v>9549.0400000000009</v>
      </c>
      <c r="AM292" s="70">
        <f t="shared" si="65"/>
        <v>464.74</v>
      </c>
      <c r="AN292" s="36">
        <v>0</v>
      </c>
      <c r="AO292" s="36">
        <v>0</v>
      </c>
    </row>
    <row r="293" spans="1:41" s="3" customFormat="1">
      <c r="A293" s="55" t="s">
        <v>534</v>
      </c>
      <c r="B293" s="55" t="s">
        <v>127</v>
      </c>
      <c r="C293" s="55" t="s">
        <v>1114</v>
      </c>
      <c r="D293" s="36">
        <v>0</v>
      </c>
      <c r="E293" s="36">
        <v>0</v>
      </c>
      <c r="F293" s="36">
        <v>0</v>
      </c>
      <c r="G293" s="36">
        <v>473306.36</v>
      </c>
      <c r="H293" s="36">
        <v>32104.05</v>
      </c>
      <c r="I293" s="36">
        <v>0</v>
      </c>
      <c r="J293" s="36">
        <v>90023.14</v>
      </c>
      <c r="K293" s="36">
        <v>7739.33</v>
      </c>
      <c r="L293" s="36">
        <v>0</v>
      </c>
      <c r="M293" s="36">
        <v>280313.17</v>
      </c>
      <c r="N293" s="49">
        <v>5.2200000000000003E-2</v>
      </c>
      <c r="O293" s="64">
        <v>0.27260000000000001</v>
      </c>
      <c r="P293" s="36">
        <v>0</v>
      </c>
      <c r="Q293" s="36">
        <v>0</v>
      </c>
      <c r="R293" s="36">
        <v>0</v>
      </c>
      <c r="S293" s="36">
        <v>0</v>
      </c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11294.83</v>
      </c>
      <c r="AB293" s="36">
        <v>96011.53</v>
      </c>
      <c r="AC293" s="36">
        <v>176635.22</v>
      </c>
      <c r="AD293" s="37">
        <v>17.75</v>
      </c>
      <c r="AE293" s="36">
        <v>171258.93</v>
      </c>
      <c r="AF293" s="69">
        <f t="shared" si="66"/>
        <v>9648.39</v>
      </c>
      <c r="AG293" s="69">
        <f t="shared" si="67"/>
        <v>9951.2800000000007</v>
      </c>
      <c r="AH293" s="70">
        <f t="shared" si="64"/>
        <v>302.89</v>
      </c>
      <c r="AI293" s="37">
        <v>9.64</v>
      </c>
      <c r="AJ293" s="36">
        <v>91229.75</v>
      </c>
      <c r="AK293" s="69">
        <f t="shared" si="68"/>
        <v>9463.67</v>
      </c>
      <c r="AL293" s="69">
        <f t="shared" si="69"/>
        <v>9959.7000000000007</v>
      </c>
      <c r="AM293" s="70">
        <f t="shared" si="65"/>
        <v>496.03</v>
      </c>
      <c r="AN293" s="36">
        <v>0</v>
      </c>
      <c r="AO293" s="36">
        <v>0</v>
      </c>
    </row>
    <row r="294" spans="1:41" s="3" customFormat="1">
      <c r="A294" s="55" t="s">
        <v>555</v>
      </c>
      <c r="B294" s="55" t="s">
        <v>148</v>
      </c>
      <c r="C294" s="55" t="s">
        <v>1115</v>
      </c>
      <c r="D294" s="36">
        <v>0</v>
      </c>
      <c r="E294" s="36">
        <v>0</v>
      </c>
      <c r="F294" s="36">
        <v>6292.1</v>
      </c>
      <c r="G294" s="36">
        <v>1553060.82</v>
      </c>
      <c r="H294" s="36">
        <v>380254.2</v>
      </c>
      <c r="I294" s="36">
        <v>197858.35</v>
      </c>
      <c r="J294" s="36">
        <v>313011.7</v>
      </c>
      <c r="K294" s="36">
        <v>16668.439999999999</v>
      </c>
      <c r="L294" s="36">
        <v>28515.200000000001</v>
      </c>
      <c r="M294" s="36">
        <v>833343.7</v>
      </c>
      <c r="N294" s="49">
        <v>6.7999999999999996E-3</v>
      </c>
      <c r="O294" s="64">
        <v>0.18279999999999999</v>
      </c>
      <c r="P294" s="36">
        <v>0</v>
      </c>
      <c r="Q294" s="36">
        <v>0</v>
      </c>
      <c r="R294" s="36">
        <v>0</v>
      </c>
      <c r="S294" s="36">
        <v>0</v>
      </c>
      <c r="T294" s="36">
        <v>0</v>
      </c>
      <c r="U294" s="36">
        <v>0</v>
      </c>
      <c r="V294" s="36">
        <v>0</v>
      </c>
      <c r="W294" s="36">
        <v>0</v>
      </c>
      <c r="X294" s="36">
        <v>0</v>
      </c>
      <c r="Y294" s="36">
        <v>0</v>
      </c>
      <c r="Z294" s="36">
        <v>34248.03</v>
      </c>
      <c r="AA294" s="36">
        <v>9739.86</v>
      </c>
      <c r="AB294" s="36">
        <v>277808.51</v>
      </c>
      <c r="AC294" s="36">
        <v>669626.27</v>
      </c>
      <c r="AD294" s="37">
        <v>64.709999999999994</v>
      </c>
      <c r="AE294" s="36">
        <v>602671.84</v>
      </c>
      <c r="AF294" s="69">
        <f t="shared" si="66"/>
        <v>9313.43</v>
      </c>
      <c r="AG294" s="69">
        <f t="shared" si="67"/>
        <v>10348.11</v>
      </c>
      <c r="AH294" s="70">
        <f t="shared" si="64"/>
        <v>1034.68</v>
      </c>
      <c r="AI294" s="37">
        <v>28.94</v>
      </c>
      <c r="AJ294" s="36">
        <v>264200.62</v>
      </c>
      <c r="AK294" s="69">
        <f t="shared" si="68"/>
        <v>9129.25</v>
      </c>
      <c r="AL294" s="69">
        <f t="shared" si="69"/>
        <v>9599.4599999999991</v>
      </c>
      <c r="AM294" s="70">
        <f t="shared" si="65"/>
        <v>470.21</v>
      </c>
      <c r="AN294" s="36">
        <v>0</v>
      </c>
      <c r="AO294" s="36">
        <v>0</v>
      </c>
    </row>
    <row r="295" spans="1:41" s="3" customFormat="1">
      <c r="A295" s="55" t="s">
        <v>582</v>
      </c>
      <c r="B295" s="55" t="s">
        <v>175</v>
      </c>
      <c r="C295" s="55" t="s">
        <v>1116</v>
      </c>
      <c r="D295" s="36">
        <v>0</v>
      </c>
      <c r="E295" s="36">
        <v>0</v>
      </c>
      <c r="F295" s="36">
        <v>20559.84</v>
      </c>
      <c r="G295" s="36">
        <v>1545647.17</v>
      </c>
      <c r="H295" s="36">
        <v>174774.58</v>
      </c>
      <c r="I295" s="36">
        <v>348354.85</v>
      </c>
      <c r="J295" s="36">
        <v>550695.31000000006</v>
      </c>
      <c r="K295" s="36">
        <v>217395.5</v>
      </c>
      <c r="L295" s="36">
        <v>33037.39</v>
      </c>
      <c r="M295" s="36">
        <v>1187957.3700000001</v>
      </c>
      <c r="N295" s="49">
        <v>1.84E-2</v>
      </c>
      <c r="O295" s="64">
        <v>0.17960000000000001</v>
      </c>
      <c r="P295" s="36">
        <v>0</v>
      </c>
      <c r="Q295" s="36">
        <v>0</v>
      </c>
      <c r="R295" s="36">
        <v>0</v>
      </c>
      <c r="S295" s="36">
        <v>0</v>
      </c>
      <c r="T295" s="36">
        <v>0</v>
      </c>
      <c r="U295" s="36">
        <v>0</v>
      </c>
      <c r="V295" s="36">
        <v>0</v>
      </c>
      <c r="W295" s="36">
        <v>0</v>
      </c>
      <c r="X295" s="36">
        <v>0</v>
      </c>
      <c r="Y295" s="36">
        <v>0</v>
      </c>
      <c r="Z295" s="36">
        <v>0</v>
      </c>
      <c r="AA295" s="36">
        <v>0</v>
      </c>
      <c r="AB295" s="36">
        <v>77262.05</v>
      </c>
      <c r="AC295" s="36">
        <v>438123.33</v>
      </c>
      <c r="AD295" s="37">
        <v>43.82</v>
      </c>
      <c r="AE295" s="36">
        <v>406071.7</v>
      </c>
      <c r="AF295" s="69">
        <f t="shared" si="66"/>
        <v>9266.81</v>
      </c>
      <c r="AG295" s="69">
        <f t="shared" si="67"/>
        <v>9998.25</v>
      </c>
      <c r="AH295" s="70">
        <f t="shared" si="64"/>
        <v>731.44</v>
      </c>
      <c r="AI295" s="37">
        <v>8.08</v>
      </c>
      <c r="AJ295" s="36">
        <v>73421.77</v>
      </c>
      <c r="AK295" s="69">
        <f t="shared" si="68"/>
        <v>9086.85</v>
      </c>
      <c r="AL295" s="69">
        <f t="shared" si="69"/>
        <v>9562.1299999999992</v>
      </c>
      <c r="AM295" s="70">
        <f t="shared" si="65"/>
        <v>475.28</v>
      </c>
      <c r="AN295" s="36">
        <v>0</v>
      </c>
      <c r="AO295" s="36">
        <v>0</v>
      </c>
    </row>
    <row r="296" spans="1:41" s="3" customFormat="1">
      <c r="A296" s="55" t="s">
        <v>702</v>
      </c>
      <c r="B296" s="55" t="s">
        <v>300</v>
      </c>
      <c r="C296" s="55" t="s">
        <v>1117</v>
      </c>
      <c r="D296" s="36">
        <v>0</v>
      </c>
      <c r="E296" s="36">
        <v>228023.56</v>
      </c>
      <c r="F296" s="36">
        <v>82933.78</v>
      </c>
      <c r="G296" s="36">
        <v>5940147.3200000003</v>
      </c>
      <c r="H296" s="36">
        <v>652118.36</v>
      </c>
      <c r="I296" s="36">
        <v>1089042.23</v>
      </c>
      <c r="J296" s="36">
        <v>2556985.35</v>
      </c>
      <c r="K296" s="36">
        <v>1998567.27</v>
      </c>
      <c r="L296" s="36">
        <v>120451.06</v>
      </c>
      <c r="M296" s="36">
        <v>2044821.7</v>
      </c>
      <c r="N296" s="49">
        <v>6.2E-2</v>
      </c>
      <c r="O296" s="64">
        <v>0.187</v>
      </c>
      <c r="P296" s="36">
        <v>0</v>
      </c>
      <c r="Q296" s="36">
        <v>0</v>
      </c>
      <c r="R296" s="36">
        <v>0</v>
      </c>
      <c r="S296" s="36">
        <v>0</v>
      </c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135759.57</v>
      </c>
      <c r="AA296" s="36">
        <v>435716.92</v>
      </c>
      <c r="AB296" s="36">
        <v>1521296.01</v>
      </c>
      <c r="AC296" s="36">
        <v>5096568.32</v>
      </c>
      <c r="AD296" s="37">
        <v>530.16</v>
      </c>
      <c r="AE296" s="36">
        <v>4912350.8600000003</v>
      </c>
      <c r="AF296" s="69">
        <f t="shared" si="66"/>
        <v>9265.7900000000009</v>
      </c>
      <c r="AG296" s="69">
        <f t="shared" si="67"/>
        <v>9613.26</v>
      </c>
      <c r="AH296" s="70">
        <f t="shared" si="64"/>
        <v>347.47</v>
      </c>
      <c r="AI296" s="37">
        <v>159.32</v>
      </c>
      <c r="AJ296" s="36">
        <v>1447332.75</v>
      </c>
      <c r="AK296" s="69">
        <f t="shared" si="68"/>
        <v>9084.44</v>
      </c>
      <c r="AL296" s="69">
        <f t="shared" si="69"/>
        <v>9548.68</v>
      </c>
      <c r="AM296" s="70">
        <f t="shared" si="65"/>
        <v>464.24</v>
      </c>
      <c r="AN296" s="36">
        <v>0</v>
      </c>
      <c r="AO296" s="36">
        <v>0</v>
      </c>
    </row>
    <row r="297" spans="1:41" s="3" customFormat="1">
      <c r="A297" s="55" t="s">
        <v>671</v>
      </c>
      <c r="B297" s="55" t="s">
        <v>268</v>
      </c>
      <c r="C297" s="55" t="s">
        <v>1118</v>
      </c>
      <c r="D297" s="36">
        <v>0</v>
      </c>
      <c r="E297" s="36">
        <v>0</v>
      </c>
      <c r="F297" s="36">
        <v>0</v>
      </c>
      <c r="G297" s="36">
        <v>132825.18</v>
      </c>
      <c r="H297" s="36">
        <v>9517.67</v>
      </c>
      <c r="I297" s="36">
        <v>74956.95</v>
      </c>
      <c r="J297" s="36">
        <v>90446.62</v>
      </c>
      <c r="K297" s="36">
        <v>55654.96</v>
      </c>
      <c r="L297" s="36">
        <v>7040.77</v>
      </c>
      <c r="M297" s="36">
        <v>223621.51</v>
      </c>
      <c r="N297" s="49">
        <v>3.3399999999999999E-2</v>
      </c>
      <c r="O297" s="64">
        <v>0.31490000000000001</v>
      </c>
      <c r="P297" s="36">
        <v>0</v>
      </c>
      <c r="Q297" s="36">
        <v>0</v>
      </c>
      <c r="R297" s="36">
        <v>0</v>
      </c>
      <c r="S297" s="36">
        <v>0</v>
      </c>
      <c r="T297" s="36">
        <v>0</v>
      </c>
      <c r="U297" s="36">
        <v>0</v>
      </c>
      <c r="V297" s="36">
        <v>0</v>
      </c>
      <c r="W297" s="36">
        <v>0</v>
      </c>
      <c r="X297" s="36">
        <v>0</v>
      </c>
      <c r="Y297" s="36">
        <v>0</v>
      </c>
      <c r="Z297" s="36">
        <v>0</v>
      </c>
      <c r="AA297" s="36">
        <v>0</v>
      </c>
      <c r="AB297" s="36">
        <v>20486.919999999998</v>
      </c>
      <c r="AC297" s="36">
        <v>140056.57999999999</v>
      </c>
      <c r="AD297" s="37">
        <v>14.56</v>
      </c>
      <c r="AE297" s="36">
        <v>135159.31</v>
      </c>
      <c r="AF297" s="69">
        <f t="shared" si="66"/>
        <v>9282.92</v>
      </c>
      <c r="AG297" s="69">
        <f t="shared" si="67"/>
        <v>9619.27</v>
      </c>
      <c r="AH297" s="70">
        <f t="shared" si="64"/>
        <v>336.35</v>
      </c>
      <c r="AI297" s="37">
        <v>2.15</v>
      </c>
      <c r="AJ297" s="36">
        <v>19552.95</v>
      </c>
      <c r="AK297" s="69">
        <f t="shared" si="68"/>
        <v>9094.4</v>
      </c>
      <c r="AL297" s="69">
        <f t="shared" si="69"/>
        <v>9528.7999999999993</v>
      </c>
      <c r="AM297" s="70">
        <f t="shared" si="65"/>
        <v>434.4</v>
      </c>
      <c r="AN297" s="36">
        <v>0</v>
      </c>
      <c r="AO297" s="36">
        <v>0</v>
      </c>
    </row>
    <row r="298" spans="1:41" s="3" customFormat="1">
      <c r="A298" s="55" t="s">
        <v>456</v>
      </c>
      <c r="B298" s="55" t="s">
        <v>49</v>
      </c>
      <c r="C298" s="55" t="s">
        <v>1119</v>
      </c>
      <c r="D298" s="36">
        <v>0</v>
      </c>
      <c r="E298" s="36">
        <v>20335.27</v>
      </c>
      <c r="F298" s="36">
        <v>0</v>
      </c>
      <c r="G298" s="36">
        <v>0</v>
      </c>
      <c r="H298" s="36">
        <v>0</v>
      </c>
      <c r="I298" s="36">
        <v>0</v>
      </c>
      <c r="J298" s="36">
        <v>210859.54</v>
      </c>
      <c r="K298" s="36">
        <v>0</v>
      </c>
      <c r="L298" s="36">
        <v>0</v>
      </c>
      <c r="M298" s="36">
        <v>622671.21</v>
      </c>
      <c r="N298" s="49">
        <v>1.95E-2</v>
      </c>
      <c r="O298" s="64">
        <v>0.19439999999999999</v>
      </c>
      <c r="P298" s="36">
        <v>0</v>
      </c>
      <c r="Q298" s="36">
        <v>0</v>
      </c>
      <c r="R298" s="36">
        <v>0</v>
      </c>
      <c r="S298" s="36">
        <v>0</v>
      </c>
      <c r="T298" s="36">
        <v>0</v>
      </c>
      <c r="U298" s="36">
        <v>0</v>
      </c>
      <c r="V298" s="36">
        <v>0</v>
      </c>
      <c r="W298" s="36">
        <v>0</v>
      </c>
      <c r="X298" s="36">
        <v>0</v>
      </c>
      <c r="Y298" s="36">
        <v>0</v>
      </c>
      <c r="Z298" s="36">
        <v>10865.68</v>
      </c>
      <c r="AA298" s="36">
        <v>0</v>
      </c>
      <c r="AB298" s="36">
        <v>110754.77</v>
      </c>
      <c r="AC298" s="36">
        <v>318131.08</v>
      </c>
      <c r="AD298" s="37">
        <v>29.77</v>
      </c>
      <c r="AE298" s="36">
        <v>277229.48</v>
      </c>
      <c r="AF298" s="69">
        <f t="shared" si="66"/>
        <v>9312.3799999999992</v>
      </c>
      <c r="AG298" s="69">
        <f t="shared" si="67"/>
        <v>10686.3</v>
      </c>
      <c r="AH298" s="70">
        <f t="shared" si="64"/>
        <v>1373.92</v>
      </c>
      <c r="AI298" s="37">
        <v>11.53</v>
      </c>
      <c r="AJ298" s="36">
        <v>105319.55</v>
      </c>
      <c r="AK298" s="69">
        <f t="shared" si="68"/>
        <v>9134.39</v>
      </c>
      <c r="AL298" s="69">
        <f t="shared" si="69"/>
        <v>9605.7900000000009</v>
      </c>
      <c r="AM298" s="70">
        <f t="shared" si="65"/>
        <v>471.4</v>
      </c>
      <c r="AN298" s="36">
        <v>0</v>
      </c>
      <c r="AO298" s="36">
        <v>0</v>
      </c>
    </row>
    <row r="299" spans="1:41" s="3" customFormat="1">
      <c r="A299" s="55" t="s">
        <v>541</v>
      </c>
      <c r="B299" s="55" t="s">
        <v>134</v>
      </c>
      <c r="C299" s="55" t="s">
        <v>1120</v>
      </c>
      <c r="D299" s="36">
        <v>0</v>
      </c>
      <c r="E299" s="36">
        <v>0</v>
      </c>
      <c r="F299" s="36">
        <v>0</v>
      </c>
      <c r="G299" s="36">
        <v>0</v>
      </c>
      <c r="H299" s="36">
        <v>0</v>
      </c>
      <c r="I299" s="36">
        <v>0</v>
      </c>
      <c r="J299" s="36">
        <v>39319.910000000003</v>
      </c>
      <c r="K299" s="36">
        <v>20257.560000000001</v>
      </c>
      <c r="L299" s="36">
        <v>6499.15</v>
      </c>
      <c r="M299" s="36">
        <v>161601.82</v>
      </c>
      <c r="N299" s="49">
        <v>3.7699999999999997E-2</v>
      </c>
      <c r="O299" s="64">
        <v>0.2039</v>
      </c>
      <c r="P299" s="36">
        <v>0</v>
      </c>
      <c r="Q299" s="36">
        <v>0</v>
      </c>
      <c r="R299" s="36">
        <v>0</v>
      </c>
      <c r="S299" s="36">
        <v>0</v>
      </c>
      <c r="T299" s="36">
        <v>0</v>
      </c>
      <c r="U299" s="36">
        <v>0</v>
      </c>
      <c r="V299" s="36">
        <v>0</v>
      </c>
      <c r="W299" s="36">
        <v>0</v>
      </c>
      <c r="X299" s="36">
        <v>0</v>
      </c>
      <c r="Y299" s="36">
        <v>0</v>
      </c>
      <c r="Z299" s="36">
        <v>0</v>
      </c>
      <c r="AA299" s="36">
        <v>0</v>
      </c>
      <c r="AB299" s="36">
        <v>0</v>
      </c>
      <c r="AC299" s="36">
        <v>7678.07</v>
      </c>
      <c r="AD299" s="37">
        <v>0.51</v>
      </c>
      <c r="AE299" s="36">
        <v>4704.7299999999996</v>
      </c>
      <c r="AF299" s="69">
        <f t="shared" si="66"/>
        <v>9224.9599999999991</v>
      </c>
      <c r="AG299" s="69">
        <f t="shared" si="67"/>
        <v>15055.04</v>
      </c>
      <c r="AH299" s="70">
        <f t="shared" si="64"/>
        <v>5830.08</v>
      </c>
      <c r="AI299" s="37">
        <v>0</v>
      </c>
      <c r="AJ299" s="36">
        <v>0</v>
      </c>
      <c r="AK299" s="69">
        <f t="shared" si="68"/>
        <v>0</v>
      </c>
      <c r="AL299" s="69">
        <f t="shared" si="69"/>
        <v>0</v>
      </c>
      <c r="AM299" s="70">
        <f t="shared" si="65"/>
        <v>0</v>
      </c>
      <c r="AN299" s="36">
        <v>0</v>
      </c>
      <c r="AO299" s="36">
        <v>0</v>
      </c>
    </row>
    <row r="300" spans="1:41" s="3" customFormat="1">
      <c r="A300" s="55" t="s">
        <v>517</v>
      </c>
      <c r="B300" s="55" t="s">
        <v>110</v>
      </c>
      <c r="C300" s="55" t="s">
        <v>1121</v>
      </c>
      <c r="D300" s="36">
        <v>0</v>
      </c>
      <c r="E300" s="36">
        <v>99243.7</v>
      </c>
      <c r="F300" s="36">
        <v>76663.56</v>
      </c>
      <c r="G300" s="36">
        <v>4945757.87</v>
      </c>
      <c r="H300" s="36">
        <v>898127.89</v>
      </c>
      <c r="I300" s="36">
        <v>1009660.16</v>
      </c>
      <c r="J300" s="36">
        <v>1648164.09</v>
      </c>
      <c r="K300" s="36">
        <v>2627312.6800000002</v>
      </c>
      <c r="L300" s="36">
        <v>99676.24</v>
      </c>
      <c r="M300" s="36">
        <v>1205477</v>
      </c>
      <c r="N300" s="49">
        <v>1.95E-2</v>
      </c>
      <c r="O300" s="64">
        <v>0.16850000000000001</v>
      </c>
      <c r="P300" s="36">
        <v>0</v>
      </c>
      <c r="Q300" s="36">
        <v>0</v>
      </c>
      <c r="R300" s="36">
        <v>0</v>
      </c>
      <c r="S300" s="36">
        <v>0</v>
      </c>
      <c r="T300" s="36">
        <v>0</v>
      </c>
      <c r="U300" s="36">
        <v>0</v>
      </c>
      <c r="V300" s="36">
        <v>0</v>
      </c>
      <c r="W300" s="36">
        <v>0</v>
      </c>
      <c r="X300" s="36">
        <v>0</v>
      </c>
      <c r="Y300" s="36">
        <v>0</v>
      </c>
      <c r="Z300" s="36">
        <v>0</v>
      </c>
      <c r="AA300" s="36">
        <v>64321.89</v>
      </c>
      <c r="AB300" s="36">
        <v>140503.62</v>
      </c>
      <c r="AC300" s="36">
        <v>1868878.36</v>
      </c>
      <c r="AD300" s="37">
        <v>164.2</v>
      </c>
      <c r="AE300" s="36">
        <v>1709845.28</v>
      </c>
      <c r="AF300" s="69">
        <f t="shared" si="66"/>
        <v>10413.19</v>
      </c>
      <c r="AG300" s="69">
        <f t="shared" si="67"/>
        <v>11381.72</v>
      </c>
      <c r="AH300" s="70">
        <f t="shared" si="64"/>
        <v>968.53</v>
      </c>
      <c r="AI300" s="37">
        <v>13.07</v>
      </c>
      <c r="AJ300" s="36">
        <v>133889.65</v>
      </c>
      <c r="AK300" s="69">
        <f t="shared" si="68"/>
        <v>10244.040000000001</v>
      </c>
      <c r="AL300" s="69">
        <f t="shared" si="69"/>
        <v>10750.09</v>
      </c>
      <c r="AM300" s="70">
        <f t="shared" si="65"/>
        <v>506.05</v>
      </c>
      <c r="AN300" s="36">
        <v>0</v>
      </c>
      <c r="AO300" s="36">
        <v>0</v>
      </c>
    </row>
    <row r="301" spans="1:41" s="3" customFormat="1">
      <c r="A301" s="55" t="s">
        <v>661</v>
      </c>
      <c r="B301" s="55" t="s">
        <v>258</v>
      </c>
      <c r="C301" s="55" t="s">
        <v>1122</v>
      </c>
      <c r="D301" s="36">
        <v>0</v>
      </c>
      <c r="E301" s="36">
        <v>127627.7</v>
      </c>
      <c r="F301" s="36">
        <v>0</v>
      </c>
      <c r="G301" s="36">
        <v>10621428.93</v>
      </c>
      <c r="H301" s="36">
        <v>2031155.33</v>
      </c>
      <c r="I301" s="36">
        <v>0</v>
      </c>
      <c r="J301" s="36">
        <v>1468376.41</v>
      </c>
      <c r="K301" s="36">
        <v>313352.33</v>
      </c>
      <c r="L301" s="36">
        <v>206456.58</v>
      </c>
      <c r="M301" s="36">
        <v>4650206.5</v>
      </c>
      <c r="N301" s="49">
        <v>3.3799999999999997E-2</v>
      </c>
      <c r="O301" s="64">
        <v>0.14080000000000001</v>
      </c>
      <c r="P301" s="36">
        <v>0</v>
      </c>
      <c r="Q301" s="36">
        <v>0</v>
      </c>
      <c r="R301" s="36">
        <v>0</v>
      </c>
      <c r="S301" s="36">
        <v>152011.6</v>
      </c>
      <c r="T301" s="36">
        <v>0</v>
      </c>
      <c r="U301" s="36">
        <v>5982.2</v>
      </c>
      <c r="V301" s="36">
        <v>0</v>
      </c>
      <c r="W301" s="36">
        <v>0</v>
      </c>
      <c r="X301" s="36">
        <v>0</v>
      </c>
      <c r="Y301" s="36">
        <v>0</v>
      </c>
      <c r="Z301" s="36">
        <v>125914.92</v>
      </c>
      <c r="AA301" s="36">
        <v>193079.75</v>
      </c>
      <c r="AB301" s="36">
        <v>1329173.1599999999</v>
      </c>
      <c r="AC301" s="36">
        <v>4070839.95</v>
      </c>
      <c r="AD301" s="37">
        <v>406.05</v>
      </c>
      <c r="AE301" s="36">
        <v>3762351.15</v>
      </c>
      <c r="AF301" s="69">
        <f t="shared" si="66"/>
        <v>9265.73</v>
      </c>
      <c r="AG301" s="69">
        <f t="shared" si="67"/>
        <v>10025.459999999999</v>
      </c>
      <c r="AH301" s="70">
        <f t="shared" si="64"/>
        <v>759.73</v>
      </c>
      <c r="AI301" s="37">
        <v>139.18</v>
      </c>
      <c r="AJ301" s="36">
        <v>1264384.69</v>
      </c>
      <c r="AK301" s="69">
        <f t="shared" si="68"/>
        <v>9084.5300000000007</v>
      </c>
      <c r="AL301" s="69">
        <f t="shared" si="69"/>
        <v>9550.0300000000007</v>
      </c>
      <c r="AM301" s="70">
        <f t="shared" si="65"/>
        <v>465.5</v>
      </c>
      <c r="AN301" s="36">
        <v>0</v>
      </c>
      <c r="AO301" s="36">
        <v>0</v>
      </c>
    </row>
    <row r="302" spans="1:41" s="3" customFormat="1">
      <c r="A302" s="55" t="s">
        <v>695</v>
      </c>
      <c r="B302" s="55" t="s">
        <v>292</v>
      </c>
      <c r="C302" s="55" t="s">
        <v>1123</v>
      </c>
      <c r="D302" s="36">
        <v>95300.78</v>
      </c>
      <c r="E302" s="36">
        <v>32573.71</v>
      </c>
      <c r="F302" s="36">
        <v>17048.91</v>
      </c>
      <c r="G302" s="36">
        <v>924893.8</v>
      </c>
      <c r="H302" s="36">
        <v>111746.39</v>
      </c>
      <c r="I302" s="36">
        <v>178076.95</v>
      </c>
      <c r="J302" s="36">
        <v>342722.26</v>
      </c>
      <c r="K302" s="36">
        <v>201722.56</v>
      </c>
      <c r="L302" s="36">
        <v>16356.22</v>
      </c>
      <c r="M302" s="36">
        <v>160120.99</v>
      </c>
      <c r="N302" s="49">
        <v>2.5600000000000001E-2</v>
      </c>
      <c r="O302" s="64">
        <v>0.2089</v>
      </c>
      <c r="P302" s="36">
        <v>0</v>
      </c>
      <c r="Q302" s="36">
        <v>0</v>
      </c>
      <c r="R302" s="36">
        <v>0</v>
      </c>
      <c r="S302" s="36">
        <v>0</v>
      </c>
      <c r="T302" s="36">
        <v>0</v>
      </c>
      <c r="U302" s="36">
        <v>0</v>
      </c>
      <c r="V302" s="36">
        <v>0</v>
      </c>
      <c r="W302" s="36">
        <v>0</v>
      </c>
      <c r="X302" s="36">
        <v>0</v>
      </c>
      <c r="Y302" s="36">
        <v>0</v>
      </c>
      <c r="Z302" s="36">
        <v>0</v>
      </c>
      <c r="AA302" s="36">
        <v>0</v>
      </c>
      <c r="AB302" s="36">
        <v>0</v>
      </c>
      <c r="AC302" s="36">
        <v>0</v>
      </c>
      <c r="AD302" s="37">
        <v>0</v>
      </c>
      <c r="AE302" s="36">
        <v>0</v>
      </c>
      <c r="AF302" s="69">
        <f t="shared" si="66"/>
        <v>0</v>
      </c>
      <c r="AG302" s="69">
        <f t="shared" si="67"/>
        <v>0</v>
      </c>
      <c r="AH302" s="70">
        <f t="shared" si="64"/>
        <v>0</v>
      </c>
      <c r="AI302" s="37">
        <v>0</v>
      </c>
      <c r="AJ302" s="36">
        <v>0</v>
      </c>
      <c r="AK302" s="69">
        <f t="shared" si="68"/>
        <v>0</v>
      </c>
      <c r="AL302" s="69">
        <f t="shared" si="69"/>
        <v>0</v>
      </c>
      <c r="AM302" s="70">
        <f t="shared" si="65"/>
        <v>0</v>
      </c>
      <c r="AN302" s="36">
        <v>0</v>
      </c>
      <c r="AO302" s="36">
        <v>0</v>
      </c>
    </row>
    <row r="303" spans="1:41" s="3" customFormat="1">
      <c r="A303" s="55" t="s">
        <v>596</v>
      </c>
      <c r="B303" s="55" t="s">
        <v>190</v>
      </c>
      <c r="C303" s="55" t="s">
        <v>1124</v>
      </c>
      <c r="D303" s="36">
        <v>0</v>
      </c>
      <c r="E303" s="36">
        <v>0</v>
      </c>
      <c r="F303" s="36">
        <v>0</v>
      </c>
      <c r="G303" s="36">
        <v>6632925.3799999999</v>
      </c>
      <c r="H303" s="36">
        <v>1460213.77</v>
      </c>
      <c r="I303" s="36">
        <v>0</v>
      </c>
      <c r="J303" s="36">
        <v>1578821.25</v>
      </c>
      <c r="K303" s="36">
        <v>736645.6</v>
      </c>
      <c r="L303" s="36">
        <v>188540.56</v>
      </c>
      <c r="M303" s="36">
        <v>3080597.02</v>
      </c>
      <c r="N303" s="49">
        <v>3.8199999999999998E-2</v>
      </c>
      <c r="O303" s="64">
        <v>0.15079999999999999</v>
      </c>
      <c r="P303" s="36">
        <v>0</v>
      </c>
      <c r="Q303" s="36">
        <v>0</v>
      </c>
      <c r="R303" s="36">
        <v>0</v>
      </c>
      <c r="S303" s="36">
        <v>0</v>
      </c>
      <c r="T303" s="36">
        <v>0</v>
      </c>
      <c r="U303" s="36">
        <v>0</v>
      </c>
      <c r="V303" s="36">
        <v>0</v>
      </c>
      <c r="W303" s="36">
        <v>0</v>
      </c>
      <c r="X303" s="36">
        <v>0</v>
      </c>
      <c r="Y303" s="36">
        <v>0</v>
      </c>
      <c r="Z303" s="36">
        <v>0</v>
      </c>
      <c r="AA303" s="36">
        <v>0</v>
      </c>
      <c r="AB303" s="36">
        <v>0</v>
      </c>
      <c r="AC303" s="36">
        <v>3175757.03</v>
      </c>
      <c r="AD303" s="37">
        <v>300.93</v>
      </c>
      <c r="AE303" s="36">
        <v>2959042.39</v>
      </c>
      <c r="AF303" s="69">
        <f t="shared" si="66"/>
        <v>9832.99</v>
      </c>
      <c r="AG303" s="69">
        <f t="shared" si="67"/>
        <v>10553.14</v>
      </c>
      <c r="AH303" s="70">
        <f t="shared" si="64"/>
        <v>720.15</v>
      </c>
      <c r="AI303" s="37">
        <v>0</v>
      </c>
      <c r="AJ303" s="36">
        <v>0</v>
      </c>
      <c r="AK303" s="69">
        <f t="shared" si="68"/>
        <v>0</v>
      </c>
      <c r="AL303" s="69">
        <f t="shared" si="69"/>
        <v>0</v>
      </c>
      <c r="AM303" s="70">
        <f t="shared" si="65"/>
        <v>0</v>
      </c>
      <c r="AN303" s="36">
        <v>0</v>
      </c>
      <c r="AO303" s="36">
        <v>0</v>
      </c>
    </row>
    <row r="304" spans="1:41" s="3" customFormat="1">
      <c r="A304" s="55" t="s">
        <v>652</v>
      </c>
      <c r="B304" s="55" t="s">
        <v>247</v>
      </c>
      <c r="C304" s="55" t="s">
        <v>1125</v>
      </c>
      <c r="D304" s="36">
        <v>0</v>
      </c>
      <c r="E304" s="36">
        <v>2417.7399999999998</v>
      </c>
      <c r="F304" s="36">
        <v>6836.19</v>
      </c>
      <c r="G304" s="36">
        <v>1208722.0900000001</v>
      </c>
      <c r="H304" s="36">
        <v>92974.88</v>
      </c>
      <c r="I304" s="36">
        <v>63583.43</v>
      </c>
      <c r="J304" s="36">
        <v>196599.54</v>
      </c>
      <c r="K304" s="36">
        <v>81350.06</v>
      </c>
      <c r="L304" s="36">
        <v>31195.95</v>
      </c>
      <c r="M304" s="36">
        <v>1327953.71</v>
      </c>
      <c r="N304" s="49">
        <v>7.1300000000000002E-2</v>
      </c>
      <c r="O304" s="64">
        <v>0.22739999999999999</v>
      </c>
      <c r="P304" s="36">
        <v>0</v>
      </c>
      <c r="Q304" s="36">
        <v>0</v>
      </c>
      <c r="R304" s="36">
        <v>0</v>
      </c>
      <c r="S304" s="36">
        <v>0</v>
      </c>
      <c r="T304" s="36">
        <v>0</v>
      </c>
      <c r="U304" s="36">
        <v>0</v>
      </c>
      <c r="V304" s="36">
        <v>0</v>
      </c>
      <c r="W304" s="36">
        <v>0</v>
      </c>
      <c r="X304" s="36">
        <v>0</v>
      </c>
      <c r="Y304" s="36">
        <v>0</v>
      </c>
      <c r="Z304" s="36">
        <v>0</v>
      </c>
      <c r="AA304" s="36">
        <v>0</v>
      </c>
      <c r="AB304" s="36">
        <v>0</v>
      </c>
      <c r="AC304" s="36">
        <v>1421.37</v>
      </c>
      <c r="AD304" s="37">
        <v>0</v>
      </c>
      <c r="AE304" s="36">
        <v>0</v>
      </c>
      <c r="AF304" s="69">
        <f t="shared" si="66"/>
        <v>0</v>
      </c>
      <c r="AG304" s="69">
        <f t="shared" si="67"/>
        <v>0</v>
      </c>
      <c r="AH304" s="70">
        <f t="shared" si="64"/>
        <v>0</v>
      </c>
      <c r="AI304" s="37">
        <v>0</v>
      </c>
      <c r="AJ304" s="36">
        <v>0</v>
      </c>
      <c r="AK304" s="69">
        <f t="shared" si="68"/>
        <v>0</v>
      </c>
      <c r="AL304" s="69">
        <f t="shared" si="69"/>
        <v>0</v>
      </c>
      <c r="AM304" s="70">
        <f t="shared" si="65"/>
        <v>0</v>
      </c>
      <c r="AN304" s="36">
        <v>0</v>
      </c>
      <c r="AO304" s="36">
        <v>0</v>
      </c>
    </row>
    <row r="305" spans="1:41" s="3" customFormat="1">
      <c r="A305" s="55" t="s">
        <v>444</v>
      </c>
      <c r="B305" s="55" t="s">
        <v>37</v>
      </c>
      <c r="C305" s="55" t="s">
        <v>1126</v>
      </c>
      <c r="D305" s="36">
        <v>0</v>
      </c>
      <c r="E305" s="36">
        <v>123918.44</v>
      </c>
      <c r="F305" s="36">
        <v>127168.09</v>
      </c>
      <c r="G305" s="36">
        <v>41841234.039999999</v>
      </c>
      <c r="H305" s="36">
        <v>8663939.7200000007</v>
      </c>
      <c r="I305" s="36">
        <v>4062094.46</v>
      </c>
      <c r="J305" s="36">
        <v>7565817.6100000003</v>
      </c>
      <c r="K305" s="36">
        <v>6756102.3899999997</v>
      </c>
      <c r="L305" s="36">
        <v>689759.52</v>
      </c>
      <c r="M305" s="36">
        <v>15420605.85</v>
      </c>
      <c r="N305" s="49">
        <v>4.3900000000000002E-2</v>
      </c>
      <c r="O305" s="64">
        <v>0.16650000000000001</v>
      </c>
      <c r="P305" s="36">
        <v>0</v>
      </c>
      <c r="Q305" s="36">
        <v>0</v>
      </c>
      <c r="R305" s="36">
        <v>0</v>
      </c>
      <c r="S305" s="36">
        <v>0</v>
      </c>
      <c r="T305" s="36">
        <v>0</v>
      </c>
      <c r="U305" s="36">
        <v>0</v>
      </c>
      <c r="V305" s="36">
        <v>0</v>
      </c>
      <c r="W305" s="36">
        <v>0</v>
      </c>
      <c r="X305" s="36">
        <v>0</v>
      </c>
      <c r="Y305" s="36">
        <v>0</v>
      </c>
      <c r="Z305" s="36">
        <v>207118.25</v>
      </c>
      <c r="AA305" s="36">
        <v>693928.27</v>
      </c>
      <c r="AB305" s="36">
        <v>3236967.42</v>
      </c>
      <c r="AC305" s="36">
        <v>16855434.82</v>
      </c>
      <c r="AD305" s="37">
        <v>1688.25</v>
      </c>
      <c r="AE305" s="36">
        <v>16289358.67</v>
      </c>
      <c r="AF305" s="69">
        <f t="shared" si="66"/>
        <v>9648.66</v>
      </c>
      <c r="AG305" s="69">
        <f t="shared" si="67"/>
        <v>9983.9699999999993</v>
      </c>
      <c r="AH305" s="70">
        <f t="shared" si="64"/>
        <v>335.31</v>
      </c>
      <c r="AI305" s="37">
        <v>325.32</v>
      </c>
      <c r="AJ305" s="36">
        <v>3080173.93</v>
      </c>
      <c r="AK305" s="69">
        <f t="shared" si="68"/>
        <v>9468.14</v>
      </c>
      <c r="AL305" s="69">
        <f t="shared" si="69"/>
        <v>9950.1</v>
      </c>
      <c r="AM305" s="70">
        <f t="shared" si="65"/>
        <v>481.96</v>
      </c>
      <c r="AN305" s="36">
        <v>0</v>
      </c>
      <c r="AO305" s="36">
        <v>0</v>
      </c>
    </row>
    <row r="306" spans="1:41" s="3" customFormat="1">
      <c r="A306" s="55" t="s">
        <v>513</v>
      </c>
      <c r="B306" s="55" t="s">
        <v>106</v>
      </c>
      <c r="C306" s="55" t="s">
        <v>1127</v>
      </c>
      <c r="D306" s="36">
        <v>0</v>
      </c>
      <c r="E306" s="36">
        <v>0</v>
      </c>
      <c r="F306" s="36">
        <v>715.3</v>
      </c>
      <c r="G306" s="36">
        <v>2360777.39</v>
      </c>
      <c r="H306" s="36">
        <v>342843.01</v>
      </c>
      <c r="I306" s="36">
        <v>18128.740000000002</v>
      </c>
      <c r="J306" s="36">
        <v>307448.65999999997</v>
      </c>
      <c r="K306" s="36">
        <v>189002.02</v>
      </c>
      <c r="L306" s="36">
        <v>50563.16</v>
      </c>
      <c r="M306" s="36">
        <v>1456596.48</v>
      </c>
      <c r="N306" s="49">
        <v>2.53E-2</v>
      </c>
      <c r="O306" s="64">
        <v>0.22850000000000001</v>
      </c>
      <c r="P306" s="36">
        <v>0</v>
      </c>
      <c r="Q306" s="36">
        <v>0</v>
      </c>
      <c r="R306" s="36">
        <v>0</v>
      </c>
      <c r="S306" s="36">
        <v>0</v>
      </c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482088.02</v>
      </c>
      <c r="AC306" s="36">
        <v>890773.66</v>
      </c>
      <c r="AD306" s="37">
        <v>84.02</v>
      </c>
      <c r="AE306" s="36">
        <v>858269.32</v>
      </c>
      <c r="AF306" s="69">
        <f t="shared" si="66"/>
        <v>10215.06</v>
      </c>
      <c r="AG306" s="69">
        <f t="shared" si="67"/>
        <v>10601.92</v>
      </c>
      <c r="AH306" s="70">
        <f t="shared" si="64"/>
        <v>386.86</v>
      </c>
      <c r="AI306" s="37">
        <v>45.67</v>
      </c>
      <c r="AJ306" s="36">
        <v>458547.51</v>
      </c>
      <c r="AK306" s="69">
        <f t="shared" si="68"/>
        <v>10040.450000000001</v>
      </c>
      <c r="AL306" s="69">
        <f t="shared" si="69"/>
        <v>10555.9</v>
      </c>
      <c r="AM306" s="70">
        <f t="shared" si="65"/>
        <v>515.45000000000005</v>
      </c>
      <c r="AN306" s="36">
        <v>0</v>
      </c>
      <c r="AO306" s="36">
        <v>0</v>
      </c>
    </row>
    <row r="307" spans="1:41" s="3" customFormat="1">
      <c r="A307" s="55" t="s">
        <v>724</v>
      </c>
      <c r="B307" s="55" t="s">
        <v>725</v>
      </c>
      <c r="C307" s="58" t="s">
        <v>1128</v>
      </c>
      <c r="D307" s="36">
        <v>2909.2</v>
      </c>
      <c r="E307" s="36">
        <v>0</v>
      </c>
      <c r="F307" s="36">
        <v>4178.42</v>
      </c>
      <c r="G307" s="36">
        <v>246277.27</v>
      </c>
      <c r="H307" s="36">
        <v>59343.360000000001</v>
      </c>
      <c r="I307" s="36">
        <v>41702.93</v>
      </c>
      <c r="J307" s="36">
        <v>90229.97</v>
      </c>
      <c r="K307" s="36">
        <v>0</v>
      </c>
      <c r="L307" s="36">
        <v>0</v>
      </c>
      <c r="M307" s="36">
        <v>251328.04</v>
      </c>
      <c r="N307" s="49">
        <v>3.5000000000000003E-2</v>
      </c>
      <c r="O307" s="64">
        <v>0.14979999999999999</v>
      </c>
      <c r="P307" s="36">
        <v>0</v>
      </c>
      <c r="Q307" s="36">
        <v>0</v>
      </c>
      <c r="R307" s="36">
        <v>0</v>
      </c>
      <c r="S307" s="36">
        <v>0</v>
      </c>
      <c r="T307" s="36">
        <v>0</v>
      </c>
      <c r="U307" s="36">
        <v>0</v>
      </c>
      <c r="V307" s="36">
        <v>0</v>
      </c>
      <c r="W307" s="36">
        <v>0</v>
      </c>
      <c r="X307" s="36">
        <v>0</v>
      </c>
      <c r="Y307" s="36">
        <v>0</v>
      </c>
      <c r="Z307" s="36">
        <v>0</v>
      </c>
      <c r="AA307" s="36">
        <v>0</v>
      </c>
      <c r="AB307" s="36">
        <v>0</v>
      </c>
      <c r="AC307" s="36">
        <v>0</v>
      </c>
      <c r="AD307" s="37">
        <v>0</v>
      </c>
      <c r="AE307" s="36">
        <v>0</v>
      </c>
      <c r="AF307" s="69">
        <f t="shared" si="66"/>
        <v>0</v>
      </c>
      <c r="AG307" s="69">
        <f t="shared" si="67"/>
        <v>0</v>
      </c>
      <c r="AH307" s="70">
        <f t="shared" si="64"/>
        <v>0</v>
      </c>
      <c r="AI307" s="37">
        <v>0</v>
      </c>
      <c r="AJ307" s="36">
        <v>0</v>
      </c>
      <c r="AK307" s="69">
        <f t="shared" si="68"/>
        <v>0</v>
      </c>
      <c r="AL307" s="69">
        <f t="shared" si="69"/>
        <v>0</v>
      </c>
      <c r="AM307" s="70">
        <f t="shared" si="65"/>
        <v>0</v>
      </c>
      <c r="AN307" s="36">
        <v>0</v>
      </c>
      <c r="AO307" s="36">
        <v>0</v>
      </c>
    </row>
    <row r="308" spans="1:41" s="3" customFormat="1">
      <c r="A308" s="55" t="s">
        <v>667</v>
      </c>
      <c r="B308" s="57" t="s">
        <v>264</v>
      </c>
      <c r="C308" s="55" t="s">
        <v>1129</v>
      </c>
      <c r="D308" s="36">
        <v>0</v>
      </c>
      <c r="E308" s="36">
        <v>17155.71</v>
      </c>
      <c r="F308" s="36">
        <v>13576.22</v>
      </c>
      <c r="G308" s="36">
        <v>0</v>
      </c>
      <c r="H308" s="36">
        <v>0</v>
      </c>
      <c r="I308" s="36">
        <v>134804.20000000001</v>
      </c>
      <c r="J308" s="36">
        <v>169765.91</v>
      </c>
      <c r="K308" s="36">
        <v>0</v>
      </c>
      <c r="L308" s="36">
        <v>12886.53</v>
      </c>
      <c r="M308" s="36">
        <v>398437.25</v>
      </c>
      <c r="N308" s="49">
        <v>0.112</v>
      </c>
      <c r="O308" s="64">
        <v>0.43559999999999999</v>
      </c>
      <c r="P308" s="36">
        <v>0</v>
      </c>
      <c r="Q308" s="36">
        <v>0</v>
      </c>
      <c r="R308" s="36">
        <v>0</v>
      </c>
      <c r="S308" s="36">
        <v>0</v>
      </c>
      <c r="T308" s="36">
        <v>0</v>
      </c>
      <c r="U308" s="36">
        <v>0</v>
      </c>
      <c r="V308" s="36">
        <v>0</v>
      </c>
      <c r="W308" s="36">
        <v>0</v>
      </c>
      <c r="X308" s="36">
        <v>0</v>
      </c>
      <c r="Y308" s="36">
        <v>0</v>
      </c>
      <c r="Z308" s="36">
        <v>0</v>
      </c>
      <c r="AA308" s="36">
        <v>24695.74</v>
      </c>
      <c r="AB308" s="36">
        <v>27210.95</v>
      </c>
      <c r="AC308" s="36">
        <v>238366.75</v>
      </c>
      <c r="AD308" s="37">
        <v>24.33</v>
      </c>
      <c r="AE308" s="36">
        <v>230003.14</v>
      </c>
      <c r="AF308" s="69">
        <f t="shared" si="66"/>
        <v>9453.48</v>
      </c>
      <c r="AG308" s="69">
        <f t="shared" si="67"/>
        <v>9797.24</v>
      </c>
      <c r="AH308" s="70">
        <f t="shared" si="64"/>
        <v>343.76</v>
      </c>
      <c r="AI308" s="37">
        <v>2.79</v>
      </c>
      <c r="AJ308" s="36">
        <v>25870.43</v>
      </c>
      <c r="AK308" s="69">
        <f t="shared" si="68"/>
        <v>9272.56</v>
      </c>
      <c r="AL308" s="69">
        <f t="shared" si="69"/>
        <v>9753.0300000000007</v>
      </c>
      <c r="AM308" s="70">
        <f t="shared" si="65"/>
        <v>480.47</v>
      </c>
      <c r="AN308" s="36">
        <v>0</v>
      </c>
      <c r="AO308" s="36">
        <v>0</v>
      </c>
    </row>
    <row r="309" spans="1:41" s="3" customFormat="1">
      <c r="A309" s="55" t="s">
        <v>477</v>
      </c>
      <c r="B309" s="55" t="s">
        <v>70</v>
      </c>
      <c r="C309" s="55" t="s">
        <v>1130</v>
      </c>
      <c r="D309" s="36">
        <v>0</v>
      </c>
      <c r="E309" s="36">
        <v>0</v>
      </c>
      <c r="F309" s="36">
        <v>0</v>
      </c>
      <c r="G309" s="36">
        <v>3179263.17</v>
      </c>
      <c r="H309" s="36">
        <v>612574.43000000005</v>
      </c>
      <c r="I309" s="36">
        <v>745886.69</v>
      </c>
      <c r="J309" s="36">
        <v>1526435.56</v>
      </c>
      <c r="K309" s="36">
        <v>2257437.42</v>
      </c>
      <c r="L309" s="36">
        <v>71057.47</v>
      </c>
      <c r="M309" s="36">
        <v>1342184.31</v>
      </c>
      <c r="N309" s="49">
        <v>3.7999999999999999E-2</v>
      </c>
      <c r="O309" s="64">
        <v>0.14180000000000001</v>
      </c>
      <c r="P309" s="36">
        <v>0</v>
      </c>
      <c r="Q309" s="36">
        <v>0</v>
      </c>
      <c r="R309" s="36">
        <v>0</v>
      </c>
      <c r="S309" s="36">
        <v>0</v>
      </c>
      <c r="T309" s="36">
        <v>0</v>
      </c>
      <c r="U309" s="36">
        <v>0</v>
      </c>
      <c r="V309" s="36">
        <v>0</v>
      </c>
      <c r="W309" s="36">
        <v>0</v>
      </c>
      <c r="X309" s="36">
        <v>0</v>
      </c>
      <c r="Y309" s="36">
        <v>0</v>
      </c>
      <c r="Z309" s="36">
        <v>9863.99</v>
      </c>
      <c r="AA309" s="36">
        <v>28097.119999999999</v>
      </c>
      <c r="AB309" s="36">
        <v>621044.43999999994</v>
      </c>
      <c r="AC309" s="36">
        <v>1860715.03</v>
      </c>
      <c r="AD309" s="37">
        <v>190.4</v>
      </c>
      <c r="AE309" s="36">
        <v>1764366.51</v>
      </c>
      <c r="AF309" s="69">
        <f t="shared" si="66"/>
        <v>9266.6299999999992</v>
      </c>
      <c r="AG309" s="69">
        <f t="shared" si="67"/>
        <v>9772.66</v>
      </c>
      <c r="AH309" s="70">
        <f t="shared" si="64"/>
        <v>506.03</v>
      </c>
      <c r="AI309" s="37">
        <v>65.03</v>
      </c>
      <c r="AJ309" s="36">
        <v>590734.96</v>
      </c>
      <c r="AK309" s="69">
        <f t="shared" si="68"/>
        <v>9084.0400000000009</v>
      </c>
      <c r="AL309" s="69">
        <f t="shared" si="69"/>
        <v>9550.1200000000008</v>
      </c>
      <c r="AM309" s="70">
        <f t="shared" si="65"/>
        <v>466.08</v>
      </c>
      <c r="AN309" s="36">
        <v>0</v>
      </c>
      <c r="AO309" s="36">
        <v>552213</v>
      </c>
    </row>
    <row r="310" spans="1:41" s="3" customFormat="1">
      <c r="A310" s="55" t="s">
        <v>673</v>
      </c>
      <c r="B310" s="55" t="s">
        <v>270</v>
      </c>
      <c r="C310" s="55" t="s">
        <v>1131</v>
      </c>
      <c r="D310" s="36">
        <v>0</v>
      </c>
      <c r="E310" s="36">
        <v>0</v>
      </c>
      <c r="F310" s="36">
        <v>0</v>
      </c>
      <c r="G310" s="36">
        <v>0</v>
      </c>
      <c r="H310" s="36">
        <v>0</v>
      </c>
      <c r="I310" s="36">
        <v>60008.89</v>
      </c>
      <c r="J310" s="36">
        <v>111352.23</v>
      </c>
      <c r="K310" s="36">
        <v>0</v>
      </c>
      <c r="L310" s="36">
        <v>0</v>
      </c>
      <c r="M310" s="36">
        <v>130719.99</v>
      </c>
      <c r="N310" s="49">
        <v>6.5299999999999997E-2</v>
      </c>
      <c r="O310" s="64">
        <v>0.29049999999999998</v>
      </c>
      <c r="P310" s="36">
        <v>0</v>
      </c>
      <c r="Q310" s="36">
        <v>0</v>
      </c>
      <c r="R310" s="36">
        <v>0</v>
      </c>
      <c r="S310" s="36">
        <v>0</v>
      </c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1315.22</v>
      </c>
      <c r="AA310" s="36">
        <v>0</v>
      </c>
      <c r="AB310" s="36">
        <v>30088.37</v>
      </c>
      <c r="AC310" s="36">
        <v>147238.35</v>
      </c>
      <c r="AD310" s="37">
        <v>13.86</v>
      </c>
      <c r="AE310" s="36">
        <v>128380.13</v>
      </c>
      <c r="AF310" s="69">
        <f t="shared" si="66"/>
        <v>9262.64</v>
      </c>
      <c r="AG310" s="69">
        <f t="shared" si="67"/>
        <v>10623.26</v>
      </c>
      <c r="AH310" s="70">
        <f t="shared" si="64"/>
        <v>1360.62</v>
      </c>
      <c r="AI310" s="37">
        <v>3.17</v>
      </c>
      <c r="AJ310" s="36">
        <v>28774.86</v>
      </c>
      <c r="AK310" s="69">
        <f t="shared" si="68"/>
        <v>9077.24</v>
      </c>
      <c r="AL310" s="69">
        <f t="shared" si="69"/>
        <v>9491.6</v>
      </c>
      <c r="AM310" s="70">
        <f t="shared" si="65"/>
        <v>414.36</v>
      </c>
      <c r="AN310" s="36">
        <v>0</v>
      </c>
      <c r="AO310" s="36">
        <v>0</v>
      </c>
    </row>
    <row r="311" spans="1:41" s="3" customFormat="1">
      <c r="A311" s="55" t="s">
        <v>669</v>
      </c>
      <c r="B311" s="55" t="s">
        <v>266</v>
      </c>
      <c r="C311" s="55" t="s">
        <v>1132</v>
      </c>
      <c r="D311" s="36">
        <v>0</v>
      </c>
      <c r="E311" s="36">
        <v>223242.91</v>
      </c>
      <c r="F311" s="36">
        <v>0</v>
      </c>
      <c r="G311" s="36">
        <v>10034409.33</v>
      </c>
      <c r="H311" s="36">
        <v>1630288.88</v>
      </c>
      <c r="I311" s="36">
        <v>1526492</v>
      </c>
      <c r="J311" s="36">
        <v>2585706.13</v>
      </c>
      <c r="K311" s="36">
        <v>1409182.75</v>
      </c>
      <c r="L311" s="36">
        <v>164863.76</v>
      </c>
      <c r="M311" s="36">
        <v>2203404.33</v>
      </c>
      <c r="N311" s="49">
        <v>4.3499999999999997E-2</v>
      </c>
      <c r="O311" s="64">
        <v>0.1913</v>
      </c>
      <c r="P311" s="36">
        <v>0</v>
      </c>
      <c r="Q311" s="36">
        <v>0</v>
      </c>
      <c r="R311" s="36">
        <v>0</v>
      </c>
      <c r="S311" s="36">
        <v>171176.91999999998</v>
      </c>
      <c r="T311" s="36">
        <v>10169.980000000038</v>
      </c>
      <c r="U311" s="36">
        <v>5805.28</v>
      </c>
      <c r="V311" s="36">
        <v>0</v>
      </c>
      <c r="W311" s="36">
        <v>0</v>
      </c>
      <c r="X311" s="36">
        <v>0</v>
      </c>
      <c r="Y311" s="36">
        <v>0</v>
      </c>
      <c r="Z311" s="36">
        <v>4510.63</v>
      </c>
      <c r="AA311" s="36">
        <v>134233.26</v>
      </c>
      <c r="AB311" s="36">
        <v>539503.76</v>
      </c>
      <c r="AC311" s="36">
        <v>2681371.58</v>
      </c>
      <c r="AD311" s="37">
        <v>260.38</v>
      </c>
      <c r="AE311" s="36">
        <v>2424733.7400000002</v>
      </c>
      <c r="AF311" s="69">
        <f t="shared" si="66"/>
        <v>9312.2900000000009</v>
      </c>
      <c r="AG311" s="69">
        <f t="shared" si="67"/>
        <v>10297.92</v>
      </c>
      <c r="AH311" s="70">
        <f t="shared" si="64"/>
        <v>985.63</v>
      </c>
      <c r="AI311" s="37">
        <v>56.2</v>
      </c>
      <c r="AJ311" s="36">
        <v>513181.13</v>
      </c>
      <c r="AK311" s="69">
        <f t="shared" si="68"/>
        <v>9131.34</v>
      </c>
      <c r="AL311" s="69">
        <f t="shared" si="69"/>
        <v>9599.7099999999991</v>
      </c>
      <c r="AM311" s="70">
        <f t="shared" si="65"/>
        <v>468.37</v>
      </c>
      <c r="AN311" s="36">
        <v>0</v>
      </c>
      <c r="AO311" s="36">
        <v>0</v>
      </c>
    </row>
    <row r="312" spans="1:41" s="3" customFormat="1">
      <c r="A312" s="55" t="s">
        <v>706</v>
      </c>
      <c r="B312" s="55" t="s">
        <v>304</v>
      </c>
      <c r="C312" s="55" t="s">
        <v>1133</v>
      </c>
      <c r="D312" s="36">
        <v>0</v>
      </c>
      <c r="E312" s="36">
        <v>180636.35</v>
      </c>
      <c r="F312" s="36">
        <v>95592.31</v>
      </c>
      <c r="G312" s="36">
        <v>4725687.0599999996</v>
      </c>
      <c r="H312" s="36">
        <v>772546.9</v>
      </c>
      <c r="I312" s="36">
        <v>989713.43</v>
      </c>
      <c r="J312" s="36">
        <v>1869699.42</v>
      </c>
      <c r="K312" s="36">
        <v>1948882.95</v>
      </c>
      <c r="L312" s="36">
        <v>94671.07</v>
      </c>
      <c r="M312" s="36">
        <v>1858876.34</v>
      </c>
      <c r="N312" s="49">
        <v>3.3500000000000002E-2</v>
      </c>
      <c r="O312" s="64">
        <v>0.19239999999999999</v>
      </c>
      <c r="P312" s="36">
        <v>0</v>
      </c>
      <c r="Q312" s="36">
        <v>0</v>
      </c>
      <c r="R312" s="36">
        <v>0</v>
      </c>
      <c r="S312" s="36">
        <v>0</v>
      </c>
      <c r="T312" s="36">
        <v>0</v>
      </c>
      <c r="U312" s="36">
        <v>0</v>
      </c>
      <c r="V312" s="36">
        <v>0</v>
      </c>
      <c r="W312" s="36">
        <v>0</v>
      </c>
      <c r="X312" s="36">
        <v>0</v>
      </c>
      <c r="Y312" s="36">
        <v>0</v>
      </c>
      <c r="Z312" s="36">
        <v>59505.9</v>
      </c>
      <c r="AA312" s="36">
        <v>0</v>
      </c>
      <c r="AB312" s="36">
        <v>554603.16</v>
      </c>
      <c r="AC312" s="36">
        <v>2361481.46</v>
      </c>
      <c r="AD312" s="37">
        <v>245.55</v>
      </c>
      <c r="AE312" s="36">
        <v>2275265.75</v>
      </c>
      <c r="AF312" s="69">
        <f t="shared" si="66"/>
        <v>9266</v>
      </c>
      <c r="AG312" s="69">
        <f t="shared" si="67"/>
        <v>9617.11</v>
      </c>
      <c r="AH312" s="70">
        <f t="shared" si="64"/>
        <v>351.11</v>
      </c>
      <c r="AI312" s="37">
        <v>58.09</v>
      </c>
      <c r="AJ312" s="36">
        <v>527725.35</v>
      </c>
      <c r="AK312" s="69">
        <f t="shared" si="68"/>
        <v>9084.6200000000008</v>
      </c>
      <c r="AL312" s="69">
        <f t="shared" si="69"/>
        <v>9547.31</v>
      </c>
      <c r="AM312" s="70">
        <f t="shared" si="65"/>
        <v>462.69</v>
      </c>
      <c r="AN312" s="36">
        <v>1300</v>
      </c>
      <c r="AO312" s="36">
        <v>0</v>
      </c>
    </row>
    <row r="313" spans="1:41" s="3" customFormat="1">
      <c r="A313" s="55" t="s">
        <v>479</v>
      </c>
      <c r="B313" s="55" t="s">
        <v>72</v>
      </c>
      <c r="C313" s="55" t="s">
        <v>1134</v>
      </c>
      <c r="D313" s="36">
        <v>2156.42</v>
      </c>
      <c r="E313" s="36">
        <v>50644.21</v>
      </c>
      <c r="F313" s="36">
        <v>26116.07</v>
      </c>
      <c r="G313" s="36">
        <v>1561615.96</v>
      </c>
      <c r="H313" s="36">
        <v>358179.1</v>
      </c>
      <c r="I313" s="36">
        <v>290295.71999999997</v>
      </c>
      <c r="J313" s="36">
        <v>521124.15</v>
      </c>
      <c r="K313" s="36">
        <v>479357.6</v>
      </c>
      <c r="L313" s="36">
        <v>28379.66</v>
      </c>
      <c r="M313" s="36">
        <v>444764.07</v>
      </c>
      <c r="N313" s="49">
        <v>3.8100000000000002E-2</v>
      </c>
      <c r="O313" s="64">
        <v>0.1573</v>
      </c>
      <c r="P313" s="36">
        <v>0</v>
      </c>
      <c r="Q313" s="36">
        <v>0</v>
      </c>
      <c r="R313" s="36">
        <v>0</v>
      </c>
      <c r="S313" s="36">
        <v>0</v>
      </c>
      <c r="T313" s="36">
        <v>0</v>
      </c>
      <c r="U313" s="36">
        <v>0</v>
      </c>
      <c r="V313" s="36">
        <v>0</v>
      </c>
      <c r="W313" s="36">
        <v>0</v>
      </c>
      <c r="X313" s="36">
        <v>0</v>
      </c>
      <c r="Y313" s="36">
        <v>0</v>
      </c>
      <c r="Z313" s="36">
        <v>2612.41</v>
      </c>
      <c r="AA313" s="36">
        <v>34559.449999999997</v>
      </c>
      <c r="AB313" s="36">
        <v>92496.91</v>
      </c>
      <c r="AC313" s="36">
        <v>543504.13</v>
      </c>
      <c r="AD313" s="37">
        <v>52.2</v>
      </c>
      <c r="AE313" s="36">
        <v>483733.73</v>
      </c>
      <c r="AF313" s="69">
        <f t="shared" si="66"/>
        <v>9266.93</v>
      </c>
      <c r="AG313" s="69">
        <f t="shared" si="67"/>
        <v>10411.959999999999</v>
      </c>
      <c r="AH313" s="70">
        <f t="shared" si="64"/>
        <v>1145.03</v>
      </c>
      <c r="AI313" s="37">
        <v>9.68</v>
      </c>
      <c r="AJ313" s="36">
        <v>87898.26</v>
      </c>
      <c r="AK313" s="69">
        <f t="shared" si="68"/>
        <v>9080.4</v>
      </c>
      <c r="AL313" s="69">
        <f t="shared" si="69"/>
        <v>9555.4699999999993</v>
      </c>
      <c r="AM313" s="70">
        <f t="shared" si="65"/>
        <v>475.07</v>
      </c>
      <c r="AN313" s="36">
        <v>0</v>
      </c>
      <c r="AO313" s="36">
        <v>0</v>
      </c>
    </row>
    <row r="314" spans="1:41" s="3" customFormat="1">
      <c r="A314" s="55" t="s">
        <v>448</v>
      </c>
      <c r="B314" s="55" t="s">
        <v>41</v>
      </c>
      <c r="C314" s="55" t="s">
        <v>1135</v>
      </c>
      <c r="D314" s="36">
        <v>0</v>
      </c>
      <c r="E314" s="36">
        <v>0</v>
      </c>
      <c r="F314" s="36">
        <v>0</v>
      </c>
      <c r="G314" s="36">
        <v>5456883.5</v>
      </c>
      <c r="H314" s="36">
        <v>1001964.88</v>
      </c>
      <c r="I314" s="36">
        <v>95606.85</v>
      </c>
      <c r="J314" s="36">
        <v>750496.65</v>
      </c>
      <c r="K314" s="36">
        <v>179799.32</v>
      </c>
      <c r="L314" s="36">
        <v>84553.38</v>
      </c>
      <c r="M314" s="36">
        <v>2506132.4</v>
      </c>
      <c r="N314" s="49">
        <v>2.2599999999999999E-2</v>
      </c>
      <c r="O314" s="64">
        <v>0.17460000000000001</v>
      </c>
      <c r="P314" s="36">
        <v>0</v>
      </c>
      <c r="Q314" s="36">
        <v>0</v>
      </c>
      <c r="R314" s="36">
        <v>0</v>
      </c>
      <c r="S314" s="36">
        <v>0</v>
      </c>
      <c r="T314" s="36">
        <v>0</v>
      </c>
      <c r="U314" s="36">
        <v>0</v>
      </c>
      <c r="V314" s="36">
        <v>0</v>
      </c>
      <c r="W314" s="36">
        <v>0</v>
      </c>
      <c r="X314" s="36">
        <v>0</v>
      </c>
      <c r="Y314" s="36">
        <v>0</v>
      </c>
      <c r="Z314" s="36">
        <v>0</v>
      </c>
      <c r="AA314" s="36">
        <v>0</v>
      </c>
      <c r="AB314" s="36">
        <v>366845.24</v>
      </c>
      <c r="AC314" s="36">
        <v>1917112.8</v>
      </c>
      <c r="AD314" s="37">
        <v>191.9</v>
      </c>
      <c r="AE314" s="36">
        <v>1851542.42</v>
      </c>
      <c r="AF314" s="69">
        <f t="shared" si="66"/>
        <v>9648.48</v>
      </c>
      <c r="AG314" s="69">
        <f t="shared" si="67"/>
        <v>9990.17</v>
      </c>
      <c r="AH314" s="70">
        <f t="shared" si="64"/>
        <v>341.69</v>
      </c>
      <c r="AI314" s="37">
        <v>36.869999999999997</v>
      </c>
      <c r="AJ314" s="36">
        <v>349072.76</v>
      </c>
      <c r="AK314" s="69">
        <f t="shared" si="68"/>
        <v>9467.66</v>
      </c>
      <c r="AL314" s="69">
        <f t="shared" si="69"/>
        <v>9949.69</v>
      </c>
      <c r="AM314" s="70">
        <f t="shared" si="65"/>
        <v>482.03</v>
      </c>
      <c r="AN314" s="36">
        <v>0</v>
      </c>
      <c r="AO314" s="36">
        <v>0</v>
      </c>
    </row>
    <row r="315" spans="1:41" s="3" customFormat="1">
      <c r="A315" s="55" t="s">
        <v>419</v>
      </c>
      <c r="B315" s="55" t="s">
        <v>12</v>
      </c>
      <c r="C315" s="55" t="s">
        <v>1136</v>
      </c>
      <c r="D315" s="36">
        <v>0</v>
      </c>
      <c r="E315" s="36">
        <v>0</v>
      </c>
      <c r="F315" s="36">
        <v>0</v>
      </c>
      <c r="G315" s="36">
        <v>119499.22</v>
      </c>
      <c r="H315" s="36">
        <v>11482.05</v>
      </c>
      <c r="I315" s="36">
        <v>20905.62</v>
      </c>
      <c r="J315" s="36">
        <v>33795.620000000003</v>
      </c>
      <c r="K315" s="36">
        <v>0</v>
      </c>
      <c r="L315" s="36">
        <v>1841.42</v>
      </c>
      <c r="M315" s="36">
        <v>158994.34</v>
      </c>
      <c r="N315" s="49">
        <v>4.2900000000000001E-2</v>
      </c>
      <c r="O315" s="64">
        <v>0.28170000000000001</v>
      </c>
      <c r="P315" s="36">
        <v>0</v>
      </c>
      <c r="Q315" s="36">
        <v>0</v>
      </c>
      <c r="R315" s="36">
        <v>0</v>
      </c>
      <c r="S315" s="36">
        <v>0</v>
      </c>
      <c r="T315" s="36">
        <v>0</v>
      </c>
      <c r="U315" s="36">
        <v>0</v>
      </c>
      <c r="V315" s="36">
        <v>0</v>
      </c>
      <c r="W315" s="36">
        <v>0</v>
      </c>
      <c r="X315" s="36">
        <v>0</v>
      </c>
      <c r="Y315" s="36">
        <v>0</v>
      </c>
      <c r="Z315" s="36">
        <v>0</v>
      </c>
      <c r="AA315" s="36">
        <v>0</v>
      </c>
      <c r="AB315" s="36">
        <v>6487.97</v>
      </c>
      <c r="AC315" s="36">
        <v>34511.980000000003</v>
      </c>
      <c r="AD315" s="37">
        <v>3.61</v>
      </c>
      <c r="AE315" s="36">
        <v>33329.78</v>
      </c>
      <c r="AF315" s="69">
        <f t="shared" si="66"/>
        <v>9232.6299999999992</v>
      </c>
      <c r="AG315" s="69">
        <f t="shared" si="67"/>
        <v>9560.11</v>
      </c>
      <c r="AH315" s="70">
        <f t="shared" si="64"/>
        <v>327.48</v>
      </c>
      <c r="AI315" s="37">
        <v>0.67</v>
      </c>
      <c r="AJ315" s="36">
        <v>6133.27</v>
      </c>
      <c r="AK315" s="69">
        <f t="shared" si="68"/>
        <v>9154.1299999999992</v>
      </c>
      <c r="AL315" s="69">
        <f t="shared" si="69"/>
        <v>9683.5400000000009</v>
      </c>
      <c r="AM315" s="70">
        <f t="shared" si="65"/>
        <v>529.41</v>
      </c>
      <c r="AN315" s="36">
        <v>0</v>
      </c>
      <c r="AO315" s="36">
        <v>0</v>
      </c>
    </row>
    <row r="316" spans="1:41" s="3" customFormat="1">
      <c r="A316" s="55" t="s">
        <v>466</v>
      </c>
      <c r="B316" s="55" t="s">
        <v>59</v>
      </c>
      <c r="C316" s="55" t="s">
        <v>1137</v>
      </c>
      <c r="D316" s="36">
        <v>0</v>
      </c>
      <c r="E316" s="36">
        <v>0</v>
      </c>
      <c r="F316" s="36">
        <v>0</v>
      </c>
      <c r="G316" s="36">
        <v>0</v>
      </c>
      <c r="H316" s="36">
        <v>0</v>
      </c>
      <c r="I316" s="36">
        <v>81131.149999999994</v>
      </c>
      <c r="J316" s="36">
        <v>98895.52</v>
      </c>
      <c r="K316" s="36">
        <v>41687.9</v>
      </c>
      <c r="L316" s="36">
        <v>7474.03</v>
      </c>
      <c r="M316" s="36">
        <v>325810.19</v>
      </c>
      <c r="N316" s="49">
        <v>7.5899999999999995E-2</v>
      </c>
      <c r="O316" s="64">
        <v>0.28549999999999998</v>
      </c>
      <c r="P316" s="36">
        <v>0</v>
      </c>
      <c r="Q316" s="36">
        <v>0</v>
      </c>
      <c r="R316" s="36">
        <v>0</v>
      </c>
      <c r="S316" s="36">
        <v>0</v>
      </c>
      <c r="T316" s="36">
        <v>0</v>
      </c>
      <c r="U316" s="36">
        <v>0</v>
      </c>
      <c r="V316" s="36">
        <v>0</v>
      </c>
      <c r="W316" s="36">
        <v>0</v>
      </c>
      <c r="X316" s="36">
        <v>0</v>
      </c>
      <c r="Y316" s="36">
        <v>0</v>
      </c>
      <c r="Z316" s="36">
        <v>0</v>
      </c>
      <c r="AA316" s="36">
        <v>0</v>
      </c>
      <c r="AB316" s="36">
        <v>117436.72</v>
      </c>
      <c r="AC316" s="36">
        <v>207232.87</v>
      </c>
      <c r="AD316" s="37">
        <v>21.25</v>
      </c>
      <c r="AE316" s="36">
        <v>197033.08</v>
      </c>
      <c r="AF316" s="69">
        <f t="shared" si="66"/>
        <v>9272.14</v>
      </c>
      <c r="AG316" s="69">
        <f t="shared" si="67"/>
        <v>9752.14</v>
      </c>
      <c r="AH316" s="70">
        <f t="shared" si="64"/>
        <v>480</v>
      </c>
      <c r="AI316" s="37">
        <v>12.3</v>
      </c>
      <c r="AJ316" s="36">
        <v>111704.98</v>
      </c>
      <c r="AK316" s="69">
        <f t="shared" si="68"/>
        <v>9081.7099999999991</v>
      </c>
      <c r="AL316" s="69">
        <f t="shared" si="69"/>
        <v>9547.7000000000007</v>
      </c>
      <c r="AM316" s="70">
        <f t="shared" si="65"/>
        <v>465.99</v>
      </c>
      <c r="AN316" s="36">
        <v>0</v>
      </c>
      <c r="AO316" s="36">
        <v>0</v>
      </c>
    </row>
    <row r="317" spans="1:41" s="3" customFormat="1">
      <c r="A317" s="55" t="s">
        <v>651</v>
      </c>
      <c r="B317" s="55" t="s">
        <v>246</v>
      </c>
      <c r="C317" s="55" t="s">
        <v>1138</v>
      </c>
      <c r="D317" s="36">
        <v>0</v>
      </c>
      <c r="E317" s="36">
        <v>0</v>
      </c>
      <c r="F317" s="36">
        <v>11875.02</v>
      </c>
      <c r="G317" s="36">
        <v>799097.45</v>
      </c>
      <c r="H317" s="36">
        <v>84122.53</v>
      </c>
      <c r="I317" s="36">
        <v>107777.72</v>
      </c>
      <c r="J317" s="36">
        <v>223787.67</v>
      </c>
      <c r="K317" s="36">
        <v>0</v>
      </c>
      <c r="L317" s="36">
        <v>13106.65</v>
      </c>
      <c r="M317" s="36">
        <v>383601.79</v>
      </c>
      <c r="N317" s="49">
        <v>6.9800000000000001E-2</v>
      </c>
      <c r="O317" s="64">
        <v>0.34229999999999999</v>
      </c>
      <c r="P317" s="36">
        <v>0</v>
      </c>
      <c r="Q317" s="36">
        <v>0</v>
      </c>
      <c r="R317" s="36">
        <v>0</v>
      </c>
      <c r="S317" s="36">
        <v>0</v>
      </c>
      <c r="T317" s="36">
        <v>0</v>
      </c>
      <c r="U317" s="36">
        <v>0</v>
      </c>
      <c r="V317" s="36">
        <v>0</v>
      </c>
      <c r="W317" s="36">
        <v>0</v>
      </c>
      <c r="X317" s="36">
        <v>0</v>
      </c>
      <c r="Y317" s="36">
        <v>0</v>
      </c>
      <c r="Z317" s="36">
        <v>0</v>
      </c>
      <c r="AA317" s="36">
        <v>0</v>
      </c>
      <c r="AB317" s="36">
        <v>0</v>
      </c>
      <c r="AC317" s="36">
        <v>136356.13</v>
      </c>
      <c r="AD317" s="37">
        <v>14.27</v>
      </c>
      <c r="AE317" s="36">
        <v>132190.44</v>
      </c>
      <c r="AF317" s="69">
        <f t="shared" si="66"/>
        <v>9263.52</v>
      </c>
      <c r="AG317" s="69">
        <f t="shared" si="67"/>
        <v>9555.44</v>
      </c>
      <c r="AH317" s="70">
        <f t="shared" si="64"/>
        <v>291.92</v>
      </c>
      <c r="AI317" s="37">
        <v>0</v>
      </c>
      <c r="AJ317" s="36">
        <v>0</v>
      </c>
      <c r="AK317" s="69">
        <f t="shared" si="68"/>
        <v>0</v>
      </c>
      <c r="AL317" s="69">
        <f t="shared" si="69"/>
        <v>0</v>
      </c>
      <c r="AM317" s="70">
        <f t="shared" si="65"/>
        <v>0</v>
      </c>
      <c r="AN317" s="36">
        <v>0</v>
      </c>
      <c r="AO317" s="36">
        <v>0</v>
      </c>
    </row>
    <row r="318" spans="1:41" s="3" customFormat="1">
      <c r="A318" s="55" t="s">
        <v>438</v>
      </c>
      <c r="B318" s="55" t="s">
        <v>31</v>
      </c>
      <c r="C318" s="55" t="s">
        <v>1139</v>
      </c>
      <c r="D318" s="36">
        <v>0</v>
      </c>
      <c r="E318" s="36">
        <v>282915.65000000002</v>
      </c>
      <c r="F318" s="36">
        <v>186548.98</v>
      </c>
      <c r="G318" s="36">
        <v>12087635.02</v>
      </c>
      <c r="H318" s="36">
        <v>1563280.34</v>
      </c>
      <c r="I318" s="36">
        <v>1896995.87</v>
      </c>
      <c r="J318" s="36">
        <v>2929278.78</v>
      </c>
      <c r="K318" s="36">
        <v>2825928.26</v>
      </c>
      <c r="L318" s="36">
        <v>215663.73</v>
      </c>
      <c r="M318" s="36">
        <v>2741635.56</v>
      </c>
      <c r="N318" s="49">
        <v>3.1600000000000003E-2</v>
      </c>
      <c r="O318" s="64">
        <v>0.1231</v>
      </c>
      <c r="P318" s="36">
        <v>0</v>
      </c>
      <c r="Q318" s="36">
        <v>0</v>
      </c>
      <c r="R318" s="36">
        <v>0</v>
      </c>
      <c r="S318" s="36">
        <v>187767.62</v>
      </c>
      <c r="T318" s="36">
        <v>0</v>
      </c>
      <c r="U318" s="36">
        <v>5849.42</v>
      </c>
      <c r="V318" s="36">
        <v>0</v>
      </c>
      <c r="W318" s="36">
        <v>0</v>
      </c>
      <c r="X318" s="36">
        <v>0</v>
      </c>
      <c r="Y318" s="36">
        <v>0</v>
      </c>
      <c r="Z318" s="36">
        <v>13241.68</v>
      </c>
      <c r="AA318" s="36">
        <v>57495.01</v>
      </c>
      <c r="AB318" s="36">
        <v>2763241.01</v>
      </c>
      <c r="AC318" s="36">
        <v>6836777.5999999996</v>
      </c>
      <c r="AD318" s="37">
        <v>689.82</v>
      </c>
      <c r="AE318" s="36">
        <v>6391869.2000000002</v>
      </c>
      <c r="AF318" s="69">
        <f t="shared" si="66"/>
        <v>9266</v>
      </c>
      <c r="AG318" s="69">
        <f t="shared" si="67"/>
        <v>9910.9599999999991</v>
      </c>
      <c r="AH318" s="70">
        <f t="shared" si="64"/>
        <v>644.96</v>
      </c>
      <c r="AI318" s="37">
        <v>289.38</v>
      </c>
      <c r="AJ318" s="36">
        <v>2628911.58</v>
      </c>
      <c r="AK318" s="69">
        <f t="shared" si="68"/>
        <v>9084.6299999999992</v>
      </c>
      <c r="AL318" s="69">
        <f t="shared" si="69"/>
        <v>9548.83</v>
      </c>
      <c r="AM318" s="70">
        <f t="shared" si="65"/>
        <v>464.2</v>
      </c>
      <c r="AN318" s="36">
        <v>5000</v>
      </c>
      <c r="AO318" s="36">
        <v>0</v>
      </c>
    </row>
    <row r="319" spans="1:41" s="3" customFormat="1">
      <c r="A319" s="55" t="s">
        <v>775</v>
      </c>
      <c r="B319" s="55" t="s">
        <v>241</v>
      </c>
      <c r="C319" s="55" t="s">
        <v>1140</v>
      </c>
      <c r="D319" s="36">
        <v>0</v>
      </c>
      <c r="E319" s="36">
        <v>6723.69</v>
      </c>
      <c r="F319" s="36">
        <v>0</v>
      </c>
      <c r="G319" s="36">
        <v>5232001.6100000003</v>
      </c>
      <c r="H319" s="36">
        <v>724184.6</v>
      </c>
      <c r="I319" s="36">
        <v>583516.05000000005</v>
      </c>
      <c r="J319" s="36">
        <v>1220216.8999999999</v>
      </c>
      <c r="K319" s="36">
        <v>274649.73</v>
      </c>
      <c r="L319" s="36">
        <v>106044.6</v>
      </c>
      <c r="M319" s="36">
        <v>2182759.23</v>
      </c>
      <c r="N319" s="49">
        <v>4.7399999999999998E-2</v>
      </c>
      <c r="O319" s="64">
        <v>0.1925</v>
      </c>
      <c r="P319" s="36">
        <v>0</v>
      </c>
      <c r="Q319" s="36">
        <v>0</v>
      </c>
      <c r="R319" s="36">
        <v>0</v>
      </c>
      <c r="S319" s="36">
        <v>0</v>
      </c>
      <c r="T319" s="36">
        <v>0</v>
      </c>
      <c r="U319" s="36">
        <v>0</v>
      </c>
      <c r="V319" s="36">
        <v>0</v>
      </c>
      <c r="W319" s="36">
        <v>0</v>
      </c>
      <c r="X319" s="36">
        <v>0</v>
      </c>
      <c r="Y319" s="36">
        <v>0</v>
      </c>
      <c r="Z319" s="36">
        <v>64548.04</v>
      </c>
      <c r="AA319" s="36">
        <v>112082.33</v>
      </c>
      <c r="AB319" s="36">
        <v>947663.22</v>
      </c>
      <c r="AC319" s="36">
        <v>1459769.93</v>
      </c>
      <c r="AD319" s="37">
        <v>148.94</v>
      </c>
      <c r="AE319" s="36">
        <v>1380093.25</v>
      </c>
      <c r="AF319" s="69">
        <f t="shared" si="66"/>
        <v>9266.1</v>
      </c>
      <c r="AG319" s="69">
        <f t="shared" si="67"/>
        <v>9801.06</v>
      </c>
      <c r="AH319" s="70">
        <f t="shared" si="64"/>
        <v>534.96</v>
      </c>
      <c r="AI319" s="37">
        <v>99.22</v>
      </c>
      <c r="AJ319" s="36">
        <v>901338.54</v>
      </c>
      <c r="AK319" s="69">
        <f t="shared" si="68"/>
        <v>9084.24</v>
      </c>
      <c r="AL319" s="69">
        <f t="shared" si="69"/>
        <v>9551.1299999999992</v>
      </c>
      <c r="AM319" s="70">
        <f t="shared" si="65"/>
        <v>466.89</v>
      </c>
      <c r="AN319" s="36">
        <v>0</v>
      </c>
      <c r="AO319" s="36">
        <v>0</v>
      </c>
    </row>
    <row r="320" spans="1:41" s="3" customFormat="1">
      <c r="A320" s="55" t="s">
        <v>776</v>
      </c>
      <c r="B320" s="55" t="s">
        <v>305</v>
      </c>
      <c r="C320" s="55" t="s">
        <v>1141</v>
      </c>
      <c r="D320" s="36">
        <v>0</v>
      </c>
      <c r="E320" s="36">
        <v>145504.32000000001</v>
      </c>
      <c r="F320" s="36">
        <v>28342.68</v>
      </c>
      <c r="G320" s="36">
        <v>9163336.9299999997</v>
      </c>
      <c r="H320" s="36">
        <v>1414683.06</v>
      </c>
      <c r="I320" s="36">
        <v>939019.99</v>
      </c>
      <c r="J320" s="36">
        <v>1870999.25</v>
      </c>
      <c r="K320" s="36">
        <v>897089.62</v>
      </c>
      <c r="L320" s="36">
        <v>165945.17000000001</v>
      </c>
      <c r="M320" s="36">
        <v>3195143.5</v>
      </c>
      <c r="N320" s="49">
        <v>6.2300000000000001E-2</v>
      </c>
      <c r="O320" s="64">
        <v>0.18890000000000001</v>
      </c>
      <c r="P320" s="36">
        <v>0</v>
      </c>
      <c r="Q320" s="36">
        <v>0</v>
      </c>
      <c r="R320" s="36">
        <v>0</v>
      </c>
      <c r="S320" s="36">
        <v>0</v>
      </c>
      <c r="T320" s="36">
        <v>0</v>
      </c>
      <c r="U320" s="36">
        <v>0</v>
      </c>
      <c r="V320" s="36">
        <v>0</v>
      </c>
      <c r="W320" s="36">
        <v>0</v>
      </c>
      <c r="X320" s="36">
        <v>0</v>
      </c>
      <c r="Y320" s="36">
        <v>0</v>
      </c>
      <c r="Z320" s="36">
        <v>269070.13</v>
      </c>
      <c r="AA320" s="36">
        <v>212323.73</v>
      </c>
      <c r="AB320" s="36">
        <v>2782237.28</v>
      </c>
      <c r="AC320" s="36">
        <v>3859928.43</v>
      </c>
      <c r="AD320" s="37">
        <v>394.53</v>
      </c>
      <c r="AE320" s="36">
        <v>3655734.06</v>
      </c>
      <c r="AF320" s="69">
        <f t="shared" si="66"/>
        <v>9266.0499999999993</v>
      </c>
      <c r="AG320" s="69">
        <f t="shared" si="67"/>
        <v>9783.61</v>
      </c>
      <c r="AH320" s="70">
        <f t="shared" si="64"/>
        <v>517.55999999999995</v>
      </c>
      <c r="AI320" s="37">
        <v>291.37</v>
      </c>
      <c r="AJ320" s="36">
        <v>2646931.9300000002</v>
      </c>
      <c r="AK320" s="69">
        <f t="shared" si="68"/>
        <v>9084.44</v>
      </c>
      <c r="AL320" s="69">
        <f t="shared" si="69"/>
        <v>9548.81</v>
      </c>
      <c r="AM320" s="70">
        <f t="shared" si="65"/>
        <v>464.37</v>
      </c>
      <c r="AN320" s="36">
        <v>1400</v>
      </c>
      <c r="AO320" s="36">
        <v>0</v>
      </c>
    </row>
    <row r="321" spans="1:41" s="3" customFormat="1">
      <c r="A321" s="55" t="s">
        <v>808</v>
      </c>
      <c r="B321" s="60" t="s">
        <v>807</v>
      </c>
      <c r="C321" s="56" t="s">
        <v>1142</v>
      </c>
      <c r="D321" s="36">
        <v>0</v>
      </c>
      <c r="E321" s="36">
        <v>0</v>
      </c>
      <c r="F321" s="36">
        <v>0</v>
      </c>
      <c r="G321" s="36">
        <v>180758.22</v>
      </c>
      <c r="H321" s="36">
        <v>36978.839999999997</v>
      </c>
      <c r="I321" s="36">
        <v>0</v>
      </c>
      <c r="J321" s="36">
        <v>20625.560000000001</v>
      </c>
      <c r="K321" s="36">
        <v>0</v>
      </c>
      <c r="L321" s="36">
        <v>0</v>
      </c>
      <c r="M321" s="36">
        <v>0</v>
      </c>
      <c r="N321" s="49">
        <v>3.5000000000000003E-2</v>
      </c>
      <c r="O321" s="64">
        <v>0.14979999999999999</v>
      </c>
      <c r="P321" s="36">
        <v>0</v>
      </c>
      <c r="Q321" s="36">
        <v>0</v>
      </c>
      <c r="R321" s="36">
        <v>0</v>
      </c>
      <c r="S321" s="36">
        <v>0</v>
      </c>
      <c r="T321" s="36">
        <v>0</v>
      </c>
      <c r="U321" s="36">
        <v>0</v>
      </c>
      <c r="V321" s="36">
        <v>0</v>
      </c>
      <c r="W321" s="36">
        <v>0</v>
      </c>
      <c r="X321" s="36">
        <v>0</v>
      </c>
      <c r="Y321" s="36">
        <v>0</v>
      </c>
      <c r="Z321" s="36">
        <v>0</v>
      </c>
      <c r="AA321" s="36">
        <v>0</v>
      </c>
      <c r="AB321" s="36">
        <v>0</v>
      </c>
      <c r="AC321" s="36">
        <v>8528.24</v>
      </c>
      <c r="AD321" s="37">
        <v>0</v>
      </c>
      <c r="AE321" s="36">
        <v>0</v>
      </c>
      <c r="AF321" s="69">
        <f t="shared" si="66"/>
        <v>0</v>
      </c>
      <c r="AG321" s="69">
        <f t="shared" si="67"/>
        <v>0</v>
      </c>
      <c r="AH321" s="70">
        <f t="shared" si="64"/>
        <v>0</v>
      </c>
      <c r="AI321" s="37">
        <v>0</v>
      </c>
      <c r="AJ321" s="36">
        <v>0</v>
      </c>
      <c r="AK321" s="69">
        <f t="shared" si="68"/>
        <v>0</v>
      </c>
      <c r="AL321" s="69">
        <f t="shared" si="69"/>
        <v>0</v>
      </c>
      <c r="AM321" s="70">
        <f t="shared" si="65"/>
        <v>0</v>
      </c>
      <c r="AN321" s="36">
        <v>0</v>
      </c>
      <c r="AO321" s="36">
        <v>0</v>
      </c>
    </row>
    <row r="322" spans="1:41" s="3" customFormat="1">
      <c r="A322" s="55" t="s">
        <v>559</v>
      </c>
      <c r="B322" s="55" t="s">
        <v>152</v>
      </c>
      <c r="C322" s="55" t="s">
        <v>1143</v>
      </c>
      <c r="D322" s="36">
        <v>0</v>
      </c>
      <c r="E322" s="36">
        <v>15482.87</v>
      </c>
      <c r="F322" s="36">
        <v>6629.14</v>
      </c>
      <c r="G322" s="36">
        <v>642398.18000000005</v>
      </c>
      <c r="H322" s="36">
        <v>95053.21</v>
      </c>
      <c r="I322" s="36">
        <v>106586.2</v>
      </c>
      <c r="J322" s="36">
        <v>161829.04</v>
      </c>
      <c r="K322" s="36">
        <v>0</v>
      </c>
      <c r="L322" s="36">
        <v>10398.64</v>
      </c>
      <c r="M322" s="36">
        <v>540925.56999999995</v>
      </c>
      <c r="N322" s="49">
        <v>6.9000000000000006E-2</v>
      </c>
      <c r="O322" s="64">
        <v>0.21679999999999999</v>
      </c>
      <c r="P322" s="36">
        <v>0</v>
      </c>
      <c r="Q322" s="36">
        <v>0</v>
      </c>
      <c r="R322" s="36">
        <v>0</v>
      </c>
      <c r="S322" s="36">
        <v>0</v>
      </c>
      <c r="T322" s="36">
        <v>0</v>
      </c>
      <c r="U322" s="36">
        <v>0</v>
      </c>
      <c r="V322" s="36">
        <v>0</v>
      </c>
      <c r="W322" s="36">
        <v>0</v>
      </c>
      <c r="X322" s="36">
        <v>0</v>
      </c>
      <c r="Y322" s="36">
        <v>0</v>
      </c>
      <c r="Z322" s="36">
        <v>0</v>
      </c>
      <c r="AA322" s="36">
        <v>0</v>
      </c>
      <c r="AB322" s="36">
        <v>59732.68</v>
      </c>
      <c r="AC322" s="36">
        <v>140508.57</v>
      </c>
      <c r="AD322" s="37">
        <v>14.72</v>
      </c>
      <c r="AE322" s="36">
        <v>136484.73000000001</v>
      </c>
      <c r="AF322" s="69">
        <f t="shared" si="66"/>
        <v>9272.06</v>
      </c>
      <c r="AG322" s="69">
        <f t="shared" si="67"/>
        <v>9545.42</v>
      </c>
      <c r="AH322" s="70">
        <f t="shared" si="64"/>
        <v>273.36</v>
      </c>
      <c r="AI322" s="37">
        <v>6.26</v>
      </c>
      <c r="AJ322" s="36">
        <v>56991.97</v>
      </c>
      <c r="AK322" s="69">
        <f t="shared" si="68"/>
        <v>9104.15</v>
      </c>
      <c r="AL322" s="69">
        <f t="shared" si="69"/>
        <v>9541.9599999999991</v>
      </c>
      <c r="AM322" s="70">
        <f t="shared" si="65"/>
        <v>437.81</v>
      </c>
      <c r="AN322" s="36">
        <v>0</v>
      </c>
      <c r="AO322" s="36">
        <v>0</v>
      </c>
    </row>
    <row r="323" spans="1:41" s="3" customFormat="1">
      <c r="A323" s="55" t="s">
        <v>605</v>
      </c>
      <c r="B323" s="55" t="s">
        <v>199</v>
      </c>
      <c r="C323" s="55" t="s">
        <v>1144</v>
      </c>
      <c r="D323" s="36">
        <v>0</v>
      </c>
      <c r="E323" s="36">
        <v>93082.31</v>
      </c>
      <c r="F323" s="36">
        <v>0</v>
      </c>
      <c r="G323" s="36">
        <v>7235700.75</v>
      </c>
      <c r="H323" s="36">
        <v>1275046.71</v>
      </c>
      <c r="I323" s="36">
        <v>0</v>
      </c>
      <c r="J323" s="36">
        <v>991394</v>
      </c>
      <c r="K323" s="36">
        <v>405473.82</v>
      </c>
      <c r="L323" s="36">
        <v>141302.13</v>
      </c>
      <c r="M323" s="36">
        <v>3734205.3</v>
      </c>
      <c r="N323" s="49">
        <v>4.4499999999999998E-2</v>
      </c>
      <c r="O323" s="64">
        <v>0.15890000000000001</v>
      </c>
      <c r="P323" s="36">
        <v>0</v>
      </c>
      <c r="Q323" s="36">
        <v>0</v>
      </c>
      <c r="R323" s="36">
        <v>0</v>
      </c>
      <c r="S323" s="36">
        <v>0</v>
      </c>
      <c r="T323" s="36">
        <v>0</v>
      </c>
      <c r="U323" s="36">
        <v>0</v>
      </c>
      <c r="V323" s="36">
        <v>241229.48</v>
      </c>
      <c r="W323" s="36">
        <v>22424.895000000004</v>
      </c>
      <c r="X323" s="36">
        <v>9721.2999999999993</v>
      </c>
      <c r="Y323" s="36">
        <v>0</v>
      </c>
      <c r="Z323" s="36">
        <v>25762.94</v>
      </c>
      <c r="AA323" s="36">
        <v>296486.3</v>
      </c>
      <c r="AB323" s="36">
        <v>287181.77</v>
      </c>
      <c r="AC323" s="36">
        <v>3127227.85</v>
      </c>
      <c r="AD323" s="37">
        <v>306.08999999999997</v>
      </c>
      <c r="AE323" s="36">
        <v>2953241.43</v>
      </c>
      <c r="AF323" s="69">
        <f t="shared" si="66"/>
        <v>9648.2800000000007</v>
      </c>
      <c r="AG323" s="69">
        <f t="shared" si="67"/>
        <v>10216.69</v>
      </c>
      <c r="AH323" s="70">
        <f t="shared" si="64"/>
        <v>568.41</v>
      </c>
      <c r="AI323" s="37">
        <v>28.84</v>
      </c>
      <c r="AJ323" s="36">
        <v>272992.92</v>
      </c>
      <c r="AK323" s="69">
        <f t="shared" si="68"/>
        <v>9465.77</v>
      </c>
      <c r="AL323" s="69">
        <f t="shared" si="69"/>
        <v>9957.76</v>
      </c>
      <c r="AM323" s="70">
        <f t="shared" si="65"/>
        <v>491.99</v>
      </c>
      <c r="AN323" s="36">
        <v>0</v>
      </c>
      <c r="AO323" s="36">
        <v>0</v>
      </c>
    </row>
    <row r="324" spans="1:41" s="3" customFormat="1">
      <c r="A324" s="55" t="s">
        <v>546</v>
      </c>
      <c r="B324" s="55" t="s">
        <v>139</v>
      </c>
      <c r="C324" s="55" t="s">
        <v>1145</v>
      </c>
      <c r="D324" s="36">
        <v>0</v>
      </c>
      <c r="E324" s="36">
        <v>2048.19</v>
      </c>
      <c r="F324" s="36">
        <v>0</v>
      </c>
      <c r="G324" s="36">
        <v>0</v>
      </c>
      <c r="H324" s="36">
        <v>0</v>
      </c>
      <c r="I324" s="36">
        <v>119228.33</v>
      </c>
      <c r="J324" s="36">
        <v>359141.73</v>
      </c>
      <c r="K324" s="36">
        <v>303979.67</v>
      </c>
      <c r="L324" s="36">
        <v>35073.75</v>
      </c>
      <c r="M324" s="36">
        <v>1445513.67</v>
      </c>
      <c r="N324" s="49">
        <v>3.61E-2</v>
      </c>
      <c r="O324" s="64">
        <v>0.1852</v>
      </c>
      <c r="P324" s="36">
        <v>0</v>
      </c>
      <c r="Q324" s="36">
        <v>0</v>
      </c>
      <c r="R324" s="36">
        <v>0</v>
      </c>
      <c r="S324" s="36">
        <v>0</v>
      </c>
      <c r="T324" s="36">
        <v>0</v>
      </c>
      <c r="U324" s="36">
        <v>0</v>
      </c>
      <c r="V324" s="36">
        <v>0</v>
      </c>
      <c r="W324" s="36">
        <v>0</v>
      </c>
      <c r="X324" s="36">
        <v>0</v>
      </c>
      <c r="Y324" s="36">
        <v>0</v>
      </c>
      <c r="Z324" s="36">
        <v>0</v>
      </c>
      <c r="AA324" s="36">
        <v>28632.36</v>
      </c>
      <c r="AB324" s="36">
        <v>0</v>
      </c>
      <c r="AC324" s="36">
        <v>661884.87</v>
      </c>
      <c r="AD324" s="37">
        <v>67.569999999999993</v>
      </c>
      <c r="AE324" s="36">
        <v>638700.11</v>
      </c>
      <c r="AF324" s="69">
        <f t="shared" si="66"/>
        <v>9452.42</v>
      </c>
      <c r="AG324" s="69">
        <f t="shared" si="67"/>
        <v>9795.5400000000009</v>
      </c>
      <c r="AH324" s="70">
        <f t="shared" si="64"/>
        <v>343.12</v>
      </c>
      <c r="AI324" s="37">
        <v>0</v>
      </c>
      <c r="AJ324" s="36">
        <v>0</v>
      </c>
      <c r="AK324" s="69">
        <f t="shared" si="68"/>
        <v>0</v>
      </c>
      <c r="AL324" s="69">
        <f t="shared" si="69"/>
        <v>0</v>
      </c>
      <c r="AM324" s="70">
        <f t="shared" si="65"/>
        <v>0</v>
      </c>
      <c r="AN324" s="36">
        <v>0</v>
      </c>
      <c r="AO324" s="36">
        <v>0</v>
      </c>
    </row>
    <row r="325" spans="1:41" s="3" customFormat="1">
      <c r="A325" s="55" t="s">
        <v>810</v>
      </c>
      <c r="B325" s="56" t="s">
        <v>809</v>
      </c>
      <c r="C325" s="56" t="s">
        <v>1146</v>
      </c>
      <c r="D325" s="36">
        <v>0</v>
      </c>
      <c r="E325" s="36">
        <v>0</v>
      </c>
      <c r="F325" s="36">
        <v>0</v>
      </c>
      <c r="G325" s="36">
        <v>223633.63</v>
      </c>
      <c r="H325" s="36">
        <v>24150.13</v>
      </c>
      <c r="I325" s="36">
        <v>60231.48</v>
      </c>
      <c r="J325" s="36">
        <v>90034.19</v>
      </c>
      <c r="K325" s="36">
        <v>0</v>
      </c>
      <c r="L325" s="36">
        <v>0</v>
      </c>
      <c r="M325" s="36">
        <v>0</v>
      </c>
      <c r="N325" s="49">
        <v>3.5000000000000003E-2</v>
      </c>
      <c r="O325" s="64">
        <v>0.14979999999999999</v>
      </c>
      <c r="P325" s="36">
        <v>0</v>
      </c>
      <c r="Q325" s="36">
        <v>0</v>
      </c>
      <c r="R325" s="36">
        <v>0</v>
      </c>
      <c r="S325" s="36">
        <v>0</v>
      </c>
      <c r="T325" s="36">
        <v>0</v>
      </c>
      <c r="U325" s="36">
        <v>0</v>
      </c>
      <c r="V325" s="36">
        <v>0</v>
      </c>
      <c r="W325" s="36">
        <v>0</v>
      </c>
      <c r="X325" s="36">
        <v>0</v>
      </c>
      <c r="Y325" s="36">
        <v>0</v>
      </c>
      <c r="Z325" s="36">
        <v>0</v>
      </c>
      <c r="AA325" s="36">
        <v>0</v>
      </c>
      <c r="AB325" s="36">
        <v>0</v>
      </c>
      <c r="AC325" s="36">
        <v>23249.62</v>
      </c>
      <c r="AD325" s="37">
        <v>0</v>
      </c>
      <c r="AE325" s="36">
        <v>0</v>
      </c>
      <c r="AF325" s="69">
        <f t="shared" si="66"/>
        <v>0</v>
      </c>
      <c r="AG325" s="69">
        <f t="shared" si="67"/>
        <v>0</v>
      </c>
      <c r="AH325" s="70">
        <f t="shared" si="64"/>
        <v>0</v>
      </c>
      <c r="AI325" s="37">
        <v>0</v>
      </c>
      <c r="AJ325" s="36">
        <v>0</v>
      </c>
      <c r="AK325" s="69">
        <f t="shared" si="68"/>
        <v>0</v>
      </c>
      <c r="AL325" s="69">
        <f t="shared" si="69"/>
        <v>0</v>
      </c>
      <c r="AM325" s="70">
        <f t="shared" si="65"/>
        <v>0</v>
      </c>
      <c r="AN325" s="36">
        <v>0</v>
      </c>
      <c r="AO325" s="36">
        <v>0</v>
      </c>
    </row>
    <row r="326" spans="1:41" s="3" customFormat="1">
      <c r="A326" s="55" t="s">
        <v>566</v>
      </c>
      <c r="B326" s="55" t="s">
        <v>159</v>
      </c>
      <c r="C326" s="55" t="s">
        <v>1147</v>
      </c>
      <c r="D326" s="36">
        <v>0</v>
      </c>
      <c r="E326" s="36">
        <v>0</v>
      </c>
      <c r="F326" s="36">
        <v>0</v>
      </c>
      <c r="G326" s="36">
        <v>406313.39</v>
      </c>
      <c r="H326" s="36">
        <v>56635.35</v>
      </c>
      <c r="I326" s="36">
        <v>0</v>
      </c>
      <c r="J326" s="36">
        <v>78098.22</v>
      </c>
      <c r="K326" s="36">
        <v>0</v>
      </c>
      <c r="L326" s="36">
        <v>6607.47</v>
      </c>
      <c r="M326" s="36">
        <v>0</v>
      </c>
      <c r="N326" s="49">
        <v>2.7900000000000001E-2</v>
      </c>
      <c r="O326" s="64">
        <v>0.27300000000000002</v>
      </c>
      <c r="P326" s="36">
        <v>0</v>
      </c>
      <c r="Q326" s="36">
        <v>0</v>
      </c>
      <c r="R326" s="36">
        <v>0</v>
      </c>
      <c r="S326" s="36">
        <v>0</v>
      </c>
      <c r="T326" s="36">
        <v>0</v>
      </c>
      <c r="U326" s="36">
        <v>0</v>
      </c>
      <c r="V326" s="36">
        <v>0</v>
      </c>
      <c r="W326" s="36">
        <v>0</v>
      </c>
      <c r="X326" s="36">
        <v>0</v>
      </c>
      <c r="Y326" s="36">
        <v>0</v>
      </c>
      <c r="Z326" s="36">
        <v>0</v>
      </c>
      <c r="AA326" s="36">
        <v>0</v>
      </c>
      <c r="AB326" s="36">
        <v>23192.04</v>
      </c>
      <c r="AC326" s="36">
        <v>149873.24</v>
      </c>
      <c r="AD326" s="37">
        <v>15.41</v>
      </c>
      <c r="AE326" s="36">
        <v>142637.92000000001</v>
      </c>
      <c r="AF326" s="69">
        <f t="shared" si="66"/>
        <v>9256.19</v>
      </c>
      <c r="AG326" s="69">
        <f t="shared" si="67"/>
        <v>9725.7099999999991</v>
      </c>
      <c r="AH326" s="70">
        <f t="shared" si="64"/>
        <v>469.52</v>
      </c>
      <c r="AI326" s="37">
        <v>2.4300000000000002</v>
      </c>
      <c r="AJ326" s="36">
        <v>22010.84</v>
      </c>
      <c r="AK326" s="69">
        <f t="shared" si="68"/>
        <v>9057.9599999999991</v>
      </c>
      <c r="AL326" s="69">
        <f t="shared" si="69"/>
        <v>9544.0499999999993</v>
      </c>
      <c r="AM326" s="70">
        <f t="shared" si="65"/>
        <v>486.09</v>
      </c>
      <c r="AN326" s="36">
        <v>0</v>
      </c>
      <c r="AO326" s="36">
        <v>0</v>
      </c>
    </row>
    <row r="327" spans="1:41" s="3" customFormat="1">
      <c r="A327" s="55" t="s">
        <v>587</v>
      </c>
      <c r="B327" s="55" t="s">
        <v>181</v>
      </c>
      <c r="C327" s="55" t="s">
        <v>1148</v>
      </c>
      <c r="D327" s="36">
        <v>0</v>
      </c>
      <c r="E327" s="36">
        <v>0</v>
      </c>
      <c r="F327" s="36">
        <v>0</v>
      </c>
      <c r="G327" s="36">
        <v>660194.07999999996</v>
      </c>
      <c r="H327" s="36">
        <v>93864.95</v>
      </c>
      <c r="I327" s="36">
        <v>0</v>
      </c>
      <c r="J327" s="36">
        <v>97487.38</v>
      </c>
      <c r="K327" s="36">
        <v>9595.67</v>
      </c>
      <c r="L327" s="36">
        <v>10940.24</v>
      </c>
      <c r="M327" s="36">
        <v>542904.69999999995</v>
      </c>
      <c r="N327" s="49">
        <v>3.39E-2</v>
      </c>
      <c r="O327" s="64">
        <v>0.17119999999999999</v>
      </c>
      <c r="P327" s="36">
        <v>0</v>
      </c>
      <c r="Q327" s="36">
        <v>0</v>
      </c>
      <c r="R327" s="36">
        <v>0</v>
      </c>
      <c r="S327" s="36">
        <v>0</v>
      </c>
      <c r="T327" s="36">
        <v>0</v>
      </c>
      <c r="U327" s="36">
        <v>0</v>
      </c>
      <c r="V327" s="36">
        <v>0</v>
      </c>
      <c r="W327" s="36">
        <v>0</v>
      </c>
      <c r="X327" s="36">
        <v>0</v>
      </c>
      <c r="Y327" s="36">
        <v>0</v>
      </c>
      <c r="Z327" s="36">
        <v>0</v>
      </c>
      <c r="AA327" s="36">
        <v>0</v>
      </c>
      <c r="AB327" s="36">
        <v>73279.87</v>
      </c>
      <c r="AC327" s="36">
        <v>259532.53</v>
      </c>
      <c r="AD327" s="37">
        <v>26.18</v>
      </c>
      <c r="AE327" s="36">
        <v>242519.29</v>
      </c>
      <c r="AF327" s="69">
        <f t="shared" si="66"/>
        <v>9263.5300000000007</v>
      </c>
      <c r="AG327" s="69">
        <f t="shared" si="67"/>
        <v>9913.39</v>
      </c>
      <c r="AH327" s="70">
        <f t="shared" ref="AH327:AH336" si="70">ROUND(AG327-AF327,2)</f>
        <v>649.86</v>
      </c>
      <c r="AI327" s="37">
        <v>7.67</v>
      </c>
      <c r="AJ327" s="36">
        <v>69649.97</v>
      </c>
      <c r="AK327" s="69">
        <f t="shared" si="68"/>
        <v>9080.83</v>
      </c>
      <c r="AL327" s="69">
        <f t="shared" si="69"/>
        <v>9554.09</v>
      </c>
      <c r="AM327" s="70">
        <f t="shared" ref="AM327:AM336" si="71">ROUND(AL327-AK327,2)</f>
        <v>473.26</v>
      </c>
      <c r="AN327" s="36">
        <v>0</v>
      </c>
      <c r="AO327" s="36">
        <v>0</v>
      </c>
    </row>
    <row r="328" spans="1:41" s="3" customFormat="1">
      <c r="A328" s="55" t="s">
        <v>485</v>
      </c>
      <c r="B328" s="55" t="s">
        <v>78</v>
      </c>
      <c r="C328" s="55" t="s">
        <v>1149</v>
      </c>
      <c r="D328" s="36">
        <v>0</v>
      </c>
      <c r="E328" s="36">
        <v>0</v>
      </c>
      <c r="F328" s="36">
        <v>1494.33</v>
      </c>
      <c r="G328" s="36">
        <v>222641.14</v>
      </c>
      <c r="H328" s="36">
        <v>29348.41</v>
      </c>
      <c r="I328" s="36">
        <v>37474</v>
      </c>
      <c r="J328" s="36">
        <v>54736.09</v>
      </c>
      <c r="K328" s="36">
        <v>0</v>
      </c>
      <c r="L328" s="36">
        <v>0</v>
      </c>
      <c r="M328" s="36">
        <v>231859.78</v>
      </c>
      <c r="N328" s="49">
        <v>2.0199999999999999E-2</v>
      </c>
      <c r="O328" s="64">
        <v>0.2601</v>
      </c>
      <c r="P328" s="36">
        <v>0</v>
      </c>
      <c r="Q328" s="36">
        <v>0</v>
      </c>
      <c r="R328" s="36">
        <v>0</v>
      </c>
      <c r="S328" s="36">
        <v>0</v>
      </c>
      <c r="T328" s="36">
        <v>0</v>
      </c>
      <c r="U328" s="36">
        <v>0</v>
      </c>
      <c r="V328" s="36">
        <v>0</v>
      </c>
      <c r="W328" s="36">
        <v>0</v>
      </c>
      <c r="X328" s="36">
        <v>0</v>
      </c>
      <c r="Y328" s="36">
        <v>0</v>
      </c>
      <c r="Z328" s="36">
        <v>3300.18</v>
      </c>
      <c r="AA328" s="36">
        <v>0</v>
      </c>
      <c r="AB328" s="36">
        <v>45629.74</v>
      </c>
      <c r="AC328" s="36">
        <v>72942.16</v>
      </c>
      <c r="AD328" s="37">
        <v>7.19</v>
      </c>
      <c r="AE328" s="36">
        <v>67132.649999999994</v>
      </c>
      <c r="AF328" s="69">
        <f t="shared" ref="AF328:AF336" si="72">IFERROR(ROUND(AE328/AD328,2),0)</f>
        <v>9336.9500000000007</v>
      </c>
      <c r="AG328" s="69">
        <f t="shared" ref="AG328:AG336" si="73">IFERROR(ROUND(AC328/AD328,2),0)</f>
        <v>10144.950000000001</v>
      </c>
      <c r="AH328" s="70">
        <f t="shared" si="70"/>
        <v>808</v>
      </c>
      <c r="AI328" s="37">
        <v>4.75</v>
      </c>
      <c r="AJ328" s="36">
        <v>43398.01</v>
      </c>
      <c r="AK328" s="69">
        <f t="shared" ref="AK328:AK336" si="74">IFERROR(ROUND(AJ328/AI328,2),0)</f>
        <v>9136.42</v>
      </c>
      <c r="AL328" s="69">
        <f t="shared" ref="AL328:AL336" si="75">IFERROR(ROUND(AB328/AI328,2),0)</f>
        <v>9606.26</v>
      </c>
      <c r="AM328" s="70">
        <f t="shared" si="71"/>
        <v>469.84</v>
      </c>
      <c r="AN328" s="36">
        <v>0</v>
      </c>
      <c r="AO328" s="36">
        <v>0</v>
      </c>
    </row>
    <row r="329" spans="1:41" s="3" customFormat="1">
      <c r="A329" s="55" t="s">
        <v>553</v>
      </c>
      <c r="B329" s="55" t="s">
        <v>146</v>
      </c>
      <c r="C329" s="55" t="s">
        <v>1150</v>
      </c>
      <c r="D329" s="36">
        <v>0</v>
      </c>
      <c r="E329" s="36">
        <v>0</v>
      </c>
      <c r="F329" s="36">
        <v>0</v>
      </c>
      <c r="G329" s="36">
        <v>1408869.35</v>
      </c>
      <c r="H329" s="36">
        <v>198429.54</v>
      </c>
      <c r="I329" s="36">
        <v>257292.35</v>
      </c>
      <c r="J329" s="36">
        <v>416474.91</v>
      </c>
      <c r="K329" s="36">
        <v>70115.03</v>
      </c>
      <c r="L329" s="36">
        <v>22943.27</v>
      </c>
      <c r="M329" s="36">
        <v>755649.74</v>
      </c>
      <c r="N329" s="49">
        <v>6.3799999999999996E-2</v>
      </c>
      <c r="O329" s="64">
        <v>0.1467</v>
      </c>
      <c r="P329" s="36">
        <v>0</v>
      </c>
      <c r="Q329" s="36">
        <v>0</v>
      </c>
      <c r="R329" s="36">
        <v>0</v>
      </c>
      <c r="S329" s="36">
        <v>0</v>
      </c>
      <c r="T329" s="36">
        <v>0</v>
      </c>
      <c r="U329" s="36">
        <v>0</v>
      </c>
      <c r="V329" s="36">
        <v>0</v>
      </c>
      <c r="W329" s="36">
        <v>0</v>
      </c>
      <c r="X329" s="36">
        <v>0</v>
      </c>
      <c r="Y329" s="36">
        <v>0</v>
      </c>
      <c r="Z329" s="36">
        <v>0</v>
      </c>
      <c r="AA329" s="36">
        <v>22579.48</v>
      </c>
      <c r="AB329" s="36">
        <v>76859.09</v>
      </c>
      <c r="AC329" s="36">
        <v>586522.96</v>
      </c>
      <c r="AD329" s="37">
        <v>56.08</v>
      </c>
      <c r="AE329" s="36">
        <v>522278.39</v>
      </c>
      <c r="AF329" s="69">
        <f t="shared" si="72"/>
        <v>9313.1</v>
      </c>
      <c r="AG329" s="69">
        <f t="shared" si="73"/>
        <v>10458.68</v>
      </c>
      <c r="AH329" s="70">
        <f t="shared" si="70"/>
        <v>1145.58</v>
      </c>
      <c r="AI329" s="37">
        <v>8.01</v>
      </c>
      <c r="AJ329" s="36">
        <v>73073.63</v>
      </c>
      <c r="AK329" s="69">
        <f t="shared" si="74"/>
        <v>9122.7999999999993</v>
      </c>
      <c r="AL329" s="69">
        <f t="shared" si="75"/>
        <v>9595.39</v>
      </c>
      <c r="AM329" s="70">
        <f t="shared" si="71"/>
        <v>472.59</v>
      </c>
      <c r="AN329" s="36">
        <v>0</v>
      </c>
      <c r="AO329" s="36">
        <v>0</v>
      </c>
    </row>
    <row r="330" spans="1:41" s="3" customFormat="1">
      <c r="A330" s="55" t="s">
        <v>497</v>
      </c>
      <c r="B330" s="55" t="s">
        <v>90</v>
      </c>
      <c r="C330" s="55" t="s">
        <v>1151</v>
      </c>
      <c r="D330" s="36">
        <v>0</v>
      </c>
      <c r="E330" s="36">
        <v>0</v>
      </c>
      <c r="F330" s="36">
        <v>0</v>
      </c>
      <c r="G330" s="36">
        <v>311222.49</v>
      </c>
      <c r="H330" s="36">
        <v>31290.82</v>
      </c>
      <c r="I330" s="36">
        <v>56759.33</v>
      </c>
      <c r="J330" s="36">
        <v>80697.89</v>
      </c>
      <c r="K330" s="36">
        <v>0</v>
      </c>
      <c r="L330" s="36">
        <v>0</v>
      </c>
      <c r="M330" s="36">
        <v>132676.88</v>
      </c>
      <c r="N330" s="49">
        <v>7.8899999999999998E-2</v>
      </c>
      <c r="O330" s="64">
        <v>0.26469999999999999</v>
      </c>
      <c r="P330" s="36">
        <v>0</v>
      </c>
      <c r="Q330" s="36">
        <v>0</v>
      </c>
      <c r="R330" s="36">
        <v>0</v>
      </c>
      <c r="S330" s="36">
        <v>0</v>
      </c>
      <c r="T330" s="36">
        <v>0</v>
      </c>
      <c r="U330" s="36">
        <v>0</v>
      </c>
      <c r="V330" s="36">
        <v>0</v>
      </c>
      <c r="W330" s="36">
        <v>0</v>
      </c>
      <c r="X330" s="36">
        <v>0</v>
      </c>
      <c r="Y330" s="36">
        <v>0</v>
      </c>
      <c r="Z330" s="36">
        <v>0</v>
      </c>
      <c r="AA330" s="36">
        <v>0</v>
      </c>
      <c r="AB330" s="36">
        <v>38631.03</v>
      </c>
      <c r="AC330" s="36">
        <v>115509.25</v>
      </c>
      <c r="AD330" s="37">
        <v>12.09</v>
      </c>
      <c r="AE330" s="36">
        <v>112037.78</v>
      </c>
      <c r="AF330" s="69">
        <f t="shared" si="72"/>
        <v>9266.98</v>
      </c>
      <c r="AG330" s="69">
        <f t="shared" si="73"/>
        <v>9554.11</v>
      </c>
      <c r="AH330" s="70">
        <f t="shared" si="70"/>
        <v>287.13</v>
      </c>
      <c r="AI330" s="37">
        <v>4.04</v>
      </c>
      <c r="AJ330" s="36">
        <v>36808.25</v>
      </c>
      <c r="AK330" s="69">
        <f t="shared" si="74"/>
        <v>9110.9500000000007</v>
      </c>
      <c r="AL330" s="69">
        <f t="shared" si="75"/>
        <v>9562.14</v>
      </c>
      <c r="AM330" s="70">
        <f t="shared" si="71"/>
        <v>451.19</v>
      </c>
      <c r="AN330" s="36">
        <v>0</v>
      </c>
      <c r="AO330" s="36">
        <v>0</v>
      </c>
    </row>
    <row r="331" spans="1:41" s="3" customFormat="1">
      <c r="A331" s="55" t="s">
        <v>538</v>
      </c>
      <c r="B331" s="55" t="s">
        <v>131</v>
      </c>
      <c r="C331" s="55" t="s">
        <v>1152</v>
      </c>
      <c r="D331" s="36">
        <v>0</v>
      </c>
      <c r="E331" s="36">
        <v>0</v>
      </c>
      <c r="F331" s="36">
        <v>0</v>
      </c>
      <c r="G331" s="36">
        <v>0</v>
      </c>
      <c r="H331" s="36">
        <v>0</v>
      </c>
      <c r="I331" s="36">
        <v>31954.2</v>
      </c>
      <c r="J331" s="36">
        <v>58059.14</v>
      </c>
      <c r="K331" s="36">
        <v>0</v>
      </c>
      <c r="L331" s="36">
        <v>0</v>
      </c>
      <c r="M331" s="36">
        <v>140087.64000000001</v>
      </c>
      <c r="N331" s="49">
        <v>2.5499999999999998E-2</v>
      </c>
      <c r="O331" s="64">
        <v>0.28499999999999998</v>
      </c>
      <c r="P331" s="36">
        <v>0</v>
      </c>
      <c r="Q331" s="36">
        <v>0</v>
      </c>
      <c r="R331" s="36">
        <v>0</v>
      </c>
      <c r="S331" s="36">
        <v>0</v>
      </c>
      <c r="T331" s="36">
        <v>0</v>
      </c>
      <c r="U331" s="36">
        <v>0</v>
      </c>
      <c r="V331" s="36">
        <v>0</v>
      </c>
      <c r="W331" s="36">
        <v>0</v>
      </c>
      <c r="X331" s="36">
        <v>0</v>
      </c>
      <c r="Y331" s="36">
        <v>0</v>
      </c>
      <c r="Z331" s="36">
        <v>0</v>
      </c>
      <c r="AA331" s="36">
        <v>0</v>
      </c>
      <c r="AB331" s="36">
        <v>0</v>
      </c>
      <c r="AC331" s="36">
        <v>72163.56</v>
      </c>
      <c r="AD331" s="37">
        <v>7.56</v>
      </c>
      <c r="AE331" s="36">
        <v>70084.67</v>
      </c>
      <c r="AF331" s="69">
        <f t="shared" si="72"/>
        <v>9270.4599999999991</v>
      </c>
      <c r="AG331" s="69">
        <f t="shared" si="73"/>
        <v>9545.44</v>
      </c>
      <c r="AH331" s="70">
        <f t="shared" si="70"/>
        <v>274.98</v>
      </c>
      <c r="AI331" s="37">
        <v>0</v>
      </c>
      <c r="AJ331" s="36">
        <v>0</v>
      </c>
      <c r="AK331" s="69">
        <f t="shared" si="74"/>
        <v>0</v>
      </c>
      <c r="AL331" s="69">
        <f t="shared" si="75"/>
        <v>0</v>
      </c>
      <c r="AM331" s="70">
        <f t="shared" si="71"/>
        <v>0</v>
      </c>
      <c r="AN331" s="36">
        <v>0</v>
      </c>
      <c r="AO331" s="36">
        <v>0</v>
      </c>
    </row>
    <row r="332" spans="1:41" s="3" customFormat="1">
      <c r="A332" s="55" t="s">
        <v>459</v>
      </c>
      <c r="B332" s="55" t="s">
        <v>52</v>
      </c>
      <c r="C332" s="55" t="s">
        <v>1153</v>
      </c>
      <c r="D332" s="36">
        <v>0</v>
      </c>
      <c r="E332" s="36">
        <v>0</v>
      </c>
      <c r="F332" s="36">
        <v>0</v>
      </c>
      <c r="G332" s="36">
        <v>4496929.21</v>
      </c>
      <c r="H332" s="36">
        <v>774390.63</v>
      </c>
      <c r="I332" s="36">
        <v>99437.11</v>
      </c>
      <c r="J332" s="36">
        <v>769283.66</v>
      </c>
      <c r="K332" s="36">
        <v>349282.8</v>
      </c>
      <c r="L332" s="36">
        <v>73873.77</v>
      </c>
      <c r="M332" s="36">
        <v>8347412.1299999999</v>
      </c>
      <c r="N332" s="49">
        <v>9.7000000000000003E-3</v>
      </c>
      <c r="O332" s="64">
        <v>0.15049999999999999</v>
      </c>
      <c r="P332" s="36">
        <v>0</v>
      </c>
      <c r="Q332" s="36">
        <v>0</v>
      </c>
      <c r="R332" s="36">
        <v>0</v>
      </c>
      <c r="S332" s="36">
        <v>0</v>
      </c>
      <c r="T332" s="36">
        <v>0</v>
      </c>
      <c r="U332" s="36">
        <v>0</v>
      </c>
      <c r="V332" s="36">
        <v>0</v>
      </c>
      <c r="W332" s="36">
        <v>0</v>
      </c>
      <c r="X332" s="36">
        <v>0</v>
      </c>
      <c r="Y332" s="36">
        <v>0</v>
      </c>
      <c r="Z332" s="36">
        <v>0</v>
      </c>
      <c r="AA332" s="36">
        <v>0</v>
      </c>
      <c r="AB332" s="36">
        <v>0</v>
      </c>
      <c r="AC332" s="36">
        <v>682865.15</v>
      </c>
      <c r="AD332" s="37">
        <v>69.84</v>
      </c>
      <c r="AE332" s="36">
        <v>647177.21</v>
      </c>
      <c r="AF332" s="69">
        <f t="shared" si="72"/>
        <v>9266.57</v>
      </c>
      <c r="AG332" s="69">
        <f t="shared" si="73"/>
        <v>9777.57</v>
      </c>
      <c r="AH332" s="70">
        <f t="shared" si="70"/>
        <v>511</v>
      </c>
      <c r="AI332" s="37">
        <v>0</v>
      </c>
      <c r="AJ332" s="36">
        <v>0</v>
      </c>
      <c r="AK332" s="69">
        <f t="shared" si="74"/>
        <v>0</v>
      </c>
      <c r="AL332" s="69">
        <f t="shared" si="75"/>
        <v>0</v>
      </c>
      <c r="AM332" s="70">
        <f t="shared" si="71"/>
        <v>0</v>
      </c>
      <c r="AN332" s="36">
        <v>0</v>
      </c>
      <c r="AO332" s="36">
        <v>0</v>
      </c>
    </row>
    <row r="333" spans="1:41" s="3" customFormat="1">
      <c r="A333" s="55" t="s">
        <v>762</v>
      </c>
      <c r="B333" s="55" t="s">
        <v>763</v>
      </c>
      <c r="C333" s="55" t="s">
        <v>1154</v>
      </c>
      <c r="D333" s="36">
        <v>21091.93</v>
      </c>
      <c r="E333" s="36">
        <v>0</v>
      </c>
      <c r="F333" s="36">
        <v>0</v>
      </c>
      <c r="G333" s="36">
        <v>225358.37</v>
      </c>
      <c r="H333" s="36">
        <v>45163.45</v>
      </c>
      <c r="I333" s="36">
        <v>0</v>
      </c>
      <c r="J333" s="36">
        <v>0</v>
      </c>
      <c r="K333" s="36">
        <v>0</v>
      </c>
      <c r="L333" s="36">
        <v>0</v>
      </c>
      <c r="M333" s="36">
        <v>0</v>
      </c>
      <c r="N333" s="49">
        <v>3.5000000000000003E-2</v>
      </c>
      <c r="O333" s="64">
        <v>0.14979999999999999</v>
      </c>
      <c r="P333" s="36">
        <v>0</v>
      </c>
      <c r="Q333" s="36">
        <v>0</v>
      </c>
      <c r="R333" s="36">
        <v>0</v>
      </c>
      <c r="S333" s="36">
        <v>0</v>
      </c>
      <c r="T333" s="36">
        <v>0</v>
      </c>
      <c r="U333" s="36">
        <v>0</v>
      </c>
      <c r="V333" s="36">
        <v>0</v>
      </c>
      <c r="W333" s="36">
        <v>0</v>
      </c>
      <c r="X333" s="36">
        <v>0</v>
      </c>
      <c r="Y333" s="36">
        <v>0</v>
      </c>
      <c r="Z333" s="36">
        <v>0</v>
      </c>
      <c r="AA333" s="36">
        <v>0</v>
      </c>
      <c r="AB333" s="36">
        <v>0</v>
      </c>
      <c r="AC333" s="36">
        <v>0</v>
      </c>
      <c r="AD333" s="37">
        <v>0</v>
      </c>
      <c r="AE333" s="36">
        <v>0</v>
      </c>
      <c r="AF333" s="69">
        <f t="shared" si="72"/>
        <v>0</v>
      </c>
      <c r="AG333" s="69">
        <f t="shared" si="73"/>
        <v>0</v>
      </c>
      <c r="AH333" s="70">
        <f t="shared" si="70"/>
        <v>0</v>
      </c>
      <c r="AI333" s="37">
        <v>0</v>
      </c>
      <c r="AJ333" s="36">
        <v>0</v>
      </c>
      <c r="AK333" s="69">
        <f t="shared" si="74"/>
        <v>0</v>
      </c>
      <c r="AL333" s="69">
        <f t="shared" si="75"/>
        <v>0</v>
      </c>
      <c r="AM333" s="70">
        <f t="shared" si="71"/>
        <v>0</v>
      </c>
      <c r="AN333" s="36">
        <v>0</v>
      </c>
      <c r="AO333" s="36">
        <v>0</v>
      </c>
    </row>
    <row r="334" spans="1:41" s="3" customFormat="1">
      <c r="A334" s="55" t="s">
        <v>697</v>
      </c>
      <c r="B334" s="55" t="s">
        <v>294</v>
      </c>
      <c r="C334" s="55" t="s">
        <v>1155</v>
      </c>
      <c r="D334" s="36">
        <v>0</v>
      </c>
      <c r="E334" s="36">
        <v>166801.67000000001</v>
      </c>
      <c r="F334" s="36">
        <v>448827.92</v>
      </c>
      <c r="G334" s="36">
        <v>25697471.890000001</v>
      </c>
      <c r="H334" s="36">
        <v>6097767.2599999998</v>
      </c>
      <c r="I334" s="36">
        <v>4722179.82</v>
      </c>
      <c r="J334" s="36">
        <v>9067625.1099999994</v>
      </c>
      <c r="K334" s="36">
        <v>8545700.8900000006</v>
      </c>
      <c r="L334" s="36">
        <v>477688.11</v>
      </c>
      <c r="M334" s="36">
        <v>4678554.6399999997</v>
      </c>
      <c r="N334" s="49">
        <v>2.29E-2</v>
      </c>
      <c r="O334" s="64">
        <v>9.4799999999999995E-2</v>
      </c>
      <c r="P334" s="36">
        <v>0</v>
      </c>
      <c r="Q334" s="36">
        <v>0</v>
      </c>
      <c r="R334" s="36">
        <v>0</v>
      </c>
      <c r="S334" s="36">
        <v>514456.37</v>
      </c>
      <c r="T334" s="36">
        <v>0</v>
      </c>
      <c r="U334" s="36">
        <v>16374.16</v>
      </c>
      <c r="V334" s="36">
        <v>0</v>
      </c>
      <c r="W334" s="36">
        <v>0</v>
      </c>
      <c r="X334" s="36">
        <v>0</v>
      </c>
      <c r="Y334" s="36">
        <v>0</v>
      </c>
      <c r="Z334" s="36">
        <v>29118.19</v>
      </c>
      <c r="AA334" s="36">
        <v>228067.17</v>
      </c>
      <c r="AB334" s="36">
        <v>4852075.51</v>
      </c>
      <c r="AC334" s="36">
        <v>9637516.9199999999</v>
      </c>
      <c r="AD334" s="37">
        <v>984.39</v>
      </c>
      <c r="AE334" s="36">
        <v>9121275.6699999999</v>
      </c>
      <c r="AF334" s="69">
        <f t="shared" si="72"/>
        <v>9265.92</v>
      </c>
      <c r="AG334" s="69">
        <f t="shared" si="73"/>
        <v>9790.34</v>
      </c>
      <c r="AH334" s="70">
        <f t="shared" si="70"/>
        <v>524.41999999999996</v>
      </c>
      <c r="AI334" s="37">
        <v>508.12</v>
      </c>
      <c r="AJ334" s="36">
        <v>4615892.6399999997</v>
      </c>
      <c r="AK334" s="69">
        <f t="shared" si="74"/>
        <v>9084.26</v>
      </c>
      <c r="AL334" s="69">
        <f t="shared" si="75"/>
        <v>9549.07</v>
      </c>
      <c r="AM334" s="70">
        <f t="shared" si="71"/>
        <v>464.81</v>
      </c>
      <c r="AN334" s="36">
        <v>0</v>
      </c>
      <c r="AO334" s="36">
        <v>0</v>
      </c>
    </row>
    <row r="335" spans="1:41" s="3" customFormat="1">
      <c r="A335" s="55" t="s">
        <v>659</v>
      </c>
      <c r="B335" s="55" t="s">
        <v>256</v>
      </c>
      <c r="C335" s="55" t="s">
        <v>1156</v>
      </c>
      <c r="D335" s="36">
        <v>0</v>
      </c>
      <c r="E335" s="36">
        <v>8073.12</v>
      </c>
      <c r="F335" s="36">
        <v>42.27</v>
      </c>
      <c r="G335" s="36">
        <v>10870523.02</v>
      </c>
      <c r="H335" s="36">
        <v>2038136.75</v>
      </c>
      <c r="I335" s="36">
        <v>215827.62</v>
      </c>
      <c r="J335" s="36">
        <v>1931508.99</v>
      </c>
      <c r="K335" s="36">
        <v>401211.58</v>
      </c>
      <c r="L335" s="36">
        <v>181983.48</v>
      </c>
      <c r="M335" s="36">
        <v>5172375.0199999996</v>
      </c>
      <c r="N335" s="49">
        <v>3.0099999999999998E-2</v>
      </c>
      <c r="O335" s="64">
        <v>0.14610000000000001</v>
      </c>
      <c r="P335" s="36">
        <v>0</v>
      </c>
      <c r="Q335" s="36">
        <v>0</v>
      </c>
      <c r="R335" s="36">
        <v>0</v>
      </c>
      <c r="S335" s="36">
        <v>0</v>
      </c>
      <c r="T335" s="36">
        <v>0</v>
      </c>
      <c r="U335" s="36">
        <v>0</v>
      </c>
      <c r="V335" s="36">
        <v>0</v>
      </c>
      <c r="W335" s="36">
        <v>0</v>
      </c>
      <c r="X335" s="36">
        <v>0</v>
      </c>
      <c r="Y335" s="36">
        <v>0</v>
      </c>
      <c r="Z335" s="36">
        <v>0</v>
      </c>
      <c r="AA335" s="36">
        <v>253755.02</v>
      </c>
      <c r="AB335" s="36">
        <v>0</v>
      </c>
      <c r="AC335" s="36">
        <v>4107453.79</v>
      </c>
      <c r="AD335" s="37">
        <v>397.59</v>
      </c>
      <c r="AE335" s="36">
        <v>3836348.35</v>
      </c>
      <c r="AF335" s="69">
        <f t="shared" si="72"/>
        <v>9649.01</v>
      </c>
      <c r="AG335" s="69">
        <f t="shared" si="73"/>
        <v>10330.879999999999</v>
      </c>
      <c r="AH335" s="70">
        <f t="shared" si="70"/>
        <v>681.87</v>
      </c>
      <c r="AI335" s="37">
        <v>0</v>
      </c>
      <c r="AJ335" s="36">
        <v>0</v>
      </c>
      <c r="AK335" s="69">
        <f t="shared" si="74"/>
        <v>0</v>
      </c>
      <c r="AL335" s="69">
        <f t="shared" si="75"/>
        <v>0</v>
      </c>
      <c r="AM335" s="70">
        <f t="shared" si="71"/>
        <v>0</v>
      </c>
      <c r="AN335" s="36">
        <v>0</v>
      </c>
      <c r="AO335" s="36">
        <v>0</v>
      </c>
    </row>
    <row r="336" spans="1:41" s="3" customFormat="1">
      <c r="A336" s="55" t="s">
        <v>705</v>
      </c>
      <c r="B336" s="55" t="s">
        <v>303</v>
      </c>
      <c r="C336" s="55" t="s">
        <v>1157</v>
      </c>
      <c r="D336" s="36">
        <v>0</v>
      </c>
      <c r="E336" s="36">
        <v>17532.740000000002</v>
      </c>
      <c r="F336" s="36">
        <v>0</v>
      </c>
      <c r="G336" s="36">
        <v>1638799.03</v>
      </c>
      <c r="H336" s="36">
        <v>229189.61</v>
      </c>
      <c r="I336" s="36">
        <v>424611.64</v>
      </c>
      <c r="J336" s="36">
        <v>641358.56000000006</v>
      </c>
      <c r="K336" s="36">
        <v>284352.03999999998</v>
      </c>
      <c r="L336" s="36">
        <v>0</v>
      </c>
      <c r="M336" s="36">
        <v>681110.41</v>
      </c>
      <c r="N336" s="49">
        <v>7.2300000000000003E-2</v>
      </c>
      <c r="O336" s="64">
        <v>0.18479999999999999</v>
      </c>
      <c r="P336" s="36">
        <v>0</v>
      </c>
      <c r="Q336" s="36">
        <v>0</v>
      </c>
      <c r="R336" s="36">
        <v>0</v>
      </c>
      <c r="S336" s="36">
        <v>0</v>
      </c>
      <c r="T336" s="36">
        <v>0</v>
      </c>
      <c r="U336" s="36">
        <v>0</v>
      </c>
      <c r="V336" s="36">
        <v>0</v>
      </c>
      <c r="W336" s="36">
        <v>0</v>
      </c>
      <c r="X336" s="36">
        <v>0</v>
      </c>
      <c r="Y336" s="36">
        <v>0</v>
      </c>
      <c r="Z336" s="36">
        <v>0</v>
      </c>
      <c r="AA336" s="36">
        <v>69059.009999999995</v>
      </c>
      <c r="AB336" s="36">
        <v>0</v>
      </c>
      <c r="AC336" s="36">
        <v>728240.79</v>
      </c>
      <c r="AD336" s="37">
        <v>75.3</v>
      </c>
      <c r="AE336" s="36">
        <v>697859.94</v>
      </c>
      <c r="AF336" s="69">
        <f t="shared" si="72"/>
        <v>9267.73</v>
      </c>
      <c r="AG336" s="69">
        <f t="shared" si="73"/>
        <v>9671.19</v>
      </c>
      <c r="AH336" s="70">
        <f t="shared" si="70"/>
        <v>403.46</v>
      </c>
      <c r="AI336" s="37">
        <v>0</v>
      </c>
      <c r="AJ336" s="36">
        <v>0</v>
      </c>
      <c r="AK336" s="69">
        <f t="shared" si="74"/>
        <v>0</v>
      </c>
      <c r="AL336" s="69">
        <f t="shared" si="75"/>
        <v>0</v>
      </c>
      <c r="AM336" s="70">
        <f t="shared" si="71"/>
        <v>0</v>
      </c>
      <c r="AN336" s="36">
        <v>100</v>
      </c>
      <c r="AO336" s="36">
        <v>0</v>
      </c>
    </row>
    <row r="337" spans="4:41" s="3" customFormat="1"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P337" s="35"/>
      <c r="Q337" s="35"/>
      <c r="R337" s="35"/>
      <c r="S337" s="35"/>
      <c r="T337" s="35"/>
      <c r="U337" s="35"/>
      <c r="V337" s="35"/>
      <c r="W337" s="36"/>
      <c r="X337" s="36"/>
      <c r="Y337" s="35"/>
      <c r="Z337" s="35"/>
      <c r="AA337" s="35"/>
      <c r="AB337" s="35"/>
      <c r="AC337" s="35"/>
      <c r="AD337" s="35"/>
      <c r="AE337" s="37"/>
      <c r="AF337" s="37"/>
      <c r="AG337" s="37"/>
      <c r="AH337" s="35"/>
      <c r="AI337" s="35"/>
      <c r="AJ337" s="37"/>
      <c r="AK337" s="37"/>
      <c r="AL337" s="37"/>
      <c r="AM337" s="37"/>
      <c r="AN337" s="35"/>
      <c r="AO337" s="35"/>
    </row>
    <row r="338" spans="4:41" s="3" customFormat="1">
      <c r="D338" s="38"/>
      <c r="Z338" s="36"/>
    </row>
    <row r="339" spans="4:41">
      <c r="Z339" s="1"/>
    </row>
    <row r="340" spans="4:41">
      <c r="Z340" s="1"/>
    </row>
    <row r="341" spans="4:41">
      <c r="Z341" s="1"/>
    </row>
  </sheetData>
  <autoFilter ref="A6:AO336" xr:uid="{B7B6668D-8735-4CDF-8A59-C29F16617D39}"/>
  <sortState xmlns:xlrd2="http://schemas.microsoft.com/office/spreadsheetml/2017/richdata2" ref="A2:AL332">
    <sortCondition ref="B7:B328"/>
  </sortState>
  <phoneticPr fontId="1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RECOVERY</vt:lpstr>
      <vt:lpstr>ALLOC</vt:lpstr>
      <vt:lpstr>Data</vt:lpstr>
      <vt:lpstr>DISNAME</vt:lpstr>
      <vt:lpstr>RECOVERY!Print_Area</vt:lpstr>
      <vt:lpstr>RECOVERY!Print_Titles</vt:lpstr>
    </vt:vector>
  </TitlesOfParts>
  <Company>OSPI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Jarmon</dc:creator>
  <cp:keywords>Recovery;2020-21</cp:keywords>
  <cp:lastModifiedBy>Melissa Jarmon</cp:lastModifiedBy>
  <cp:lastPrinted>2017-05-17T19:51:51Z</cp:lastPrinted>
  <dcterms:created xsi:type="dcterms:W3CDTF">2003-10-16T17:39:07Z</dcterms:created>
  <dcterms:modified xsi:type="dcterms:W3CDTF">2025-05-02T17:24:16Z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1115160665</vt:i4>
  </property>
  <property fmtid="{D5CDD505-2E9C-101B-9397-08002B2CF9AE}" pid="3" name="_EmailSubject">
    <vt:lpwstr>Spreadsheet for Recovery Estimates</vt:lpwstr>
  </property>
  <property fmtid="{D5CDD505-2E9C-101B-9397-08002B2CF9AE}" pid="4" name="_AuthorEmail">
    <vt:lpwstr>SShish@ospi.wednet.edu</vt:lpwstr>
  </property>
  <property fmtid="{D5CDD505-2E9C-101B-9397-08002B2CF9AE}" pid="5" name="_AuthorEmailDisplayName">
    <vt:lpwstr>Steve Shish</vt:lpwstr>
  </property>
  <property fmtid="{D5CDD505-2E9C-101B-9397-08002B2CF9AE}" pid="6" name="_ReviewingToolsShownOnce">
    <vt:lpwstr/>
  </property>
  <property fmtid="{D5CDD505-2E9C-101B-9397-08002B2CF9AE}" pid="7" name="MSIP_Label_9145f431-4c8c-42c6-a5a5-ba6d3bdea585_Enabled">
    <vt:lpwstr>true</vt:lpwstr>
  </property>
  <property fmtid="{D5CDD505-2E9C-101B-9397-08002B2CF9AE}" pid="8" name="MSIP_Label_9145f431-4c8c-42c6-a5a5-ba6d3bdea585_SetDate">
    <vt:lpwstr>2024-07-11T17:27:09Z</vt:lpwstr>
  </property>
  <property fmtid="{D5CDD505-2E9C-101B-9397-08002B2CF9AE}" pid="9" name="MSIP_Label_9145f431-4c8c-42c6-a5a5-ba6d3bdea585_Method">
    <vt:lpwstr>Standard</vt:lpwstr>
  </property>
  <property fmtid="{D5CDD505-2E9C-101B-9397-08002B2CF9AE}" pid="10" name="MSIP_Label_9145f431-4c8c-42c6-a5a5-ba6d3bdea585_Name">
    <vt:lpwstr>defa4170-0d19-0005-0004-bc88714345d2</vt:lpwstr>
  </property>
  <property fmtid="{D5CDD505-2E9C-101B-9397-08002B2CF9AE}" pid="11" name="MSIP_Label_9145f431-4c8c-42c6-a5a5-ba6d3bdea585_SiteId">
    <vt:lpwstr>b2fe5ccf-10a5-46fe-ae45-a0267412af7a</vt:lpwstr>
  </property>
  <property fmtid="{D5CDD505-2E9C-101B-9397-08002B2CF9AE}" pid="12" name="MSIP_Label_9145f431-4c8c-42c6-a5a5-ba6d3bdea585_ActionId">
    <vt:lpwstr>13584ff8-9834-45b2-bb21-bd5161b648d8</vt:lpwstr>
  </property>
  <property fmtid="{D5CDD505-2E9C-101B-9397-08002B2CF9AE}" pid="13" name="MSIP_Label_9145f431-4c8c-42c6-a5a5-ba6d3bdea585_ContentBits">
    <vt:lpwstr>0</vt:lpwstr>
  </property>
</Properties>
</file>