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waospi-my.sharepoint.com/personal/carrie_hert_k12_wa_us/Documents/Desktop/Amy H Docs to Post/"/>
    </mc:Choice>
  </mc:AlternateContent>
  <xr:revisionPtr revIDLastSave="0" documentId="8_{F300890D-0E3D-4C09-878E-9D7D1919CEB6}" xr6:coauthVersionLast="47" xr6:coauthVersionMax="47" xr10:uidLastSave="{00000000-0000-0000-0000-000000000000}"/>
  <bookViews>
    <workbookView xWindow="-28920" yWindow="-120" windowWidth="29040" windowHeight="15840" xr2:uid="{085E87EA-DCD3-4319-AFBA-68F44344C9DB}"/>
  </bookViews>
  <sheets>
    <sheet name="District" sheetId="41" r:id="rId1"/>
    <sheet name="Assumptions " sheetId="12" state="hidden" r:id="rId2"/>
    <sheet name="State Reservations" sheetId="19" state="hidden" r:id="rId3"/>
    <sheet name="Basic HH" sheetId="36" state="hidden" r:id="rId4"/>
    <sheet name="Conc. HH" sheetId="37" state="hidden" r:id="rId5"/>
    <sheet name="Targeted HH" sheetId="38" state="hidden" r:id="rId6"/>
    <sheet name="EFIG HH" sheetId="39" state="hidden" r:id="rId7"/>
    <sheet name="Model allocations" sheetId="29" state="hidden" r:id="rId8"/>
    <sheet name="Initial adjusted allocations" sheetId="28" state="hidden" r:id="rId9"/>
    <sheet name="Initial adjusted formula count" sheetId="26" state="hidden" r:id="rId10"/>
    <sheet name="New or Expanded HH check" sheetId="30" state="hidden" r:id="rId11"/>
    <sheet name="Multipliers" sheetId="27" state="hidden" r:id="rId12"/>
    <sheet name="LEA Split Calc" sheetId="1" state="hidden" r:id="rId13"/>
    <sheet name="Prior Year data" sheetId="34" state="hidden" r:id="rId14"/>
    <sheet name="Conc eligibility year" sheetId="35" state="hidden" r:id="rId15"/>
  </sheets>
  <definedNames>
    <definedName name="_xlnm._FilterDatabase" localSheetId="4" hidden="1">'Conc. HH'!$A$3:$Y$318</definedName>
    <definedName name="_xlnm._FilterDatabase" localSheetId="6" hidden="1">'EFIG HH'!$A$3:$Y$318</definedName>
    <definedName name="_xlnm._FilterDatabase" localSheetId="2" hidden="1">'State Reservations'!$A$3:$AF$318</definedName>
    <definedName name="_xlnm._FilterDatabase" localSheetId="5" hidden="1">'Targeted HH'!$A$3:$Y$316</definedName>
    <definedName name="ExternalData_1" localSheetId="12" hidden="1">'LEA Split Calc'!$A$1:$S$20</definedName>
    <definedName name="ExternalData_1" localSheetId="13" hidden="1">'Prior Year data'!$A$1:$O$317</definedName>
    <definedName name="ExternalData_2" localSheetId="1" hidden="1">'Assumptions '!$C$1:$I$2</definedName>
    <definedName name="ExternalData_2" localSheetId="8" hidden="1">'Initial adjusted allocations'!$A$1:$L$316</definedName>
    <definedName name="ExternalData_2" localSheetId="9" hidden="1">'Initial adjusted formula count'!$A$1:$P$316</definedName>
    <definedName name="ExternalData_2" localSheetId="7" hidden="1">'Model allocations'!$A$1:$L$316</definedName>
    <definedName name="ExternalData_2" localSheetId="11" hidden="1">Multipliers!$A$1:$I$30</definedName>
    <definedName name="ExternalData_2" localSheetId="10" hidden="1">'New or Expanded HH check'!$A$1:$Y$20</definedName>
    <definedName name="ExternalData_3" localSheetId="1" hidden="1">'Assumptions '!$B$1:$B$2</definedName>
    <definedName name="ExternalData_4" localSheetId="14" hidden="1">'Conc eligibility year'!$A$1:$E$317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RPL_6d942e16-22db-4ffa-b3c4-78e5f77f3d97" name="FRPL" connection="Query - FRPL"/>
          <x15:modelTable id="Charter_TribalSending Districts_adc0af90-1cf7-4afd-a1f7-505f4e6cd83a" name="Charter_TribalSending Districts" connection="Query - Charter_TribalSending Districts"/>
          <x15:modelTable id="Split Calc_247957c6-f80a-4cf9-bf62-830dee17adae" name="Split Calc" connection="Query - Split Calc"/>
          <x15:modelTable id="CharterOnly_d4b28db4-5955-4821-8a91-08565041fbb0" name="CharterOnly" connection="Query - CharterOnly"/>
          <x15:modelTable id="SendingOnly_528991c0-22cf-4f9a-9107-21e30a0d6359" name="SendingOnly" connection="Query - SendingOnly"/>
          <x15:modelTable id="Multipliers_4e1de182-67bc-47e3-aae0-31c9d5aa929f" name="Multipliers" connection="Query - Multipliers"/>
          <x15:modelTable id="DOE Allocation_e200dc55-e835-485f-b9ac-864e5e086a2b" name="DOE Allocation" connection="Query - DOE Allocation"/>
          <x15:modelTable id="CCDDD LEAid_58419713-ea03-4455-98bb-37219434a69b" name="CCDDD LEAid" connection="Query - CCDDD/LEAid"/>
          <x15:modelTable id="DOE Formula counts_3f105ae7-fe37-4b9a-aa63-69b768cb6cdc" name="DOE Formula counts" connection="Query - DOE Formula counts"/>
          <x15:modelTable id="Prior Year adjusted allocations_8130c18f-6f17-4ed2-bd14-597e9d2fc0dd" name="Prior Year adjusted allocations" connection="Query - Prior Year adjusted allocations"/>
          <x15:modelTable id="Prior Year Adjusted Formula counts_2a578e4d-5345-4ca2-b6b0-12d6cdb6e79b" name="Prior Year Adjusted Formula counts" connection="Query - Prior Year Adjusted Formula counts"/>
          <x15:modelTable id="sumif_c9c16be1-9469-4623-9b4e-bcb323cce144" name="sumif" connection="Query - sumif"/>
          <x15:modelTable id="Assumptions-3561391d-e14b-4875-aca7-0b3dbc1c38d4" name="Assumptions" connection="Query - Assumptions"/>
          <x15:modelTable id="Prior Year Net to district_e2fd19b8-9aaf-4528-8cfa-ac06a0304cee" name="Prior Year Net to district" connection="Query - Prior Year Net to district"/>
          <x15:modelTable id="Title_ac699485-87d4-4f30-80af-b906945ae25f" name="Title" connection="Query - Title"/>
          <x15:modelTable id="Conc lookback_c1a88fb1-7a73-4a63-a3e5-6635b945637e" name="Conc lookback" connection="Query - Conc lookback"/>
          <x15:modelTable id="Initial adjusted formula count_5c95ab43-6e12-485c-9022-cfe2a271a234" name="Initial adjusted formula count" connection="Query - Initial adjusted formula count"/>
          <x15:modelTable id="Amount per Formula student_cd424f64-269e-4ef2-8e08-c65c399ef622" name="Amount per Formula student" connection="Query - Amount per Formula student"/>
          <x15:modelTable id="Initial adjusted allocations_d90531cd-ec6c-4788-99a2-22ac57ce40b2" name="Initial adjusted allocations" connection="Query - Initial adjusted allocations"/>
          <x15:modelTable id="Conc eligibility year_a502da48-851e-4952-a9c6-9e398a791bc0" name="Conc eligibility year" connection="Query - Conc eligibility year"/>
          <x15:modelTable id="New or Expanded HH check_32464d03-e565-4412-900d-3f03e1cce755" name="New or Expanded HH check" connection="Query - New or Expanded HH check"/>
          <x15:modelTable id="Model allocations_60a0f989-7d5d-495c-9d42-568553c317c8" name="Model allocations" connection="Query - Model allocation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" i="41" l="1"/>
  <c r="C13" i="41" s="1"/>
  <c r="D3" i="36"/>
  <c r="C14" i="41" l="1"/>
  <c r="C16" i="41"/>
  <c r="C19" i="41"/>
  <c r="C21" i="41"/>
  <c r="C22" i="41"/>
  <c r="C11" i="41"/>
  <c r="C12" i="41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230" i="19"/>
  <c r="D106" i="19"/>
  <c r="D4" i="19"/>
  <c r="AD230" i="19"/>
  <c r="AG317" i="19"/>
  <c r="AD106" i="19"/>
  <c r="AG318" i="19"/>
  <c r="D317" i="36"/>
  <c r="E317" i="36"/>
  <c r="G317" i="36" s="1"/>
  <c r="F317" i="36"/>
  <c r="D318" i="36"/>
  <c r="E318" i="36"/>
  <c r="G318" i="36" s="1"/>
  <c r="F318" i="36"/>
  <c r="D317" i="37"/>
  <c r="E317" i="37"/>
  <c r="G317" i="37" s="1"/>
  <c r="F317" i="37"/>
  <c r="H317" i="37" s="1"/>
  <c r="D318" i="37"/>
  <c r="E318" i="37"/>
  <c r="G318" i="37" s="1"/>
  <c r="F318" i="37"/>
  <c r="D317" i="38"/>
  <c r="E317" i="38"/>
  <c r="G317" i="38" s="1"/>
  <c r="F317" i="38"/>
  <c r="D318" i="38"/>
  <c r="E318" i="38"/>
  <c r="G318" i="38" s="1"/>
  <c r="F318" i="38"/>
  <c r="E317" i="39"/>
  <c r="G317" i="39" s="1"/>
  <c r="F317" i="39"/>
  <c r="E318" i="39"/>
  <c r="G318" i="39" s="1"/>
  <c r="F318" i="39"/>
  <c r="D317" i="39"/>
  <c r="D318" i="39"/>
  <c r="C18" i="41" l="1"/>
  <c r="H318" i="36"/>
  <c r="I318" i="36" s="1"/>
  <c r="H318" i="38"/>
  <c r="I318" i="38" s="1"/>
  <c r="H318" i="39"/>
  <c r="I318" i="39" s="1"/>
  <c r="H317" i="39"/>
  <c r="I317" i="39" s="1"/>
  <c r="H317" i="36"/>
  <c r="I317" i="36" s="1"/>
  <c r="H318" i="37"/>
  <c r="I318" i="37" s="1"/>
  <c r="I317" i="37"/>
  <c r="H317" i="38"/>
  <c r="I317" i="38" s="1"/>
  <c r="J318" i="36" l="1"/>
  <c r="J317" i="36"/>
  <c r="J318" i="37"/>
  <c r="J317" i="37"/>
  <c r="J317" i="38"/>
  <c r="J318" i="38"/>
  <c r="J318" i="39"/>
  <c r="J317" i="39"/>
  <c r="AG5" i="19" l="1"/>
  <c r="C4" i="41" s="1"/>
  <c r="AG6" i="19"/>
  <c r="AG7" i="19"/>
  <c r="AG8" i="19"/>
  <c r="AG9" i="19"/>
  <c r="AG10" i="19"/>
  <c r="AG11" i="19"/>
  <c r="AG12" i="19"/>
  <c r="AG13" i="19"/>
  <c r="AG14" i="19"/>
  <c r="AG15" i="19"/>
  <c r="AG16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102" i="19"/>
  <c r="AG103" i="19"/>
  <c r="AG104" i="19"/>
  <c r="AG105" i="19"/>
  <c r="AG106" i="19"/>
  <c r="AG107" i="19"/>
  <c r="AG108" i="19"/>
  <c r="AG109" i="19"/>
  <c r="AG110" i="19"/>
  <c r="AG111" i="19"/>
  <c r="AG112" i="19"/>
  <c r="AG113" i="19"/>
  <c r="AG114" i="19"/>
  <c r="AG115" i="19"/>
  <c r="AG116" i="19"/>
  <c r="AG117" i="19"/>
  <c r="AG118" i="19"/>
  <c r="AG119" i="19"/>
  <c r="AG120" i="19"/>
  <c r="AG121" i="19"/>
  <c r="AG122" i="19"/>
  <c r="AG123" i="19"/>
  <c r="AG124" i="19"/>
  <c r="AG125" i="19"/>
  <c r="AG126" i="19"/>
  <c r="AG127" i="19"/>
  <c r="AG128" i="19"/>
  <c r="AG129" i="19"/>
  <c r="AG130" i="19"/>
  <c r="AG131" i="19"/>
  <c r="AG132" i="19"/>
  <c r="AG133" i="19"/>
  <c r="AG134" i="19"/>
  <c r="AG135" i="19"/>
  <c r="AG136" i="19"/>
  <c r="AG137" i="19"/>
  <c r="AG138" i="19"/>
  <c r="AG139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171" i="19"/>
  <c r="AG172" i="19"/>
  <c r="AG173" i="19"/>
  <c r="AG174" i="19"/>
  <c r="AG175" i="19"/>
  <c r="AG176" i="19"/>
  <c r="AG177" i="19"/>
  <c r="AG178" i="19"/>
  <c r="AG179" i="19"/>
  <c r="AG180" i="19"/>
  <c r="AG181" i="19"/>
  <c r="AG182" i="19"/>
  <c r="AG183" i="19"/>
  <c r="AG184" i="19"/>
  <c r="AG185" i="19"/>
  <c r="AG186" i="19"/>
  <c r="AG187" i="19"/>
  <c r="AG188" i="19"/>
  <c r="AG189" i="19"/>
  <c r="AG190" i="19"/>
  <c r="AG191" i="19"/>
  <c r="AG192" i="19"/>
  <c r="AG193" i="19"/>
  <c r="AG194" i="19"/>
  <c r="AG195" i="19"/>
  <c r="AG196" i="19"/>
  <c r="AG197" i="19"/>
  <c r="AG198" i="19"/>
  <c r="AG199" i="19"/>
  <c r="AG200" i="19"/>
  <c r="AG201" i="19"/>
  <c r="AG202" i="19"/>
  <c r="AG203" i="19"/>
  <c r="AG204" i="19"/>
  <c r="AG205" i="19"/>
  <c r="AG206" i="19"/>
  <c r="AG207" i="19"/>
  <c r="AG208" i="19"/>
  <c r="AG209" i="19"/>
  <c r="AG210" i="19"/>
  <c r="AG211" i="19"/>
  <c r="AG212" i="19"/>
  <c r="AG213" i="19"/>
  <c r="AG214" i="19"/>
  <c r="AG215" i="19"/>
  <c r="AG216" i="19"/>
  <c r="AG217" i="19"/>
  <c r="AG218" i="19"/>
  <c r="AG219" i="19"/>
  <c r="AG220" i="19"/>
  <c r="AG221" i="19"/>
  <c r="AG222" i="19"/>
  <c r="AG223" i="19"/>
  <c r="AG224" i="19"/>
  <c r="AG225" i="19"/>
  <c r="AG226" i="19"/>
  <c r="AG227" i="19"/>
  <c r="AG228" i="19"/>
  <c r="AG229" i="19"/>
  <c r="AG230" i="19"/>
  <c r="AG231" i="19"/>
  <c r="AG232" i="19"/>
  <c r="AG233" i="19"/>
  <c r="AG234" i="19"/>
  <c r="AG235" i="19"/>
  <c r="AG236" i="19"/>
  <c r="AG237" i="19"/>
  <c r="AG238" i="19"/>
  <c r="AG239" i="19"/>
  <c r="AG240" i="19"/>
  <c r="AG241" i="19"/>
  <c r="AG242" i="19"/>
  <c r="AG243" i="19"/>
  <c r="AG244" i="19"/>
  <c r="AG245" i="19"/>
  <c r="AG246" i="19"/>
  <c r="AG247" i="19"/>
  <c r="AG248" i="19"/>
  <c r="AG249" i="19"/>
  <c r="AG250" i="19"/>
  <c r="AG251" i="19"/>
  <c r="AG252" i="19"/>
  <c r="AG253" i="19"/>
  <c r="AG254" i="19"/>
  <c r="AG255" i="19"/>
  <c r="AG256" i="19"/>
  <c r="AG257" i="19"/>
  <c r="AG258" i="19"/>
  <c r="AG259" i="19"/>
  <c r="AG260" i="19"/>
  <c r="AG261" i="19"/>
  <c r="AG262" i="19"/>
  <c r="AG263" i="19"/>
  <c r="AG264" i="19"/>
  <c r="AG265" i="19"/>
  <c r="AG266" i="19"/>
  <c r="AG267" i="19"/>
  <c r="AG268" i="19"/>
  <c r="AG269" i="19"/>
  <c r="AG270" i="19"/>
  <c r="AG271" i="19"/>
  <c r="AG272" i="19"/>
  <c r="AG273" i="19"/>
  <c r="AG274" i="19"/>
  <c r="AG275" i="19"/>
  <c r="AG276" i="19"/>
  <c r="AG277" i="19"/>
  <c r="AG278" i="19"/>
  <c r="AG279" i="19"/>
  <c r="AG280" i="19"/>
  <c r="AG281" i="19"/>
  <c r="AG282" i="19"/>
  <c r="AG283" i="19"/>
  <c r="AG284" i="19"/>
  <c r="AG285" i="19"/>
  <c r="AG286" i="19"/>
  <c r="AG287" i="19"/>
  <c r="AG288" i="19"/>
  <c r="AG289" i="19"/>
  <c r="AG290" i="19"/>
  <c r="AG291" i="19"/>
  <c r="AG292" i="19"/>
  <c r="AG293" i="19"/>
  <c r="AG294" i="19"/>
  <c r="AG295" i="19"/>
  <c r="AG296" i="19"/>
  <c r="AG297" i="19"/>
  <c r="AG298" i="19"/>
  <c r="AG299" i="19"/>
  <c r="AG300" i="19"/>
  <c r="AG301" i="19"/>
  <c r="AG302" i="19"/>
  <c r="AG303" i="19"/>
  <c r="AG304" i="19"/>
  <c r="AG305" i="19"/>
  <c r="AG306" i="19"/>
  <c r="AG307" i="19"/>
  <c r="AG308" i="19"/>
  <c r="AG309" i="19"/>
  <c r="AG310" i="19"/>
  <c r="AG311" i="19"/>
  <c r="AG312" i="19"/>
  <c r="AG313" i="19"/>
  <c r="AG314" i="19"/>
  <c r="AG315" i="19"/>
  <c r="AG316" i="19"/>
  <c r="AG4" i="19"/>
  <c r="C6" i="41" a="1"/>
  <c r="C6" i="41" s="1"/>
  <c r="D9" i="41" l="1"/>
  <c r="D12" i="41" l="1"/>
  <c r="D21" i="41"/>
  <c r="D22" i="41"/>
  <c r="D14" i="41"/>
  <c r="D24" i="41"/>
  <c r="D7" i="41"/>
  <c r="D13" i="41"/>
  <c r="D11" i="41"/>
  <c r="D8" i="41"/>
  <c r="D19" i="41"/>
  <c r="C8" i="41"/>
  <c r="C7" i="41"/>
  <c r="D18" i="41"/>
  <c r="D16" i="41"/>
  <c r="C9" i="41" l="1"/>
  <c r="F5" i="37"/>
  <c r="F6" i="37"/>
  <c r="F7" i="37"/>
  <c r="F8" i="37"/>
  <c r="F9" i="37"/>
  <c r="F10" i="37"/>
  <c r="F11" i="37"/>
  <c r="F12" i="37"/>
  <c r="F13" i="37"/>
  <c r="F14" i="37"/>
  <c r="F15" i="37"/>
  <c r="F16" i="37"/>
  <c r="F17" i="37"/>
  <c r="F18" i="37"/>
  <c r="F19" i="37"/>
  <c r="F20" i="37"/>
  <c r="F21" i="37"/>
  <c r="F22" i="37"/>
  <c r="F23" i="37"/>
  <c r="F24" i="37"/>
  <c r="F25" i="37"/>
  <c r="F26" i="37"/>
  <c r="F27" i="37"/>
  <c r="F28" i="37"/>
  <c r="F29" i="37"/>
  <c r="F30" i="37"/>
  <c r="F31" i="37"/>
  <c r="F32" i="37"/>
  <c r="F33" i="37"/>
  <c r="F34" i="37"/>
  <c r="F35" i="37"/>
  <c r="F36" i="37"/>
  <c r="F37" i="37"/>
  <c r="F38" i="37"/>
  <c r="F39" i="37"/>
  <c r="F40" i="37"/>
  <c r="F41" i="37"/>
  <c r="F42" i="37"/>
  <c r="F43" i="37"/>
  <c r="F44" i="37"/>
  <c r="F45" i="37"/>
  <c r="F46" i="37"/>
  <c r="F47" i="37"/>
  <c r="F48" i="37"/>
  <c r="F49" i="37"/>
  <c r="F50" i="37"/>
  <c r="F51" i="37"/>
  <c r="F52" i="37"/>
  <c r="F53" i="37"/>
  <c r="F54" i="37"/>
  <c r="F55" i="37"/>
  <c r="F56" i="37"/>
  <c r="F57" i="37"/>
  <c r="F58" i="37"/>
  <c r="F59" i="37"/>
  <c r="F60" i="37"/>
  <c r="F61" i="37"/>
  <c r="F62" i="37"/>
  <c r="F63" i="37"/>
  <c r="F64" i="37"/>
  <c r="F65" i="37"/>
  <c r="F66" i="37"/>
  <c r="F67" i="37"/>
  <c r="F68" i="37"/>
  <c r="F69" i="37"/>
  <c r="F70" i="37"/>
  <c r="F71" i="37"/>
  <c r="F72" i="37"/>
  <c r="F73" i="37"/>
  <c r="F74" i="37"/>
  <c r="F75" i="37"/>
  <c r="F76" i="37"/>
  <c r="F77" i="37"/>
  <c r="F78" i="37"/>
  <c r="F79" i="37"/>
  <c r="F80" i="37"/>
  <c r="F81" i="37"/>
  <c r="F82" i="37"/>
  <c r="F83" i="37"/>
  <c r="F84" i="37"/>
  <c r="F85" i="37"/>
  <c r="F86" i="37"/>
  <c r="F87" i="37"/>
  <c r="F88" i="37"/>
  <c r="F89" i="37"/>
  <c r="F90" i="37"/>
  <c r="F91" i="37"/>
  <c r="F92" i="37"/>
  <c r="F93" i="37"/>
  <c r="F94" i="37"/>
  <c r="F95" i="37"/>
  <c r="F96" i="37"/>
  <c r="F97" i="37"/>
  <c r="F98" i="37"/>
  <c r="F99" i="37"/>
  <c r="F100" i="37"/>
  <c r="F101" i="37"/>
  <c r="F102" i="37"/>
  <c r="F103" i="37"/>
  <c r="F104" i="37"/>
  <c r="F105" i="37"/>
  <c r="F106" i="37"/>
  <c r="F107" i="37"/>
  <c r="F108" i="37"/>
  <c r="F109" i="37"/>
  <c r="F110" i="37"/>
  <c r="F111" i="37"/>
  <c r="F112" i="37"/>
  <c r="F113" i="37"/>
  <c r="F114" i="37"/>
  <c r="F115" i="37"/>
  <c r="F116" i="37"/>
  <c r="F117" i="37"/>
  <c r="F118" i="37"/>
  <c r="F119" i="37"/>
  <c r="F120" i="37"/>
  <c r="F121" i="37"/>
  <c r="F122" i="37"/>
  <c r="F123" i="37"/>
  <c r="F124" i="37"/>
  <c r="F125" i="37"/>
  <c r="F126" i="37"/>
  <c r="F127" i="37"/>
  <c r="F128" i="37"/>
  <c r="F129" i="37"/>
  <c r="F130" i="37"/>
  <c r="F131" i="37"/>
  <c r="F132" i="37"/>
  <c r="F133" i="37"/>
  <c r="F134" i="37"/>
  <c r="F135" i="37"/>
  <c r="F136" i="37"/>
  <c r="F137" i="37"/>
  <c r="F138" i="37"/>
  <c r="F139" i="37"/>
  <c r="F140" i="37"/>
  <c r="F141" i="37"/>
  <c r="F142" i="37"/>
  <c r="F143" i="37"/>
  <c r="F144" i="37"/>
  <c r="F145" i="37"/>
  <c r="F146" i="37"/>
  <c r="F147" i="37"/>
  <c r="F148" i="37"/>
  <c r="F149" i="37"/>
  <c r="F150" i="37"/>
  <c r="F151" i="37"/>
  <c r="F152" i="37"/>
  <c r="F153" i="37"/>
  <c r="F154" i="37"/>
  <c r="F155" i="37"/>
  <c r="F156" i="37"/>
  <c r="F157" i="37"/>
  <c r="F158" i="37"/>
  <c r="F159" i="37"/>
  <c r="F160" i="37"/>
  <c r="F161" i="37"/>
  <c r="F162" i="37"/>
  <c r="F163" i="37"/>
  <c r="F164" i="37"/>
  <c r="F165" i="37"/>
  <c r="F166" i="37"/>
  <c r="F167" i="37"/>
  <c r="F168" i="37"/>
  <c r="F169" i="37"/>
  <c r="F170" i="37"/>
  <c r="F171" i="37"/>
  <c r="F172" i="37"/>
  <c r="F173" i="37"/>
  <c r="F174" i="37"/>
  <c r="F175" i="37"/>
  <c r="F176" i="37"/>
  <c r="F177" i="37"/>
  <c r="F178" i="37"/>
  <c r="F179" i="37"/>
  <c r="F180" i="37"/>
  <c r="F181" i="37"/>
  <c r="F182" i="37"/>
  <c r="F183" i="37"/>
  <c r="F184" i="37"/>
  <c r="F185" i="37"/>
  <c r="F186" i="37"/>
  <c r="F187" i="37"/>
  <c r="F188" i="37"/>
  <c r="F189" i="37"/>
  <c r="F190" i="37"/>
  <c r="F191" i="37"/>
  <c r="F192" i="37"/>
  <c r="F193" i="37"/>
  <c r="F194" i="37"/>
  <c r="F195" i="37"/>
  <c r="F196" i="37"/>
  <c r="F197" i="37"/>
  <c r="F198" i="37"/>
  <c r="F199" i="37"/>
  <c r="F200" i="37"/>
  <c r="F201" i="37"/>
  <c r="F202" i="37"/>
  <c r="F203" i="37"/>
  <c r="F204" i="37"/>
  <c r="F205" i="37"/>
  <c r="F206" i="37"/>
  <c r="F207" i="37"/>
  <c r="F208" i="37"/>
  <c r="F209" i="37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F223" i="37"/>
  <c r="F224" i="37"/>
  <c r="F225" i="37"/>
  <c r="F226" i="37"/>
  <c r="F227" i="37"/>
  <c r="F228" i="37"/>
  <c r="F229" i="37"/>
  <c r="F230" i="37"/>
  <c r="F231" i="37"/>
  <c r="F232" i="37"/>
  <c r="F233" i="37"/>
  <c r="F234" i="37"/>
  <c r="F235" i="37"/>
  <c r="F236" i="37"/>
  <c r="F237" i="37"/>
  <c r="F238" i="37"/>
  <c r="F239" i="37"/>
  <c r="F240" i="37"/>
  <c r="F241" i="37"/>
  <c r="F242" i="37"/>
  <c r="F243" i="37"/>
  <c r="F244" i="37"/>
  <c r="F245" i="37"/>
  <c r="F246" i="37"/>
  <c r="F247" i="37"/>
  <c r="F248" i="37"/>
  <c r="F249" i="37"/>
  <c r="F250" i="37"/>
  <c r="F251" i="37"/>
  <c r="F252" i="37"/>
  <c r="F253" i="37"/>
  <c r="F254" i="37"/>
  <c r="F255" i="37"/>
  <c r="F256" i="37"/>
  <c r="F257" i="37"/>
  <c r="F258" i="37"/>
  <c r="F259" i="37"/>
  <c r="F260" i="37"/>
  <c r="F261" i="37"/>
  <c r="F262" i="37"/>
  <c r="F263" i="37"/>
  <c r="F264" i="37"/>
  <c r="F265" i="37"/>
  <c r="F266" i="37"/>
  <c r="F267" i="37"/>
  <c r="F268" i="37"/>
  <c r="F269" i="37"/>
  <c r="F270" i="37"/>
  <c r="F271" i="37"/>
  <c r="F272" i="37"/>
  <c r="F273" i="37"/>
  <c r="F274" i="37"/>
  <c r="F275" i="37"/>
  <c r="F276" i="37"/>
  <c r="F277" i="37"/>
  <c r="F278" i="37"/>
  <c r="F279" i="37"/>
  <c r="F280" i="37"/>
  <c r="F281" i="37"/>
  <c r="F282" i="37"/>
  <c r="F283" i="37"/>
  <c r="F284" i="37"/>
  <c r="F285" i="37"/>
  <c r="F286" i="37"/>
  <c r="F287" i="37"/>
  <c r="F288" i="37"/>
  <c r="F289" i="37"/>
  <c r="F290" i="37"/>
  <c r="F291" i="37"/>
  <c r="F292" i="37"/>
  <c r="F293" i="37"/>
  <c r="F294" i="37"/>
  <c r="F295" i="37"/>
  <c r="F296" i="37"/>
  <c r="F297" i="37"/>
  <c r="F298" i="37"/>
  <c r="F299" i="37"/>
  <c r="F300" i="37"/>
  <c r="F301" i="37"/>
  <c r="F302" i="37"/>
  <c r="F303" i="37"/>
  <c r="F304" i="37"/>
  <c r="F305" i="37"/>
  <c r="F306" i="37"/>
  <c r="F307" i="37"/>
  <c r="F308" i="37"/>
  <c r="F309" i="37"/>
  <c r="F310" i="37"/>
  <c r="F311" i="37"/>
  <c r="F312" i="37"/>
  <c r="F313" i="37"/>
  <c r="F314" i="37"/>
  <c r="F315" i="37"/>
  <c r="F316" i="37"/>
  <c r="F4" i="37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316" i="37"/>
  <c r="D4" i="37"/>
  <c r="Y1" i="38" a="1"/>
  <c r="Y1" i="38" s="1"/>
  <c r="Y1" i="39" a="1"/>
  <c r="Y1" i="39" s="1"/>
  <c r="B4" i="12" a="1"/>
  <c r="B4" i="12" s="1"/>
  <c r="D3" i="37" l="1"/>
  <c r="F3" i="37" a="1"/>
  <c r="F3" i="37" s="1"/>
  <c r="F1" i="37" s="1"/>
  <c r="E5" i="39"/>
  <c r="G5" i="39" s="1"/>
  <c r="E6" i="39"/>
  <c r="G6" i="39" s="1"/>
  <c r="E7" i="39"/>
  <c r="G7" i="39" s="1"/>
  <c r="E8" i="39"/>
  <c r="G8" i="39" s="1"/>
  <c r="E9" i="39"/>
  <c r="G9" i="39" s="1"/>
  <c r="E10" i="39"/>
  <c r="G10" i="39" s="1"/>
  <c r="E11" i="39"/>
  <c r="G11" i="39" s="1"/>
  <c r="E12" i="39"/>
  <c r="G12" i="39" s="1"/>
  <c r="E13" i="39"/>
  <c r="G13" i="39" s="1"/>
  <c r="E14" i="39"/>
  <c r="G14" i="39" s="1"/>
  <c r="E15" i="39"/>
  <c r="G15" i="39" s="1"/>
  <c r="E16" i="39"/>
  <c r="G16" i="39" s="1"/>
  <c r="E17" i="39"/>
  <c r="G17" i="39" s="1"/>
  <c r="E18" i="39"/>
  <c r="G18" i="39" s="1"/>
  <c r="E19" i="39"/>
  <c r="G19" i="39" s="1"/>
  <c r="E20" i="39"/>
  <c r="G20" i="39" s="1"/>
  <c r="E21" i="39"/>
  <c r="G21" i="39" s="1"/>
  <c r="E22" i="39"/>
  <c r="G22" i="39" s="1"/>
  <c r="E23" i="39"/>
  <c r="G23" i="39" s="1"/>
  <c r="E24" i="39"/>
  <c r="G24" i="39" s="1"/>
  <c r="E25" i="39"/>
  <c r="G25" i="39" s="1"/>
  <c r="E26" i="39"/>
  <c r="G26" i="39" s="1"/>
  <c r="E27" i="39"/>
  <c r="G27" i="39" s="1"/>
  <c r="E28" i="39"/>
  <c r="G28" i="39" s="1"/>
  <c r="E29" i="39"/>
  <c r="G29" i="39" s="1"/>
  <c r="E30" i="39"/>
  <c r="G30" i="39" s="1"/>
  <c r="E31" i="39"/>
  <c r="G31" i="39" s="1"/>
  <c r="E32" i="39"/>
  <c r="G32" i="39" s="1"/>
  <c r="E33" i="39"/>
  <c r="G33" i="39" s="1"/>
  <c r="E34" i="39"/>
  <c r="G34" i="39" s="1"/>
  <c r="E35" i="39"/>
  <c r="G35" i="39" s="1"/>
  <c r="E36" i="39"/>
  <c r="G36" i="39" s="1"/>
  <c r="E37" i="39"/>
  <c r="G37" i="39" s="1"/>
  <c r="E38" i="39"/>
  <c r="G38" i="39" s="1"/>
  <c r="E39" i="39"/>
  <c r="G39" i="39" s="1"/>
  <c r="E40" i="39"/>
  <c r="G40" i="39" s="1"/>
  <c r="E41" i="39"/>
  <c r="G41" i="39" s="1"/>
  <c r="E42" i="39"/>
  <c r="G42" i="39" s="1"/>
  <c r="E43" i="39"/>
  <c r="G43" i="39" s="1"/>
  <c r="E44" i="39"/>
  <c r="G44" i="39" s="1"/>
  <c r="E45" i="39"/>
  <c r="G45" i="39" s="1"/>
  <c r="E46" i="39"/>
  <c r="G46" i="39" s="1"/>
  <c r="E47" i="39"/>
  <c r="G47" i="39" s="1"/>
  <c r="E48" i="39"/>
  <c r="G48" i="39" s="1"/>
  <c r="E49" i="39"/>
  <c r="G49" i="39" s="1"/>
  <c r="E50" i="39"/>
  <c r="G50" i="39" s="1"/>
  <c r="E51" i="39"/>
  <c r="G51" i="39" s="1"/>
  <c r="E52" i="39"/>
  <c r="G52" i="39" s="1"/>
  <c r="E53" i="39"/>
  <c r="G53" i="39" s="1"/>
  <c r="E54" i="39"/>
  <c r="G54" i="39" s="1"/>
  <c r="E55" i="39"/>
  <c r="G55" i="39" s="1"/>
  <c r="E56" i="39"/>
  <c r="G56" i="39" s="1"/>
  <c r="E57" i="39"/>
  <c r="G57" i="39" s="1"/>
  <c r="E58" i="39"/>
  <c r="G58" i="39" s="1"/>
  <c r="E59" i="39"/>
  <c r="G59" i="39" s="1"/>
  <c r="E60" i="39"/>
  <c r="G60" i="39" s="1"/>
  <c r="E61" i="39"/>
  <c r="G61" i="39" s="1"/>
  <c r="E62" i="39"/>
  <c r="G62" i="39" s="1"/>
  <c r="E63" i="39"/>
  <c r="G63" i="39" s="1"/>
  <c r="E64" i="39"/>
  <c r="G64" i="39" s="1"/>
  <c r="E65" i="39"/>
  <c r="G65" i="39" s="1"/>
  <c r="E66" i="39"/>
  <c r="G66" i="39" s="1"/>
  <c r="E67" i="39"/>
  <c r="G67" i="39" s="1"/>
  <c r="E68" i="39"/>
  <c r="G68" i="39" s="1"/>
  <c r="E69" i="39"/>
  <c r="G69" i="39" s="1"/>
  <c r="E70" i="39"/>
  <c r="G70" i="39" s="1"/>
  <c r="E71" i="39"/>
  <c r="G71" i="39" s="1"/>
  <c r="E72" i="39"/>
  <c r="G72" i="39" s="1"/>
  <c r="E73" i="39"/>
  <c r="G73" i="39" s="1"/>
  <c r="E74" i="39"/>
  <c r="G74" i="39" s="1"/>
  <c r="E75" i="39"/>
  <c r="G75" i="39" s="1"/>
  <c r="E76" i="39"/>
  <c r="G76" i="39" s="1"/>
  <c r="E77" i="39"/>
  <c r="G77" i="39" s="1"/>
  <c r="E78" i="39"/>
  <c r="G78" i="39" s="1"/>
  <c r="E79" i="39"/>
  <c r="G79" i="39" s="1"/>
  <c r="E80" i="39"/>
  <c r="G80" i="39" s="1"/>
  <c r="E81" i="39"/>
  <c r="G81" i="39" s="1"/>
  <c r="E82" i="39"/>
  <c r="G82" i="39" s="1"/>
  <c r="E83" i="39"/>
  <c r="G83" i="39" s="1"/>
  <c r="E84" i="39"/>
  <c r="G84" i="39" s="1"/>
  <c r="E85" i="39"/>
  <c r="G85" i="39" s="1"/>
  <c r="E86" i="39"/>
  <c r="G86" i="39" s="1"/>
  <c r="E87" i="39"/>
  <c r="G87" i="39" s="1"/>
  <c r="E88" i="39"/>
  <c r="G88" i="39" s="1"/>
  <c r="E89" i="39"/>
  <c r="G89" i="39" s="1"/>
  <c r="E90" i="39"/>
  <c r="G90" i="39" s="1"/>
  <c r="E91" i="39"/>
  <c r="G91" i="39" s="1"/>
  <c r="E92" i="39"/>
  <c r="G92" i="39" s="1"/>
  <c r="E93" i="39"/>
  <c r="G93" i="39" s="1"/>
  <c r="E94" i="39"/>
  <c r="G94" i="39" s="1"/>
  <c r="E95" i="39"/>
  <c r="G95" i="39" s="1"/>
  <c r="E96" i="39"/>
  <c r="G96" i="39" s="1"/>
  <c r="E97" i="39"/>
  <c r="G97" i="39" s="1"/>
  <c r="E98" i="39"/>
  <c r="G98" i="39" s="1"/>
  <c r="E99" i="39"/>
  <c r="G99" i="39" s="1"/>
  <c r="E100" i="39"/>
  <c r="G100" i="39" s="1"/>
  <c r="E101" i="39"/>
  <c r="G101" i="39" s="1"/>
  <c r="E102" i="39"/>
  <c r="G102" i="39" s="1"/>
  <c r="E103" i="39"/>
  <c r="G103" i="39" s="1"/>
  <c r="E104" i="39"/>
  <c r="G104" i="39" s="1"/>
  <c r="E105" i="39"/>
  <c r="G105" i="39" s="1"/>
  <c r="E106" i="39"/>
  <c r="G106" i="39" s="1"/>
  <c r="E107" i="39"/>
  <c r="G107" i="39" s="1"/>
  <c r="E108" i="39"/>
  <c r="G108" i="39" s="1"/>
  <c r="E109" i="39"/>
  <c r="G109" i="39" s="1"/>
  <c r="E110" i="39"/>
  <c r="G110" i="39" s="1"/>
  <c r="E111" i="39"/>
  <c r="G111" i="39" s="1"/>
  <c r="E112" i="39"/>
  <c r="G112" i="39" s="1"/>
  <c r="E113" i="39"/>
  <c r="G113" i="39" s="1"/>
  <c r="E114" i="39"/>
  <c r="G114" i="39" s="1"/>
  <c r="E115" i="39"/>
  <c r="G115" i="39" s="1"/>
  <c r="E116" i="39"/>
  <c r="G116" i="39" s="1"/>
  <c r="E117" i="39"/>
  <c r="G117" i="39" s="1"/>
  <c r="E118" i="39"/>
  <c r="G118" i="39" s="1"/>
  <c r="E119" i="39"/>
  <c r="G119" i="39" s="1"/>
  <c r="E120" i="39"/>
  <c r="G120" i="39" s="1"/>
  <c r="E121" i="39"/>
  <c r="G121" i="39" s="1"/>
  <c r="E122" i="39"/>
  <c r="G122" i="39" s="1"/>
  <c r="E123" i="39"/>
  <c r="G123" i="39" s="1"/>
  <c r="E124" i="39"/>
  <c r="G124" i="39" s="1"/>
  <c r="E125" i="39"/>
  <c r="G125" i="39" s="1"/>
  <c r="E126" i="39"/>
  <c r="G126" i="39" s="1"/>
  <c r="E127" i="39"/>
  <c r="G127" i="39" s="1"/>
  <c r="E128" i="39"/>
  <c r="G128" i="39" s="1"/>
  <c r="E129" i="39"/>
  <c r="G129" i="39" s="1"/>
  <c r="E130" i="39"/>
  <c r="G130" i="39" s="1"/>
  <c r="E131" i="39"/>
  <c r="G131" i="39" s="1"/>
  <c r="E132" i="39"/>
  <c r="G132" i="39" s="1"/>
  <c r="E133" i="39"/>
  <c r="G133" i="39" s="1"/>
  <c r="E134" i="39"/>
  <c r="G134" i="39" s="1"/>
  <c r="E135" i="39"/>
  <c r="G135" i="39" s="1"/>
  <c r="E136" i="39"/>
  <c r="G136" i="39" s="1"/>
  <c r="E137" i="39"/>
  <c r="G137" i="39" s="1"/>
  <c r="E138" i="39"/>
  <c r="G138" i="39" s="1"/>
  <c r="E139" i="39"/>
  <c r="G139" i="39" s="1"/>
  <c r="E140" i="39"/>
  <c r="G140" i="39" s="1"/>
  <c r="E141" i="39"/>
  <c r="G141" i="39" s="1"/>
  <c r="E142" i="39"/>
  <c r="G142" i="39" s="1"/>
  <c r="E143" i="39"/>
  <c r="G143" i="39" s="1"/>
  <c r="E144" i="39"/>
  <c r="G144" i="39" s="1"/>
  <c r="E145" i="39"/>
  <c r="G145" i="39" s="1"/>
  <c r="E146" i="39"/>
  <c r="G146" i="39" s="1"/>
  <c r="E147" i="39"/>
  <c r="G147" i="39" s="1"/>
  <c r="E148" i="39"/>
  <c r="G148" i="39" s="1"/>
  <c r="E149" i="39"/>
  <c r="G149" i="39" s="1"/>
  <c r="E150" i="39"/>
  <c r="G150" i="39" s="1"/>
  <c r="E151" i="39"/>
  <c r="G151" i="39" s="1"/>
  <c r="E152" i="39"/>
  <c r="G152" i="39" s="1"/>
  <c r="E153" i="39"/>
  <c r="G153" i="39" s="1"/>
  <c r="E154" i="39"/>
  <c r="G154" i="39" s="1"/>
  <c r="E155" i="39"/>
  <c r="G155" i="39" s="1"/>
  <c r="E156" i="39"/>
  <c r="G156" i="39" s="1"/>
  <c r="E157" i="39"/>
  <c r="G157" i="39" s="1"/>
  <c r="E158" i="39"/>
  <c r="G158" i="39" s="1"/>
  <c r="E159" i="39"/>
  <c r="G159" i="39" s="1"/>
  <c r="E160" i="39"/>
  <c r="G160" i="39" s="1"/>
  <c r="E161" i="39"/>
  <c r="G161" i="39" s="1"/>
  <c r="E162" i="39"/>
  <c r="G162" i="39" s="1"/>
  <c r="E163" i="39"/>
  <c r="G163" i="39" s="1"/>
  <c r="E164" i="39"/>
  <c r="G164" i="39" s="1"/>
  <c r="E165" i="39"/>
  <c r="G165" i="39" s="1"/>
  <c r="E166" i="39"/>
  <c r="G166" i="39" s="1"/>
  <c r="E167" i="39"/>
  <c r="G167" i="39" s="1"/>
  <c r="E168" i="39"/>
  <c r="G168" i="39" s="1"/>
  <c r="E169" i="39"/>
  <c r="G169" i="39" s="1"/>
  <c r="E170" i="39"/>
  <c r="G170" i="39" s="1"/>
  <c r="E171" i="39"/>
  <c r="G171" i="39" s="1"/>
  <c r="E172" i="39"/>
  <c r="G172" i="39" s="1"/>
  <c r="E173" i="39"/>
  <c r="G173" i="39" s="1"/>
  <c r="E174" i="39"/>
  <c r="G174" i="39" s="1"/>
  <c r="E175" i="39"/>
  <c r="G175" i="39" s="1"/>
  <c r="E176" i="39"/>
  <c r="G176" i="39" s="1"/>
  <c r="E177" i="39"/>
  <c r="G177" i="39" s="1"/>
  <c r="E178" i="39"/>
  <c r="G178" i="39" s="1"/>
  <c r="E179" i="39"/>
  <c r="G179" i="39" s="1"/>
  <c r="E180" i="39"/>
  <c r="G180" i="39" s="1"/>
  <c r="E181" i="39"/>
  <c r="G181" i="39" s="1"/>
  <c r="E182" i="39"/>
  <c r="G182" i="39" s="1"/>
  <c r="E183" i="39"/>
  <c r="G183" i="39" s="1"/>
  <c r="E184" i="39"/>
  <c r="G184" i="39" s="1"/>
  <c r="E185" i="39"/>
  <c r="G185" i="39" s="1"/>
  <c r="E186" i="39"/>
  <c r="G186" i="39" s="1"/>
  <c r="E187" i="39"/>
  <c r="G187" i="39" s="1"/>
  <c r="E188" i="39"/>
  <c r="G188" i="39" s="1"/>
  <c r="E189" i="39"/>
  <c r="G189" i="39" s="1"/>
  <c r="E190" i="39"/>
  <c r="G190" i="39" s="1"/>
  <c r="E191" i="39"/>
  <c r="G191" i="39" s="1"/>
  <c r="E192" i="39"/>
  <c r="G192" i="39" s="1"/>
  <c r="E193" i="39"/>
  <c r="G193" i="39" s="1"/>
  <c r="E194" i="39"/>
  <c r="G194" i="39" s="1"/>
  <c r="E195" i="39"/>
  <c r="G195" i="39" s="1"/>
  <c r="E196" i="39"/>
  <c r="G196" i="39" s="1"/>
  <c r="E197" i="39"/>
  <c r="G197" i="39" s="1"/>
  <c r="E198" i="39"/>
  <c r="G198" i="39" s="1"/>
  <c r="E199" i="39"/>
  <c r="G199" i="39" s="1"/>
  <c r="E200" i="39"/>
  <c r="G200" i="39" s="1"/>
  <c r="E201" i="39"/>
  <c r="G201" i="39" s="1"/>
  <c r="E202" i="39"/>
  <c r="G202" i="39" s="1"/>
  <c r="E203" i="39"/>
  <c r="G203" i="39" s="1"/>
  <c r="E204" i="39"/>
  <c r="G204" i="39" s="1"/>
  <c r="E205" i="39"/>
  <c r="G205" i="39" s="1"/>
  <c r="E206" i="39"/>
  <c r="G206" i="39" s="1"/>
  <c r="E207" i="39"/>
  <c r="G207" i="39" s="1"/>
  <c r="E208" i="39"/>
  <c r="G208" i="39" s="1"/>
  <c r="E209" i="39"/>
  <c r="G209" i="39" s="1"/>
  <c r="E210" i="39"/>
  <c r="G210" i="39" s="1"/>
  <c r="E211" i="39"/>
  <c r="G211" i="39" s="1"/>
  <c r="E212" i="39"/>
  <c r="G212" i="39" s="1"/>
  <c r="E213" i="39"/>
  <c r="G213" i="39" s="1"/>
  <c r="E214" i="39"/>
  <c r="G214" i="39" s="1"/>
  <c r="E215" i="39"/>
  <c r="G215" i="39" s="1"/>
  <c r="E216" i="39"/>
  <c r="G216" i="39" s="1"/>
  <c r="E217" i="39"/>
  <c r="G217" i="39" s="1"/>
  <c r="E218" i="39"/>
  <c r="G218" i="39" s="1"/>
  <c r="E219" i="39"/>
  <c r="G219" i="39" s="1"/>
  <c r="E220" i="39"/>
  <c r="G220" i="39" s="1"/>
  <c r="E221" i="39"/>
  <c r="G221" i="39" s="1"/>
  <c r="E222" i="39"/>
  <c r="G222" i="39" s="1"/>
  <c r="E223" i="39"/>
  <c r="G223" i="39" s="1"/>
  <c r="E224" i="39"/>
  <c r="G224" i="39" s="1"/>
  <c r="E225" i="39"/>
  <c r="G225" i="39" s="1"/>
  <c r="E226" i="39"/>
  <c r="G226" i="39" s="1"/>
  <c r="E227" i="39"/>
  <c r="G227" i="39" s="1"/>
  <c r="E228" i="39"/>
  <c r="G228" i="39" s="1"/>
  <c r="E229" i="39"/>
  <c r="G229" i="39" s="1"/>
  <c r="E230" i="39"/>
  <c r="G230" i="39" s="1"/>
  <c r="E231" i="39"/>
  <c r="G231" i="39" s="1"/>
  <c r="E232" i="39"/>
  <c r="G232" i="39" s="1"/>
  <c r="E233" i="39"/>
  <c r="G233" i="39" s="1"/>
  <c r="E234" i="39"/>
  <c r="G234" i="39" s="1"/>
  <c r="E235" i="39"/>
  <c r="G235" i="39" s="1"/>
  <c r="E236" i="39"/>
  <c r="G236" i="39" s="1"/>
  <c r="E237" i="39"/>
  <c r="G237" i="39" s="1"/>
  <c r="E238" i="39"/>
  <c r="G238" i="39" s="1"/>
  <c r="E239" i="39"/>
  <c r="G239" i="39" s="1"/>
  <c r="E240" i="39"/>
  <c r="G240" i="39" s="1"/>
  <c r="E241" i="39"/>
  <c r="G241" i="39" s="1"/>
  <c r="E242" i="39"/>
  <c r="G242" i="39" s="1"/>
  <c r="E243" i="39"/>
  <c r="G243" i="39" s="1"/>
  <c r="E244" i="39"/>
  <c r="G244" i="39" s="1"/>
  <c r="E245" i="39"/>
  <c r="G245" i="39" s="1"/>
  <c r="E246" i="39"/>
  <c r="G246" i="39" s="1"/>
  <c r="E247" i="39"/>
  <c r="G247" i="39" s="1"/>
  <c r="E248" i="39"/>
  <c r="G248" i="39" s="1"/>
  <c r="E249" i="39"/>
  <c r="G249" i="39" s="1"/>
  <c r="E250" i="39"/>
  <c r="G250" i="39" s="1"/>
  <c r="E251" i="39"/>
  <c r="G251" i="39" s="1"/>
  <c r="E252" i="39"/>
  <c r="G252" i="39" s="1"/>
  <c r="E253" i="39"/>
  <c r="G253" i="39" s="1"/>
  <c r="E254" i="39"/>
  <c r="G254" i="39" s="1"/>
  <c r="E255" i="39"/>
  <c r="G255" i="39" s="1"/>
  <c r="E256" i="39"/>
  <c r="G256" i="39" s="1"/>
  <c r="E257" i="39"/>
  <c r="G257" i="39" s="1"/>
  <c r="E258" i="39"/>
  <c r="G258" i="39" s="1"/>
  <c r="E259" i="39"/>
  <c r="G259" i="39" s="1"/>
  <c r="E260" i="39"/>
  <c r="G260" i="39" s="1"/>
  <c r="E261" i="39"/>
  <c r="G261" i="39" s="1"/>
  <c r="E262" i="39"/>
  <c r="G262" i="39" s="1"/>
  <c r="E263" i="39"/>
  <c r="G263" i="39" s="1"/>
  <c r="E264" i="39"/>
  <c r="G264" i="39" s="1"/>
  <c r="E265" i="39"/>
  <c r="G265" i="39" s="1"/>
  <c r="E266" i="39"/>
  <c r="G266" i="39" s="1"/>
  <c r="E267" i="39"/>
  <c r="G267" i="39" s="1"/>
  <c r="E268" i="39"/>
  <c r="G268" i="39" s="1"/>
  <c r="E269" i="39"/>
  <c r="G269" i="39" s="1"/>
  <c r="E270" i="39"/>
  <c r="G270" i="39" s="1"/>
  <c r="E271" i="39"/>
  <c r="G271" i="39" s="1"/>
  <c r="E272" i="39"/>
  <c r="G272" i="39" s="1"/>
  <c r="E273" i="39"/>
  <c r="G273" i="39" s="1"/>
  <c r="E274" i="39"/>
  <c r="G274" i="39" s="1"/>
  <c r="E275" i="39"/>
  <c r="G275" i="39" s="1"/>
  <c r="E276" i="39"/>
  <c r="G276" i="39" s="1"/>
  <c r="E277" i="39"/>
  <c r="G277" i="39" s="1"/>
  <c r="E278" i="39"/>
  <c r="G278" i="39" s="1"/>
  <c r="E279" i="39"/>
  <c r="G279" i="39" s="1"/>
  <c r="E280" i="39"/>
  <c r="G280" i="39" s="1"/>
  <c r="E281" i="39"/>
  <c r="G281" i="39" s="1"/>
  <c r="E282" i="39"/>
  <c r="G282" i="39" s="1"/>
  <c r="E283" i="39"/>
  <c r="G283" i="39" s="1"/>
  <c r="E284" i="39"/>
  <c r="G284" i="39" s="1"/>
  <c r="E285" i="39"/>
  <c r="G285" i="39" s="1"/>
  <c r="E286" i="39"/>
  <c r="G286" i="39" s="1"/>
  <c r="E287" i="39"/>
  <c r="G287" i="39" s="1"/>
  <c r="E288" i="39"/>
  <c r="G288" i="39" s="1"/>
  <c r="E289" i="39"/>
  <c r="G289" i="39" s="1"/>
  <c r="E290" i="39"/>
  <c r="G290" i="39" s="1"/>
  <c r="E291" i="39"/>
  <c r="G291" i="39" s="1"/>
  <c r="E292" i="39"/>
  <c r="G292" i="39" s="1"/>
  <c r="E293" i="39"/>
  <c r="G293" i="39" s="1"/>
  <c r="E294" i="39"/>
  <c r="G294" i="39" s="1"/>
  <c r="E295" i="39"/>
  <c r="G295" i="39" s="1"/>
  <c r="E296" i="39"/>
  <c r="G296" i="39" s="1"/>
  <c r="E297" i="39"/>
  <c r="G297" i="39" s="1"/>
  <c r="E298" i="39"/>
  <c r="G298" i="39" s="1"/>
  <c r="E299" i="39"/>
  <c r="G299" i="39" s="1"/>
  <c r="E300" i="39"/>
  <c r="G300" i="39" s="1"/>
  <c r="E301" i="39"/>
  <c r="G301" i="39" s="1"/>
  <c r="E302" i="39"/>
  <c r="G302" i="39" s="1"/>
  <c r="E303" i="39"/>
  <c r="G303" i="39" s="1"/>
  <c r="E304" i="39"/>
  <c r="G304" i="39" s="1"/>
  <c r="E305" i="39"/>
  <c r="G305" i="39" s="1"/>
  <c r="E306" i="39"/>
  <c r="G306" i="39" s="1"/>
  <c r="E307" i="39"/>
  <c r="G307" i="39" s="1"/>
  <c r="E308" i="39"/>
  <c r="G308" i="39" s="1"/>
  <c r="E309" i="39"/>
  <c r="G309" i="39" s="1"/>
  <c r="E310" i="39"/>
  <c r="G310" i="39" s="1"/>
  <c r="E311" i="39"/>
  <c r="G311" i="39" s="1"/>
  <c r="E312" i="39"/>
  <c r="G312" i="39" s="1"/>
  <c r="E313" i="39"/>
  <c r="G313" i="39" s="1"/>
  <c r="E314" i="39"/>
  <c r="G314" i="39" s="1"/>
  <c r="E315" i="39"/>
  <c r="G315" i="39" s="1"/>
  <c r="E316" i="39"/>
  <c r="G316" i="39" s="1"/>
  <c r="E4" i="39"/>
  <c r="G4" i="39" s="1"/>
  <c r="E5" i="36"/>
  <c r="G5" i="36" s="1"/>
  <c r="E6" i="36"/>
  <c r="G6" i="36" s="1"/>
  <c r="E7" i="36"/>
  <c r="G7" i="36" s="1"/>
  <c r="E8" i="36"/>
  <c r="G8" i="36" s="1"/>
  <c r="E9" i="36"/>
  <c r="G9" i="36" s="1"/>
  <c r="E10" i="36"/>
  <c r="G10" i="36" s="1"/>
  <c r="E11" i="36"/>
  <c r="G11" i="36" s="1"/>
  <c r="E12" i="36"/>
  <c r="G12" i="36" s="1"/>
  <c r="E13" i="36"/>
  <c r="G13" i="36" s="1"/>
  <c r="E14" i="36"/>
  <c r="G14" i="36" s="1"/>
  <c r="E15" i="36"/>
  <c r="G15" i="36" s="1"/>
  <c r="E16" i="36"/>
  <c r="G16" i="36" s="1"/>
  <c r="E17" i="36"/>
  <c r="G17" i="36" s="1"/>
  <c r="E18" i="36"/>
  <c r="G18" i="36" s="1"/>
  <c r="E19" i="36"/>
  <c r="G19" i="36" s="1"/>
  <c r="E20" i="36"/>
  <c r="G20" i="36" s="1"/>
  <c r="E21" i="36"/>
  <c r="G21" i="36" s="1"/>
  <c r="E22" i="36"/>
  <c r="G22" i="36" s="1"/>
  <c r="E23" i="36"/>
  <c r="G23" i="36" s="1"/>
  <c r="E24" i="36"/>
  <c r="G24" i="36" s="1"/>
  <c r="E25" i="36"/>
  <c r="G25" i="36" s="1"/>
  <c r="E26" i="36"/>
  <c r="G26" i="36" s="1"/>
  <c r="E27" i="36"/>
  <c r="G27" i="36" s="1"/>
  <c r="E28" i="36"/>
  <c r="G28" i="36" s="1"/>
  <c r="E29" i="36"/>
  <c r="G29" i="36" s="1"/>
  <c r="E30" i="36"/>
  <c r="G30" i="36" s="1"/>
  <c r="E31" i="36"/>
  <c r="G31" i="36" s="1"/>
  <c r="E32" i="36"/>
  <c r="G32" i="36" s="1"/>
  <c r="E33" i="36"/>
  <c r="G33" i="36" s="1"/>
  <c r="E34" i="36"/>
  <c r="G34" i="36" s="1"/>
  <c r="E35" i="36"/>
  <c r="G35" i="36" s="1"/>
  <c r="E36" i="36"/>
  <c r="G36" i="36" s="1"/>
  <c r="E37" i="36"/>
  <c r="G37" i="36" s="1"/>
  <c r="E38" i="36"/>
  <c r="G38" i="36" s="1"/>
  <c r="E39" i="36"/>
  <c r="G39" i="36" s="1"/>
  <c r="E40" i="36"/>
  <c r="G40" i="36" s="1"/>
  <c r="E41" i="36"/>
  <c r="G41" i="36" s="1"/>
  <c r="E42" i="36"/>
  <c r="G42" i="36" s="1"/>
  <c r="E43" i="36"/>
  <c r="G43" i="36" s="1"/>
  <c r="E44" i="36"/>
  <c r="G44" i="36" s="1"/>
  <c r="E45" i="36"/>
  <c r="G45" i="36" s="1"/>
  <c r="E46" i="36"/>
  <c r="G46" i="36" s="1"/>
  <c r="E47" i="36"/>
  <c r="G47" i="36" s="1"/>
  <c r="E48" i="36"/>
  <c r="G48" i="36" s="1"/>
  <c r="E49" i="36"/>
  <c r="G49" i="36" s="1"/>
  <c r="E50" i="36"/>
  <c r="G50" i="36" s="1"/>
  <c r="E51" i="36"/>
  <c r="G51" i="36" s="1"/>
  <c r="E52" i="36"/>
  <c r="G52" i="36" s="1"/>
  <c r="E53" i="36"/>
  <c r="G53" i="36" s="1"/>
  <c r="E54" i="36"/>
  <c r="G54" i="36" s="1"/>
  <c r="E55" i="36"/>
  <c r="G55" i="36" s="1"/>
  <c r="E56" i="36"/>
  <c r="G56" i="36" s="1"/>
  <c r="E57" i="36"/>
  <c r="G57" i="36" s="1"/>
  <c r="E58" i="36"/>
  <c r="G58" i="36" s="1"/>
  <c r="E59" i="36"/>
  <c r="G59" i="36" s="1"/>
  <c r="E60" i="36"/>
  <c r="G60" i="36" s="1"/>
  <c r="E61" i="36"/>
  <c r="G61" i="36" s="1"/>
  <c r="E62" i="36"/>
  <c r="G62" i="36" s="1"/>
  <c r="E63" i="36"/>
  <c r="G63" i="36" s="1"/>
  <c r="E64" i="36"/>
  <c r="G64" i="36" s="1"/>
  <c r="E65" i="36"/>
  <c r="G65" i="36" s="1"/>
  <c r="E66" i="36"/>
  <c r="G66" i="36" s="1"/>
  <c r="E67" i="36"/>
  <c r="G67" i="36" s="1"/>
  <c r="E68" i="36"/>
  <c r="G68" i="36" s="1"/>
  <c r="E69" i="36"/>
  <c r="G69" i="36" s="1"/>
  <c r="E70" i="36"/>
  <c r="G70" i="36" s="1"/>
  <c r="E71" i="36"/>
  <c r="G71" i="36" s="1"/>
  <c r="E72" i="36"/>
  <c r="G72" i="36" s="1"/>
  <c r="E73" i="36"/>
  <c r="G73" i="36" s="1"/>
  <c r="E74" i="36"/>
  <c r="G74" i="36" s="1"/>
  <c r="E75" i="36"/>
  <c r="G75" i="36" s="1"/>
  <c r="E76" i="36"/>
  <c r="G76" i="36" s="1"/>
  <c r="E77" i="36"/>
  <c r="G77" i="36" s="1"/>
  <c r="E78" i="36"/>
  <c r="G78" i="36" s="1"/>
  <c r="E79" i="36"/>
  <c r="G79" i="36" s="1"/>
  <c r="E80" i="36"/>
  <c r="G80" i="36" s="1"/>
  <c r="E81" i="36"/>
  <c r="G81" i="36" s="1"/>
  <c r="E82" i="36"/>
  <c r="G82" i="36" s="1"/>
  <c r="E83" i="36"/>
  <c r="G83" i="36" s="1"/>
  <c r="E84" i="36"/>
  <c r="G84" i="36" s="1"/>
  <c r="E85" i="36"/>
  <c r="G85" i="36" s="1"/>
  <c r="E86" i="36"/>
  <c r="G86" i="36" s="1"/>
  <c r="E87" i="36"/>
  <c r="G87" i="36" s="1"/>
  <c r="E88" i="36"/>
  <c r="G88" i="36" s="1"/>
  <c r="E89" i="36"/>
  <c r="G89" i="36" s="1"/>
  <c r="E90" i="36"/>
  <c r="G90" i="36" s="1"/>
  <c r="E91" i="36"/>
  <c r="G91" i="36" s="1"/>
  <c r="E92" i="36"/>
  <c r="G92" i="36" s="1"/>
  <c r="E93" i="36"/>
  <c r="G93" i="36" s="1"/>
  <c r="E94" i="36"/>
  <c r="G94" i="36" s="1"/>
  <c r="E95" i="36"/>
  <c r="G95" i="36" s="1"/>
  <c r="E96" i="36"/>
  <c r="G96" i="36" s="1"/>
  <c r="E97" i="36"/>
  <c r="G97" i="36" s="1"/>
  <c r="E98" i="36"/>
  <c r="G98" i="36" s="1"/>
  <c r="E99" i="36"/>
  <c r="G99" i="36" s="1"/>
  <c r="E100" i="36"/>
  <c r="G100" i="36" s="1"/>
  <c r="E101" i="36"/>
  <c r="G101" i="36" s="1"/>
  <c r="E102" i="36"/>
  <c r="G102" i="36" s="1"/>
  <c r="E103" i="36"/>
  <c r="G103" i="36" s="1"/>
  <c r="E104" i="36"/>
  <c r="G104" i="36" s="1"/>
  <c r="E105" i="36"/>
  <c r="G105" i="36" s="1"/>
  <c r="E106" i="36"/>
  <c r="G106" i="36" s="1"/>
  <c r="E107" i="36"/>
  <c r="G107" i="36" s="1"/>
  <c r="E108" i="36"/>
  <c r="G108" i="36" s="1"/>
  <c r="E109" i="36"/>
  <c r="G109" i="36" s="1"/>
  <c r="E110" i="36"/>
  <c r="G110" i="36" s="1"/>
  <c r="E111" i="36"/>
  <c r="G111" i="36" s="1"/>
  <c r="E112" i="36"/>
  <c r="G112" i="36" s="1"/>
  <c r="E113" i="36"/>
  <c r="G113" i="36" s="1"/>
  <c r="E114" i="36"/>
  <c r="G114" i="36" s="1"/>
  <c r="E115" i="36"/>
  <c r="G115" i="36" s="1"/>
  <c r="E116" i="36"/>
  <c r="G116" i="36" s="1"/>
  <c r="E117" i="36"/>
  <c r="G117" i="36" s="1"/>
  <c r="E118" i="36"/>
  <c r="G118" i="36" s="1"/>
  <c r="E119" i="36"/>
  <c r="G119" i="36" s="1"/>
  <c r="E120" i="36"/>
  <c r="G120" i="36" s="1"/>
  <c r="E121" i="36"/>
  <c r="G121" i="36" s="1"/>
  <c r="E122" i="36"/>
  <c r="G122" i="36" s="1"/>
  <c r="E123" i="36"/>
  <c r="G123" i="36" s="1"/>
  <c r="E124" i="36"/>
  <c r="G124" i="36" s="1"/>
  <c r="E125" i="36"/>
  <c r="G125" i="36" s="1"/>
  <c r="E126" i="36"/>
  <c r="G126" i="36" s="1"/>
  <c r="E127" i="36"/>
  <c r="G127" i="36" s="1"/>
  <c r="E128" i="36"/>
  <c r="G128" i="36" s="1"/>
  <c r="E129" i="36"/>
  <c r="G129" i="36" s="1"/>
  <c r="E130" i="36"/>
  <c r="G130" i="36" s="1"/>
  <c r="E131" i="36"/>
  <c r="G131" i="36" s="1"/>
  <c r="E132" i="36"/>
  <c r="G132" i="36" s="1"/>
  <c r="E133" i="36"/>
  <c r="G133" i="36" s="1"/>
  <c r="E134" i="36"/>
  <c r="G134" i="36" s="1"/>
  <c r="E135" i="36"/>
  <c r="G135" i="36" s="1"/>
  <c r="E136" i="36"/>
  <c r="G136" i="36" s="1"/>
  <c r="E137" i="36"/>
  <c r="G137" i="36" s="1"/>
  <c r="E138" i="36"/>
  <c r="G138" i="36" s="1"/>
  <c r="E139" i="36"/>
  <c r="G139" i="36" s="1"/>
  <c r="E140" i="36"/>
  <c r="G140" i="36" s="1"/>
  <c r="E141" i="36"/>
  <c r="G141" i="36" s="1"/>
  <c r="E142" i="36"/>
  <c r="G142" i="36" s="1"/>
  <c r="E143" i="36"/>
  <c r="G143" i="36" s="1"/>
  <c r="E144" i="36"/>
  <c r="G144" i="36" s="1"/>
  <c r="E145" i="36"/>
  <c r="G145" i="36" s="1"/>
  <c r="E146" i="36"/>
  <c r="G146" i="36" s="1"/>
  <c r="E147" i="36"/>
  <c r="G147" i="36" s="1"/>
  <c r="E148" i="36"/>
  <c r="G148" i="36" s="1"/>
  <c r="E149" i="36"/>
  <c r="G149" i="36" s="1"/>
  <c r="E150" i="36"/>
  <c r="G150" i="36" s="1"/>
  <c r="E151" i="36"/>
  <c r="G151" i="36" s="1"/>
  <c r="E152" i="36"/>
  <c r="G152" i="36" s="1"/>
  <c r="E153" i="36"/>
  <c r="G153" i="36" s="1"/>
  <c r="E154" i="36"/>
  <c r="G154" i="36" s="1"/>
  <c r="E155" i="36"/>
  <c r="G155" i="36" s="1"/>
  <c r="E156" i="36"/>
  <c r="G156" i="36" s="1"/>
  <c r="E157" i="36"/>
  <c r="G157" i="36" s="1"/>
  <c r="E158" i="36"/>
  <c r="G158" i="36" s="1"/>
  <c r="E159" i="36"/>
  <c r="G159" i="36" s="1"/>
  <c r="E160" i="36"/>
  <c r="G160" i="36" s="1"/>
  <c r="E161" i="36"/>
  <c r="G161" i="36" s="1"/>
  <c r="E162" i="36"/>
  <c r="G162" i="36" s="1"/>
  <c r="E163" i="36"/>
  <c r="G163" i="36" s="1"/>
  <c r="E164" i="36"/>
  <c r="G164" i="36" s="1"/>
  <c r="E165" i="36"/>
  <c r="G165" i="36" s="1"/>
  <c r="E166" i="36"/>
  <c r="G166" i="36" s="1"/>
  <c r="E167" i="36"/>
  <c r="G167" i="36" s="1"/>
  <c r="E168" i="36"/>
  <c r="G168" i="36" s="1"/>
  <c r="E169" i="36"/>
  <c r="G169" i="36" s="1"/>
  <c r="E170" i="36"/>
  <c r="G170" i="36" s="1"/>
  <c r="E171" i="36"/>
  <c r="G171" i="36" s="1"/>
  <c r="E172" i="36"/>
  <c r="G172" i="36" s="1"/>
  <c r="E173" i="36"/>
  <c r="G173" i="36" s="1"/>
  <c r="E174" i="36"/>
  <c r="G174" i="36" s="1"/>
  <c r="E175" i="36"/>
  <c r="G175" i="36" s="1"/>
  <c r="E176" i="36"/>
  <c r="G176" i="36" s="1"/>
  <c r="E177" i="36"/>
  <c r="G177" i="36" s="1"/>
  <c r="E178" i="36"/>
  <c r="G178" i="36" s="1"/>
  <c r="E179" i="36"/>
  <c r="G179" i="36" s="1"/>
  <c r="E180" i="36"/>
  <c r="G180" i="36" s="1"/>
  <c r="E181" i="36"/>
  <c r="G181" i="36" s="1"/>
  <c r="E182" i="36"/>
  <c r="G182" i="36" s="1"/>
  <c r="E183" i="36"/>
  <c r="G183" i="36" s="1"/>
  <c r="E184" i="36"/>
  <c r="G184" i="36" s="1"/>
  <c r="E185" i="36"/>
  <c r="G185" i="36" s="1"/>
  <c r="E186" i="36"/>
  <c r="G186" i="36" s="1"/>
  <c r="E187" i="36"/>
  <c r="G187" i="36" s="1"/>
  <c r="E188" i="36"/>
  <c r="G188" i="36" s="1"/>
  <c r="E189" i="36"/>
  <c r="G189" i="36" s="1"/>
  <c r="E190" i="36"/>
  <c r="G190" i="36" s="1"/>
  <c r="E191" i="36"/>
  <c r="G191" i="36" s="1"/>
  <c r="E192" i="36"/>
  <c r="G192" i="36" s="1"/>
  <c r="E193" i="36"/>
  <c r="G193" i="36" s="1"/>
  <c r="E194" i="36"/>
  <c r="G194" i="36" s="1"/>
  <c r="E195" i="36"/>
  <c r="G195" i="36" s="1"/>
  <c r="E196" i="36"/>
  <c r="G196" i="36" s="1"/>
  <c r="E197" i="36"/>
  <c r="G197" i="36" s="1"/>
  <c r="E198" i="36"/>
  <c r="G198" i="36" s="1"/>
  <c r="E199" i="36"/>
  <c r="G199" i="36" s="1"/>
  <c r="E200" i="36"/>
  <c r="G200" i="36" s="1"/>
  <c r="E201" i="36"/>
  <c r="G201" i="36" s="1"/>
  <c r="E202" i="36"/>
  <c r="G202" i="36" s="1"/>
  <c r="E203" i="36"/>
  <c r="G203" i="36" s="1"/>
  <c r="E204" i="36"/>
  <c r="G204" i="36" s="1"/>
  <c r="E205" i="36"/>
  <c r="G205" i="36" s="1"/>
  <c r="E206" i="36"/>
  <c r="G206" i="36" s="1"/>
  <c r="E207" i="36"/>
  <c r="G207" i="36" s="1"/>
  <c r="E208" i="36"/>
  <c r="G208" i="36" s="1"/>
  <c r="E209" i="36"/>
  <c r="G209" i="36" s="1"/>
  <c r="E210" i="36"/>
  <c r="G210" i="36" s="1"/>
  <c r="E211" i="36"/>
  <c r="G211" i="36" s="1"/>
  <c r="E212" i="36"/>
  <c r="G212" i="36" s="1"/>
  <c r="E213" i="36"/>
  <c r="G213" i="36" s="1"/>
  <c r="E214" i="36"/>
  <c r="G214" i="36" s="1"/>
  <c r="E215" i="36"/>
  <c r="G215" i="36" s="1"/>
  <c r="E216" i="36"/>
  <c r="G216" i="36" s="1"/>
  <c r="E217" i="36"/>
  <c r="G217" i="36" s="1"/>
  <c r="E218" i="36"/>
  <c r="G218" i="36" s="1"/>
  <c r="E219" i="36"/>
  <c r="G219" i="36" s="1"/>
  <c r="E220" i="36"/>
  <c r="G220" i="36" s="1"/>
  <c r="E221" i="36"/>
  <c r="G221" i="36" s="1"/>
  <c r="E222" i="36"/>
  <c r="G222" i="36" s="1"/>
  <c r="E223" i="36"/>
  <c r="G223" i="36" s="1"/>
  <c r="E224" i="36"/>
  <c r="G224" i="36" s="1"/>
  <c r="E225" i="36"/>
  <c r="G225" i="36" s="1"/>
  <c r="E226" i="36"/>
  <c r="G226" i="36" s="1"/>
  <c r="E227" i="36"/>
  <c r="G227" i="36" s="1"/>
  <c r="E228" i="36"/>
  <c r="G228" i="36" s="1"/>
  <c r="E229" i="36"/>
  <c r="G229" i="36" s="1"/>
  <c r="E230" i="36"/>
  <c r="G230" i="36" s="1"/>
  <c r="E231" i="36"/>
  <c r="G231" i="36" s="1"/>
  <c r="E232" i="36"/>
  <c r="G232" i="36" s="1"/>
  <c r="E233" i="36"/>
  <c r="G233" i="36" s="1"/>
  <c r="E234" i="36"/>
  <c r="G234" i="36" s="1"/>
  <c r="E235" i="36"/>
  <c r="G235" i="36" s="1"/>
  <c r="E236" i="36"/>
  <c r="G236" i="36" s="1"/>
  <c r="E237" i="36"/>
  <c r="G237" i="36" s="1"/>
  <c r="E238" i="36"/>
  <c r="G238" i="36" s="1"/>
  <c r="E239" i="36"/>
  <c r="G239" i="36" s="1"/>
  <c r="E240" i="36"/>
  <c r="G240" i="36" s="1"/>
  <c r="E241" i="36"/>
  <c r="G241" i="36" s="1"/>
  <c r="E242" i="36"/>
  <c r="G242" i="36" s="1"/>
  <c r="E243" i="36"/>
  <c r="G243" i="36" s="1"/>
  <c r="E244" i="36"/>
  <c r="G244" i="36" s="1"/>
  <c r="E245" i="36"/>
  <c r="G245" i="36" s="1"/>
  <c r="E246" i="36"/>
  <c r="G246" i="36" s="1"/>
  <c r="E247" i="36"/>
  <c r="G247" i="36" s="1"/>
  <c r="E248" i="36"/>
  <c r="G248" i="36" s="1"/>
  <c r="E249" i="36"/>
  <c r="G249" i="36" s="1"/>
  <c r="E250" i="36"/>
  <c r="G250" i="36" s="1"/>
  <c r="E251" i="36"/>
  <c r="G251" i="36" s="1"/>
  <c r="E252" i="36"/>
  <c r="G252" i="36" s="1"/>
  <c r="E253" i="36"/>
  <c r="G253" i="36" s="1"/>
  <c r="E254" i="36"/>
  <c r="G254" i="36" s="1"/>
  <c r="E255" i="36"/>
  <c r="G255" i="36" s="1"/>
  <c r="E256" i="36"/>
  <c r="G256" i="36" s="1"/>
  <c r="E257" i="36"/>
  <c r="G257" i="36" s="1"/>
  <c r="E258" i="36"/>
  <c r="G258" i="36" s="1"/>
  <c r="E259" i="36"/>
  <c r="G259" i="36" s="1"/>
  <c r="E260" i="36"/>
  <c r="G260" i="36" s="1"/>
  <c r="E261" i="36"/>
  <c r="G261" i="36" s="1"/>
  <c r="E262" i="36"/>
  <c r="G262" i="36" s="1"/>
  <c r="E263" i="36"/>
  <c r="G263" i="36" s="1"/>
  <c r="E264" i="36"/>
  <c r="G264" i="36" s="1"/>
  <c r="E265" i="36"/>
  <c r="G265" i="36" s="1"/>
  <c r="E266" i="36"/>
  <c r="G266" i="36" s="1"/>
  <c r="E267" i="36"/>
  <c r="G267" i="36" s="1"/>
  <c r="E268" i="36"/>
  <c r="G268" i="36" s="1"/>
  <c r="E269" i="36"/>
  <c r="G269" i="36" s="1"/>
  <c r="E270" i="36"/>
  <c r="G270" i="36" s="1"/>
  <c r="E271" i="36"/>
  <c r="G271" i="36" s="1"/>
  <c r="E272" i="36"/>
  <c r="G272" i="36" s="1"/>
  <c r="E273" i="36"/>
  <c r="G273" i="36" s="1"/>
  <c r="E274" i="36"/>
  <c r="G274" i="36" s="1"/>
  <c r="E275" i="36"/>
  <c r="G275" i="36" s="1"/>
  <c r="E276" i="36"/>
  <c r="G276" i="36" s="1"/>
  <c r="E277" i="36"/>
  <c r="G277" i="36" s="1"/>
  <c r="E278" i="36"/>
  <c r="G278" i="36" s="1"/>
  <c r="E279" i="36"/>
  <c r="G279" i="36" s="1"/>
  <c r="E280" i="36"/>
  <c r="G280" i="36" s="1"/>
  <c r="E281" i="36"/>
  <c r="G281" i="36" s="1"/>
  <c r="E282" i="36"/>
  <c r="G282" i="36" s="1"/>
  <c r="E283" i="36"/>
  <c r="G283" i="36" s="1"/>
  <c r="E284" i="36"/>
  <c r="G284" i="36" s="1"/>
  <c r="E285" i="36"/>
  <c r="G285" i="36" s="1"/>
  <c r="E286" i="36"/>
  <c r="G286" i="36" s="1"/>
  <c r="E287" i="36"/>
  <c r="G287" i="36" s="1"/>
  <c r="E288" i="36"/>
  <c r="G288" i="36" s="1"/>
  <c r="E289" i="36"/>
  <c r="G289" i="36" s="1"/>
  <c r="E290" i="36"/>
  <c r="G290" i="36" s="1"/>
  <c r="E291" i="36"/>
  <c r="G291" i="36" s="1"/>
  <c r="E292" i="36"/>
  <c r="G292" i="36" s="1"/>
  <c r="E293" i="36"/>
  <c r="G293" i="36" s="1"/>
  <c r="E294" i="36"/>
  <c r="G294" i="36" s="1"/>
  <c r="E295" i="36"/>
  <c r="G295" i="36" s="1"/>
  <c r="E296" i="36"/>
  <c r="G296" i="36" s="1"/>
  <c r="E297" i="36"/>
  <c r="G297" i="36" s="1"/>
  <c r="E298" i="36"/>
  <c r="G298" i="36" s="1"/>
  <c r="E299" i="36"/>
  <c r="G299" i="36" s="1"/>
  <c r="E300" i="36"/>
  <c r="G300" i="36" s="1"/>
  <c r="E301" i="36"/>
  <c r="G301" i="36" s="1"/>
  <c r="E302" i="36"/>
  <c r="G302" i="36" s="1"/>
  <c r="E303" i="36"/>
  <c r="G303" i="36" s="1"/>
  <c r="E304" i="36"/>
  <c r="G304" i="36" s="1"/>
  <c r="E305" i="36"/>
  <c r="G305" i="36" s="1"/>
  <c r="E306" i="36"/>
  <c r="G306" i="36" s="1"/>
  <c r="E307" i="36"/>
  <c r="G307" i="36" s="1"/>
  <c r="E308" i="36"/>
  <c r="G308" i="36" s="1"/>
  <c r="E309" i="36"/>
  <c r="G309" i="36" s="1"/>
  <c r="E310" i="36"/>
  <c r="G310" i="36" s="1"/>
  <c r="E311" i="36"/>
  <c r="G311" i="36" s="1"/>
  <c r="E312" i="36"/>
  <c r="G312" i="36" s="1"/>
  <c r="E313" i="36"/>
  <c r="G313" i="36" s="1"/>
  <c r="E314" i="36"/>
  <c r="G314" i="36" s="1"/>
  <c r="E315" i="36"/>
  <c r="G315" i="36" s="1"/>
  <c r="E316" i="36"/>
  <c r="G316" i="36" s="1"/>
  <c r="E4" i="36"/>
  <c r="G4" i="36" s="1"/>
  <c r="F5" i="39"/>
  <c r="F6" i="39"/>
  <c r="F7" i="39"/>
  <c r="F8" i="39"/>
  <c r="F9" i="39"/>
  <c r="F10" i="39"/>
  <c r="F11" i="39"/>
  <c r="H11" i="39" s="1"/>
  <c r="I11" i="39" s="1"/>
  <c r="F12" i="39"/>
  <c r="F13" i="39"/>
  <c r="F14" i="39"/>
  <c r="F15" i="39"/>
  <c r="H15" i="39" s="1"/>
  <c r="I15" i="39" s="1"/>
  <c r="F16" i="39"/>
  <c r="F17" i="39"/>
  <c r="F18" i="39"/>
  <c r="F19" i="39"/>
  <c r="F20" i="39"/>
  <c r="F21" i="39"/>
  <c r="F22" i="39"/>
  <c r="F23" i="39"/>
  <c r="F24" i="39"/>
  <c r="F25" i="39"/>
  <c r="H25" i="39" s="1"/>
  <c r="I25" i="39" s="1"/>
  <c r="J25" i="39" s="1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H58" i="39" s="1"/>
  <c r="I58" i="39" s="1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H109" i="39" s="1"/>
  <c r="F110" i="39"/>
  <c r="F111" i="39"/>
  <c r="F112" i="39"/>
  <c r="F113" i="39"/>
  <c r="F114" i="39"/>
  <c r="F115" i="39"/>
  <c r="F116" i="39"/>
  <c r="F117" i="39"/>
  <c r="F118" i="39"/>
  <c r="F119" i="39"/>
  <c r="F120" i="39"/>
  <c r="F121" i="39"/>
  <c r="F122" i="39"/>
  <c r="F123" i="39"/>
  <c r="F124" i="39"/>
  <c r="F125" i="39"/>
  <c r="H125" i="39" s="1"/>
  <c r="I125" i="39" s="1"/>
  <c r="F126" i="39"/>
  <c r="F127" i="39"/>
  <c r="F128" i="39"/>
  <c r="F129" i="39"/>
  <c r="F130" i="39"/>
  <c r="F131" i="39"/>
  <c r="F132" i="39"/>
  <c r="F133" i="39"/>
  <c r="F134" i="39"/>
  <c r="F135" i="39"/>
  <c r="F136" i="39"/>
  <c r="F137" i="39"/>
  <c r="F138" i="39"/>
  <c r="F139" i="39"/>
  <c r="F140" i="39"/>
  <c r="F141" i="39"/>
  <c r="F142" i="39"/>
  <c r="F143" i="39"/>
  <c r="F144" i="39"/>
  <c r="F145" i="39"/>
  <c r="H145" i="39" s="1"/>
  <c r="I145" i="39" s="1"/>
  <c r="F146" i="39"/>
  <c r="F147" i="39"/>
  <c r="F148" i="39"/>
  <c r="F149" i="39"/>
  <c r="F150" i="39"/>
  <c r="F151" i="39"/>
  <c r="F152" i="39"/>
  <c r="F153" i="39"/>
  <c r="F154" i="39"/>
  <c r="F155" i="39"/>
  <c r="F156" i="39"/>
  <c r="H156" i="39" s="1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70" i="39"/>
  <c r="F171" i="39"/>
  <c r="F172" i="39"/>
  <c r="F173" i="39"/>
  <c r="H173" i="39" s="1"/>
  <c r="I173" i="39" s="1"/>
  <c r="F174" i="39"/>
  <c r="F175" i="39"/>
  <c r="F176" i="39"/>
  <c r="F177" i="39"/>
  <c r="F178" i="39"/>
  <c r="F179" i="39"/>
  <c r="F180" i="39"/>
  <c r="F181" i="39"/>
  <c r="F182" i="39"/>
  <c r="F183" i="39"/>
  <c r="F184" i="39"/>
  <c r="F185" i="39"/>
  <c r="F186" i="39"/>
  <c r="F187" i="39"/>
  <c r="F188" i="39"/>
  <c r="F189" i="39"/>
  <c r="F190" i="39"/>
  <c r="F191" i="39"/>
  <c r="F192" i="39"/>
  <c r="F193" i="39"/>
  <c r="F194" i="39"/>
  <c r="F195" i="39"/>
  <c r="F196" i="39"/>
  <c r="F197" i="39"/>
  <c r="F198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214" i="39"/>
  <c r="F215" i="39"/>
  <c r="F216" i="39"/>
  <c r="F217" i="39"/>
  <c r="F218" i="39"/>
  <c r="F219" i="39"/>
  <c r="F220" i="39"/>
  <c r="F221" i="39"/>
  <c r="F222" i="39"/>
  <c r="F223" i="39"/>
  <c r="F224" i="39"/>
  <c r="F225" i="39"/>
  <c r="F226" i="39"/>
  <c r="F227" i="39"/>
  <c r="F228" i="39"/>
  <c r="F229" i="39"/>
  <c r="F230" i="39"/>
  <c r="F231" i="39"/>
  <c r="F232" i="39"/>
  <c r="F233" i="39"/>
  <c r="H233" i="39" s="1"/>
  <c r="I233" i="39" s="1"/>
  <c r="F234" i="39"/>
  <c r="F235" i="39"/>
  <c r="F236" i="39"/>
  <c r="F237" i="39"/>
  <c r="F238" i="39"/>
  <c r="F239" i="39"/>
  <c r="F240" i="39"/>
  <c r="F241" i="39"/>
  <c r="F242" i="39"/>
  <c r="F243" i="39"/>
  <c r="F244" i="39"/>
  <c r="F245" i="39"/>
  <c r="F246" i="39"/>
  <c r="F247" i="39"/>
  <c r="F248" i="39"/>
  <c r="F249" i="39"/>
  <c r="F250" i="39"/>
  <c r="F251" i="39"/>
  <c r="F252" i="39"/>
  <c r="F253" i="39"/>
  <c r="F254" i="39"/>
  <c r="F255" i="39"/>
  <c r="F256" i="39"/>
  <c r="H256" i="39" s="1"/>
  <c r="I256" i="39" s="1"/>
  <c r="F257" i="39"/>
  <c r="F258" i="39"/>
  <c r="F259" i="39"/>
  <c r="F260" i="39"/>
  <c r="F261" i="39"/>
  <c r="F262" i="39"/>
  <c r="F263" i="39"/>
  <c r="F264" i="39"/>
  <c r="F265" i="39"/>
  <c r="F266" i="39"/>
  <c r="F267" i="39"/>
  <c r="F268" i="39"/>
  <c r="F269" i="39"/>
  <c r="F270" i="39"/>
  <c r="F271" i="39"/>
  <c r="F272" i="39"/>
  <c r="F273" i="39"/>
  <c r="F274" i="39"/>
  <c r="F275" i="39"/>
  <c r="F276" i="39"/>
  <c r="F277" i="39"/>
  <c r="F278" i="39"/>
  <c r="F279" i="39"/>
  <c r="F280" i="39"/>
  <c r="F281" i="39"/>
  <c r="F282" i="39"/>
  <c r="F283" i="39"/>
  <c r="F284" i="39"/>
  <c r="F285" i="39"/>
  <c r="F286" i="39"/>
  <c r="F287" i="39"/>
  <c r="F288" i="39"/>
  <c r="F289" i="39"/>
  <c r="F290" i="39"/>
  <c r="F291" i="39"/>
  <c r="F292" i="39"/>
  <c r="F293" i="39"/>
  <c r="F294" i="39"/>
  <c r="F295" i="39"/>
  <c r="F296" i="39"/>
  <c r="F297" i="39"/>
  <c r="F298" i="39"/>
  <c r="F299" i="39"/>
  <c r="F300" i="39"/>
  <c r="F301" i="39"/>
  <c r="F302" i="39"/>
  <c r="F303" i="39"/>
  <c r="F304" i="39"/>
  <c r="F305" i="39"/>
  <c r="F306" i="39"/>
  <c r="F307" i="39"/>
  <c r="F308" i="39"/>
  <c r="F309" i="39"/>
  <c r="F310" i="39"/>
  <c r="F311" i="39"/>
  <c r="F312" i="39"/>
  <c r="F313" i="39"/>
  <c r="F314" i="39"/>
  <c r="F315" i="39"/>
  <c r="F316" i="39"/>
  <c r="F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316" i="39"/>
  <c r="D4" i="39"/>
  <c r="E5" i="38"/>
  <c r="G5" i="38" s="1"/>
  <c r="E6" i="38"/>
  <c r="G6" i="38" s="1"/>
  <c r="E7" i="38"/>
  <c r="G7" i="38" s="1"/>
  <c r="E8" i="38"/>
  <c r="G8" i="38" s="1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G38" i="38" s="1"/>
  <c r="E39" i="38"/>
  <c r="G39" i="38" s="1"/>
  <c r="E40" i="38"/>
  <c r="G40" i="38" s="1"/>
  <c r="E41" i="38"/>
  <c r="G41" i="38" s="1"/>
  <c r="E42" i="38"/>
  <c r="G42" i="38" s="1"/>
  <c r="E43" i="38"/>
  <c r="G43" i="38" s="1"/>
  <c r="E44" i="38"/>
  <c r="G44" i="38" s="1"/>
  <c r="E45" i="38"/>
  <c r="G45" i="38" s="1"/>
  <c r="E46" i="38"/>
  <c r="G46" i="38" s="1"/>
  <c r="E47" i="38"/>
  <c r="G47" i="38" s="1"/>
  <c r="E48" i="38"/>
  <c r="G48" i="38" s="1"/>
  <c r="E49" i="38"/>
  <c r="G49" i="38" s="1"/>
  <c r="E50" i="38"/>
  <c r="G50" i="38" s="1"/>
  <c r="E51" i="38"/>
  <c r="G51" i="38" s="1"/>
  <c r="E52" i="38"/>
  <c r="G52" i="38" s="1"/>
  <c r="E53" i="38"/>
  <c r="G53" i="38" s="1"/>
  <c r="E54" i="38"/>
  <c r="G54" i="38" s="1"/>
  <c r="E55" i="38"/>
  <c r="G55" i="38" s="1"/>
  <c r="E56" i="38"/>
  <c r="G56" i="38" s="1"/>
  <c r="E57" i="38"/>
  <c r="G57" i="38" s="1"/>
  <c r="E58" i="38"/>
  <c r="G58" i="38" s="1"/>
  <c r="E59" i="38"/>
  <c r="G59" i="38" s="1"/>
  <c r="E60" i="38"/>
  <c r="G60" i="38" s="1"/>
  <c r="E61" i="38"/>
  <c r="G61" i="38" s="1"/>
  <c r="E62" i="38"/>
  <c r="G62" i="38" s="1"/>
  <c r="E63" i="38"/>
  <c r="G63" i="38" s="1"/>
  <c r="E64" i="38"/>
  <c r="G64" i="38" s="1"/>
  <c r="E65" i="38"/>
  <c r="G65" i="38" s="1"/>
  <c r="E66" i="38"/>
  <c r="G66" i="38" s="1"/>
  <c r="E67" i="38"/>
  <c r="G67" i="38" s="1"/>
  <c r="E68" i="38"/>
  <c r="G68" i="38" s="1"/>
  <c r="E69" i="38"/>
  <c r="G69" i="38" s="1"/>
  <c r="E70" i="38"/>
  <c r="G70" i="38" s="1"/>
  <c r="E71" i="38"/>
  <c r="G71" i="38" s="1"/>
  <c r="E72" i="38"/>
  <c r="G72" i="38" s="1"/>
  <c r="E73" i="38"/>
  <c r="G73" i="38" s="1"/>
  <c r="E74" i="38"/>
  <c r="G74" i="38" s="1"/>
  <c r="E75" i="38"/>
  <c r="G75" i="38" s="1"/>
  <c r="E76" i="38"/>
  <c r="G76" i="38" s="1"/>
  <c r="E77" i="38"/>
  <c r="G77" i="38" s="1"/>
  <c r="E78" i="38"/>
  <c r="G78" i="38" s="1"/>
  <c r="E79" i="38"/>
  <c r="G79" i="38" s="1"/>
  <c r="E80" i="38"/>
  <c r="G80" i="38" s="1"/>
  <c r="E81" i="38"/>
  <c r="G81" i="38" s="1"/>
  <c r="E82" i="38"/>
  <c r="G82" i="38" s="1"/>
  <c r="E83" i="38"/>
  <c r="G83" i="38" s="1"/>
  <c r="E84" i="38"/>
  <c r="G84" i="38" s="1"/>
  <c r="E85" i="38"/>
  <c r="G85" i="38" s="1"/>
  <c r="E86" i="38"/>
  <c r="G86" i="38" s="1"/>
  <c r="E87" i="38"/>
  <c r="G87" i="38" s="1"/>
  <c r="E88" i="38"/>
  <c r="G88" i="38" s="1"/>
  <c r="E89" i="38"/>
  <c r="G89" i="38" s="1"/>
  <c r="E90" i="38"/>
  <c r="G90" i="38" s="1"/>
  <c r="E91" i="38"/>
  <c r="G91" i="38" s="1"/>
  <c r="E92" i="38"/>
  <c r="G92" i="38" s="1"/>
  <c r="E93" i="38"/>
  <c r="G93" i="38" s="1"/>
  <c r="E94" i="38"/>
  <c r="G94" i="38" s="1"/>
  <c r="E95" i="38"/>
  <c r="G95" i="38" s="1"/>
  <c r="E96" i="38"/>
  <c r="G96" i="38" s="1"/>
  <c r="E97" i="38"/>
  <c r="G97" i="38" s="1"/>
  <c r="E98" i="38"/>
  <c r="G98" i="38" s="1"/>
  <c r="E99" i="38"/>
  <c r="G99" i="38" s="1"/>
  <c r="E100" i="38"/>
  <c r="G100" i="38" s="1"/>
  <c r="E101" i="38"/>
  <c r="G101" i="38" s="1"/>
  <c r="E102" i="38"/>
  <c r="G102" i="38" s="1"/>
  <c r="E103" i="38"/>
  <c r="G103" i="38" s="1"/>
  <c r="E104" i="38"/>
  <c r="G104" i="38" s="1"/>
  <c r="E105" i="38"/>
  <c r="G105" i="38" s="1"/>
  <c r="E106" i="38"/>
  <c r="G106" i="38" s="1"/>
  <c r="E107" i="38"/>
  <c r="G107" i="38" s="1"/>
  <c r="E108" i="38"/>
  <c r="G108" i="38" s="1"/>
  <c r="E109" i="38"/>
  <c r="G109" i="38" s="1"/>
  <c r="E110" i="38"/>
  <c r="G110" i="38" s="1"/>
  <c r="E111" i="38"/>
  <c r="G111" i="38" s="1"/>
  <c r="E112" i="38"/>
  <c r="G112" i="38" s="1"/>
  <c r="E113" i="38"/>
  <c r="G113" i="38" s="1"/>
  <c r="E114" i="38"/>
  <c r="G114" i="38" s="1"/>
  <c r="E115" i="38"/>
  <c r="G115" i="38" s="1"/>
  <c r="E116" i="38"/>
  <c r="G116" i="38" s="1"/>
  <c r="E117" i="38"/>
  <c r="G117" i="38" s="1"/>
  <c r="E118" i="38"/>
  <c r="G118" i="38" s="1"/>
  <c r="E119" i="38"/>
  <c r="G119" i="38" s="1"/>
  <c r="E120" i="38"/>
  <c r="G120" i="38" s="1"/>
  <c r="E121" i="38"/>
  <c r="G121" i="38" s="1"/>
  <c r="E122" i="38"/>
  <c r="G122" i="38" s="1"/>
  <c r="E123" i="38"/>
  <c r="G123" i="38" s="1"/>
  <c r="E124" i="38"/>
  <c r="G124" i="38" s="1"/>
  <c r="E125" i="38"/>
  <c r="G125" i="38" s="1"/>
  <c r="E126" i="38"/>
  <c r="G126" i="38" s="1"/>
  <c r="E127" i="38"/>
  <c r="G127" i="38" s="1"/>
  <c r="E128" i="38"/>
  <c r="G128" i="38" s="1"/>
  <c r="E129" i="38"/>
  <c r="G129" i="38" s="1"/>
  <c r="E130" i="38"/>
  <c r="G130" i="38" s="1"/>
  <c r="E131" i="38"/>
  <c r="G131" i="38" s="1"/>
  <c r="E132" i="38"/>
  <c r="G132" i="38" s="1"/>
  <c r="E133" i="38"/>
  <c r="G133" i="38" s="1"/>
  <c r="E134" i="38"/>
  <c r="G134" i="38" s="1"/>
  <c r="E135" i="38"/>
  <c r="G135" i="38" s="1"/>
  <c r="E136" i="38"/>
  <c r="G136" i="38" s="1"/>
  <c r="E137" i="38"/>
  <c r="G137" i="38" s="1"/>
  <c r="E138" i="38"/>
  <c r="G138" i="38" s="1"/>
  <c r="E139" i="38"/>
  <c r="G139" i="38" s="1"/>
  <c r="E140" i="38"/>
  <c r="G140" i="38" s="1"/>
  <c r="E141" i="38"/>
  <c r="G141" i="38" s="1"/>
  <c r="E142" i="38"/>
  <c r="G142" i="38" s="1"/>
  <c r="E143" i="38"/>
  <c r="G143" i="38" s="1"/>
  <c r="E144" i="38"/>
  <c r="G144" i="38" s="1"/>
  <c r="E145" i="38"/>
  <c r="G145" i="38" s="1"/>
  <c r="E146" i="38"/>
  <c r="G146" i="38" s="1"/>
  <c r="E147" i="38"/>
  <c r="G147" i="38" s="1"/>
  <c r="E148" i="38"/>
  <c r="G148" i="38" s="1"/>
  <c r="E149" i="38"/>
  <c r="G149" i="38" s="1"/>
  <c r="E150" i="38"/>
  <c r="G150" i="38" s="1"/>
  <c r="E151" i="38"/>
  <c r="G151" i="38" s="1"/>
  <c r="E152" i="38"/>
  <c r="G152" i="38" s="1"/>
  <c r="E153" i="38"/>
  <c r="G153" i="38" s="1"/>
  <c r="E154" i="38"/>
  <c r="G154" i="38" s="1"/>
  <c r="E155" i="38"/>
  <c r="G155" i="38" s="1"/>
  <c r="E156" i="38"/>
  <c r="G156" i="38" s="1"/>
  <c r="E157" i="38"/>
  <c r="G157" i="38" s="1"/>
  <c r="E158" i="38"/>
  <c r="G158" i="38" s="1"/>
  <c r="E159" i="38"/>
  <c r="G159" i="38" s="1"/>
  <c r="E160" i="38"/>
  <c r="G160" i="38" s="1"/>
  <c r="E161" i="38"/>
  <c r="G161" i="38" s="1"/>
  <c r="E162" i="38"/>
  <c r="G162" i="38" s="1"/>
  <c r="E163" i="38"/>
  <c r="G163" i="38" s="1"/>
  <c r="E164" i="38"/>
  <c r="G164" i="38" s="1"/>
  <c r="E165" i="38"/>
  <c r="G165" i="38" s="1"/>
  <c r="E166" i="38"/>
  <c r="G166" i="38" s="1"/>
  <c r="E167" i="38"/>
  <c r="G167" i="38" s="1"/>
  <c r="E168" i="38"/>
  <c r="G168" i="38" s="1"/>
  <c r="E169" i="38"/>
  <c r="G169" i="38" s="1"/>
  <c r="E170" i="38"/>
  <c r="G170" i="38" s="1"/>
  <c r="E171" i="38"/>
  <c r="G171" i="38" s="1"/>
  <c r="E172" i="38"/>
  <c r="G172" i="38" s="1"/>
  <c r="E173" i="38"/>
  <c r="G173" i="38" s="1"/>
  <c r="E174" i="38"/>
  <c r="G174" i="38" s="1"/>
  <c r="E175" i="38"/>
  <c r="G175" i="38" s="1"/>
  <c r="E176" i="38"/>
  <c r="G176" i="38" s="1"/>
  <c r="E177" i="38"/>
  <c r="G177" i="38" s="1"/>
  <c r="E178" i="38"/>
  <c r="G178" i="38" s="1"/>
  <c r="E179" i="38"/>
  <c r="G179" i="38" s="1"/>
  <c r="E180" i="38"/>
  <c r="G180" i="38" s="1"/>
  <c r="E181" i="38"/>
  <c r="G181" i="38" s="1"/>
  <c r="E182" i="38"/>
  <c r="G182" i="38" s="1"/>
  <c r="E183" i="38"/>
  <c r="G183" i="38" s="1"/>
  <c r="E184" i="38"/>
  <c r="G184" i="38" s="1"/>
  <c r="E185" i="38"/>
  <c r="G185" i="38" s="1"/>
  <c r="E186" i="38"/>
  <c r="G186" i="38" s="1"/>
  <c r="E187" i="38"/>
  <c r="G187" i="38" s="1"/>
  <c r="E188" i="38"/>
  <c r="G188" i="38" s="1"/>
  <c r="E189" i="38"/>
  <c r="G189" i="38" s="1"/>
  <c r="E190" i="38"/>
  <c r="G190" i="38" s="1"/>
  <c r="E191" i="38"/>
  <c r="G191" i="38" s="1"/>
  <c r="E192" i="38"/>
  <c r="G192" i="38" s="1"/>
  <c r="E193" i="38"/>
  <c r="G193" i="38" s="1"/>
  <c r="E194" i="38"/>
  <c r="G194" i="38" s="1"/>
  <c r="E195" i="38"/>
  <c r="G195" i="38" s="1"/>
  <c r="E196" i="38"/>
  <c r="G196" i="38" s="1"/>
  <c r="E197" i="38"/>
  <c r="G197" i="38" s="1"/>
  <c r="E198" i="38"/>
  <c r="G198" i="38" s="1"/>
  <c r="E199" i="38"/>
  <c r="G199" i="38" s="1"/>
  <c r="E200" i="38"/>
  <c r="G200" i="38" s="1"/>
  <c r="E201" i="38"/>
  <c r="G201" i="38" s="1"/>
  <c r="E202" i="38"/>
  <c r="G202" i="38" s="1"/>
  <c r="E203" i="38"/>
  <c r="G203" i="38" s="1"/>
  <c r="E204" i="38"/>
  <c r="G204" i="38" s="1"/>
  <c r="E205" i="38"/>
  <c r="G205" i="38" s="1"/>
  <c r="E206" i="38"/>
  <c r="G206" i="38" s="1"/>
  <c r="E207" i="38"/>
  <c r="G207" i="38" s="1"/>
  <c r="E208" i="38"/>
  <c r="G208" i="38" s="1"/>
  <c r="E209" i="38"/>
  <c r="G209" i="38" s="1"/>
  <c r="E210" i="38"/>
  <c r="G210" i="38" s="1"/>
  <c r="E211" i="38"/>
  <c r="G211" i="38" s="1"/>
  <c r="E212" i="38"/>
  <c r="G212" i="38" s="1"/>
  <c r="E213" i="38"/>
  <c r="G213" i="38" s="1"/>
  <c r="E214" i="38"/>
  <c r="G214" i="38" s="1"/>
  <c r="E215" i="38"/>
  <c r="G215" i="38" s="1"/>
  <c r="E216" i="38"/>
  <c r="G216" i="38" s="1"/>
  <c r="E217" i="38"/>
  <c r="G217" i="38" s="1"/>
  <c r="E218" i="38"/>
  <c r="G218" i="38" s="1"/>
  <c r="E219" i="38"/>
  <c r="G219" i="38" s="1"/>
  <c r="E220" i="38"/>
  <c r="G220" i="38" s="1"/>
  <c r="E221" i="38"/>
  <c r="G221" i="38" s="1"/>
  <c r="E222" i="38"/>
  <c r="G222" i="38" s="1"/>
  <c r="E223" i="38"/>
  <c r="G223" i="38" s="1"/>
  <c r="E224" i="38"/>
  <c r="G224" i="38" s="1"/>
  <c r="E225" i="38"/>
  <c r="G225" i="38" s="1"/>
  <c r="E226" i="38"/>
  <c r="G226" i="38" s="1"/>
  <c r="E227" i="38"/>
  <c r="G227" i="38" s="1"/>
  <c r="E228" i="38"/>
  <c r="G228" i="38" s="1"/>
  <c r="E229" i="38"/>
  <c r="G229" i="38" s="1"/>
  <c r="E230" i="38"/>
  <c r="G230" i="38" s="1"/>
  <c r="E231" i="38"/>
  <c r="G231" i="38" s="1"/>
  <c r="E232" i="38"/>
  <c r="G232" i="38" s="1"/>
  <c r="E233" i="38"/>
  <c r="G233" i="38" s="1"/>
  <c r="E234" i="38"/>
  <c r="G234" i="38" s="1"/>
  <c r="E235" i="38"/>
  <c r="G235" i="38" s="1"/>
  <c r="E236" i="38"/>
  <c r="G236" i="38" s="1"/>
  <c r="E237" i="38"/>
  <c r="G237" i="38" s="1"/>
  <c r="E238" i="38"/>
  <c r="G238" i="38" s="1"/>
  <c r="E239" i="38"/>
  <c r="G239" i="38" s="1"/>
  <c r="E240" i="38"/>
  <c r="G240" i="38" s="1"/>
  <c r="E241" i="38"/>
  <c r="G241" i="38" s="1"/>
  <c r="E242" i="38"/>
  <c r="G242" i="38" s="1"/>
  <c r="E243" i="38"/>
  <c r="G243" i="38" s="1"/>
  <c r="E244" i="38"/>
  <c r="G244" i="38" s="1"/>
  <c r="E245" i="38"/>
  <c r="G245" i="38" s="1"/>
  <c r="E246" i="38"/>
  <c r="G246" i="38" s="1"/>
  <c r="E247" i="38"/>
  <c r="G247" i="38" s="1"/>
  <c r="E248" i="38"/>
  <c r="G248" i="38" s="1"/>
  <c r="E249" i="38"/>
  <c r="G249" i="38" s="1"/>
  <c r="E250" i="38"/>
  <c r="G250" i="38" s="1"/>
  <c r="E251" i="38"/>
  <c r="G251" i="38" s="1"/>
  <c r="E252" i="38"/>
  <c r="G252" i="38" s="1"/>
  <c r="E253" i="38"/>
  <c r="G253" i="38" s="1"/>
  <c r="E254" i="38"/>
  <c r="G254" i="38" s="1"/>
  <c r="E255" i="38"/>
  <c r="G255" i="38" s="1"/>
  <c r="E256" i="38"/>
  <c r="G256" i="38" s="1"/>
  <c r="E257" i="38"/>
  <c r="G257" i="38" s="1"/>
  <c r="E258" i="38"/>
  <c r="G258" i="38" s="1"/>
  <c r="E259" i="38"/>
  <c r="G259" i="38" s="1"/>
  <c r="E260" i="38"/>
  <c r="G260" i="38" s="1"/>
  <c r="E261" i="38"/>
  <c r="G261" i="38" s="1"/>
  <c r="E262" i="38"/>
  <c r="G262" i="38" s="1"/>
  <c r="E263" i="38"/>
  <c r="G263" i="38" s="1"/>
  <c r="E264" i="38"/>
  <c r="G264" i="38" s="1"/>
  <c r="E265" i="38"/>
  <c r="G265" i="38" s="1"/>
  <c r="E266" i="38"/>
  <c r="G266" i="38" s="1"/>
  <c r="E267" i="38"/>
  <c r="G267" i="38" s="1"/>
  <c r="E268" i="38"/>
  <c r="G268" i="38" s="1"/>
  <c r="E269" i="38"/>
  <c r="G269" i="38" s="1"/>
  <c r="E270" i="38"/>
  <c r="G270" i="38" s="1"/>
  <c r="E271" i="38"/>
  <c r="G271" i="38" s="1"/>
  <c r="E272" i="38"/>
  <c r="G272" i="38" s="1"/>
  <c r="E273" i="38"/>
  <c r="G273" i="38" s="1"/>
  <c r="E274" i="38"/>
  <c r="G274" i="38" s="1"/>
  <c r="E275" i="38"/>
  <c r="G275" i="38" s="1"/>
  <c r="E276" i="38"/>
  <c r="G276" i="38" s="1"/>
  <c r="E277" i="38"/>
  <c r="G277" i="38" s="1"/>
  <c r="E278" i="38"/>
  <c r="G278" i="38" s="1"/>
  <c r="E279" i="38"/>
  <c r="G279" i="38" s="1"/>
  <c r="E280" i="38"/>
  <c r="G280" i="38" s="1"/>
  <c r="E281" i="38"/>
  <c r="G281" i="38" s="1"/>
  <c r="E282" i="38"/>
  <c r="G282" i="38" s="1"/>
  <c r="E283" i="38"/>
  <c r="G283" i="38" s="1"/>
  <c r="E284" i="38"/>
  <c r="G284" i="38" s="1"/>
  <c r="E285" i="38"/>
  <c r="G285" i="38" s="1"/>
  <c r="E286" i="38"/>
  <c r="G286" i="38" s="1"/>
  <c r="E287" i="38"/>
  <c r="G287" i="38" s="1"/>
  <c r="E288" i="38"/>
  <c r="G288" i="38" s="1"/>
  <c r="E289" i="38"/>
  <c r="G289" i="38" s="1"/>
  <c r="E290" i="38"/>
  <c r="G290" i="38" s="1"/>
  <c r="E291" i="38"/>
  <c r="G291" i="38" s="1"/>
  <c r="E292" i="38"/>
  <c r="G292" i="38" s="1"/>
  <c r="E293" i="38"/>
  <c r="G293" i="38" s="1"/>
  <c r="E294" i="38"/>
  <c r="G294" i="38" s="1"/>
  <c r="E295" i="38"/>
  <c r="G295" i="38" s="1"/>
  <c r="E296" i="38"/>
  <c r="G296" i="38" s="1"/>
  <c r="E297" i="38"/>
  <c r="G297" i="38" s="1"/>
  <c r="E298" i="38"/>
  <c r="G298" i="38" s="1"/>
  <c r="E299" i="38"/>
  <c r="G299" i="38" s="1"/>
  <c r="E300" i="38"/>
  <c r="G300" i="38" s="1"/>
  <c r="E301" i="38"/>
  <c r="G301" i="38" s="1"/>
  <c r="E302" i="38"/>
  <c r="G302" i="38" s="1"/>
  <c r="E303" i="38"/>
  <c r="G303" i="38" s="1"/>
  <c r="E304" i="38"/>
  <c r="G304" i="38" s="1"/>
  <c r="E305" i="38"/>
  <c r="G305" i="38" s="1"/>
  <c r="E306" i="38"/>
  <c r="G306" i="38" s="1"/>
  <c r="E307" i="38"/>
  <c r="G307" i="38" s="1"/>
  <c r="E308" i="38"/>
  <c r="G308" i="38" s="1"/>
  <c r="E309" i="38"/>
  <c r="G309" i="38" s="1"/>
  <c r="E310" i="38"/>
  <c r="G310" i="38" s="1"/>
  <c r="E311" i="38"/>
  <c r="G311" i="38" s="1"/>
  <c r="E312" i="38"/>
  <c r="G312" i="38" s="1"/>
  <c r="E313" i="38"/>
  <c r="G313" i="38" s="1"/>
  <c r="E314" i="38"/>
  <c r="G314" i="38" s="1"/>
  <c r="E315" i="38"/>
  <c r="G315" i="38" s="1"/>
  <c r="E316" i="38"/>
  <c r="G316" i="38" s="1"/>
  <c r="E4" i="38"/>
  <c r="G4" i="38" s="1"/>
  <c r="F5" i="38"/>
  <c r="F6" i="38"/>
  <c r="F7" i="38"/>
  <c r="F8" i="38"/>
  <c r="F9" i="38"/>
  <c r="F10" i="38"/>
  <c r="F11" i="38"/>
  <c r="H11" i="38" s="1"/>
  <c r="F12" i="38"/>
  <c r="F13" i="38"/>
  <c r="F14" i="38"/>
  <c r="F15" i="38"/>
  <c r="H15" i="38" s="1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H125" i="38" s="1"/>
  <c r="I125" i="38" s="1"/>
  <c r="F126" i="38"/>
  <c r="F127" i="38"/>
  <c r="F128" i="38"/>
  <c r="F129" i="38"/>
  <c r="F130" i="38"/>
  <c r="F131" i="38"/>
  <c r="F132" i="38"/>
  <c r="F133" i="38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H145" i="38" s="1"/>
  <c r="I145" i="38" s="1"/>
  <c r="J145" i="38" s="1"/>
  <c r="F146" i="38"/>
  <c r="F147" i="38"/>
  <c r="F148" i="38"/>
  <c r="F149" i="38"/>
  <c r="F150" i="38"/>
  <c r="F151" i="38"/>
  <c r="F152" i="38"/>
  <c r="F153" i="38"/>
  <c r="F154" i="38"/>
  <c r="F155" i="38"/>
  <c r="F156" i="38"/>
  <c r="H156" i="38" s="1"/>
  <c r="I156" i="38" s="1"/>
  <c r="J156" i="38" s="1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H173" i="38" s="1"/>
  <c r="I173" i="38" s="1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H239" i="38" s="1"/>
  <c r="I239" i="38" s="1"/>
  <c r="F240" i="38"/>
  <c r="F241" i="38"/>
  <c r="F242" i="38"/>
  <c r="F243" i="38"/>
  <c r="F244" i="38"/>
  <c r="F245" i="38"/>
  <c r="F246" i="38"/>
  <c r="F247" i="38"/>
  <c r="F248" i="38"/>
  <c r="F249" i="38"/>
  <c r="F250" i="38"/>
  <c r="F251" i="38"/>
  <c r="F252" i="38"/>
  <c r="F253" i="38"/>
  <c r="F254" i="38"/>
  <c r="F255" i="38"/>
  <c r="F256" i="38"/>
  <c r="H256" i="38" s="1"/>
  <c r="F257" i="38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H271" i="38" s="1"/>
  <c r="I271" i="38" s="1"/>
  <c r="J271" i="38" s="1"/>
  <c r="F272" i="38"/>
  <c r="F273" i="38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4" i="38"/>
  <c r="H15" i="37"/>
  <c r="H58" i="37"/>
  <c r="H156" i="37"/>
  <c r="H175" i="37"/>
  <c r="H196" i="37"/>
  <c r="H239" i="37"/>
  <c r="H243" i="37"/>
  <c r="H256" i="37"/>
  <c r="H258" i="37"/>
  <c r="H301" i="37"/>
  <c r="E5" i="37"/>
  <c r="G5" i="37" s="1"/>
  <c r="E6" i="37"/>
  <c r="G6" i="37" s="1"/>
  <c r="E7" i="37"/>
  <c r="G7" i="37" s="1"/>
  <c r="E8" i="37"/>
  <c r="G8" i="37" s="1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E38" i="37"/>
  <c r="G38" i="37" s="1"/>
  <c r="E39" i="37"/>
  <c r="G39" i="37" s="1"/>
  <c r="E40" i="37"/>
  <c r="G40" i="37" s="1"/>
  <c r="E41" i="37"/>
  <c r="G41" i="37" s="1"/>
  <c r="E42" i="37"/>
  <c r="G42" i="37" s="1"/>
  <c r="E43" i="37"/>
  <c r="G43" i="37" s="1"/>
  <c r="E44" i="37"/>
  <c r="G44" i="37" s="1"/>
  <c r="E45" i="37"/>
  <c r="G45" i="37" s="1"/>
  <c r="E46" i="37"/>
  <c r="G46" i="37" s="1"/>
  <c r="E47" i="37"/>
  <c r="G47" i="37" s="1"/>
  <c r="E48" i="37"/>
  <c r="G48" i="37" s="1"/>
  <c r="E49" i="37"/>
  <c r="G49" i="37" s="1"/>
  <c r="E50" i="37"/>
  <c r="G50" i="37" s="1"/>
  <c r="E51" i="37"/>
  <c r="G51" i="37" s="1"/>
  <c r="E52" i="37"/>
  <c r="G52" i="37" s="1"/>
  <c r="E53" i="37"/>
  <c r="G53" i="37" s="1"/>
  <c r="E54" i="37"/>
  <c r="G54" i="37" s="1"/>
  <c r="E55" i="37"/>
  <c r="G55" i="37" s="1"/>
  <c r="E56" i="37"/>
  <c r="G56" i="37" s="1"/>
  <c r="E57" i="37"/>
  <c r="G57" i="37" s="1"/>
  <c r="E58" i="37"/>
  <c r="G58" i="37" s="1"/>
  <c r="E59" i="37"/>
  <c r="G59" i="37" s="1"/>
  <c r="E60" i="37"/>
  <c r="G60" i="37" s="1"/>
  <c r="E61" i="37"/>
  <c r="G61" i="37" s="1"/>
  <c r="E62" i="37"/>
  <c r="G62" i="37" s="1"/>
  <c r="E63" i="37"/>
  <c r="G63" i="37" s="1"/>
  <c r="E64" i="37"/>
  <c r="G64" i="37" s="1"/>
  <c r="E65" i="37"/>
  <c r="G65" i="37" s="1"/>
  <c r="E66" i="37"/>
  <c r="G66" i="37" s="1"/>
  <c r="E67" i="37"/>
  <c r="G67" i="37" s="1"/>
  <c r="E68" i="37"/>
  <c r="G68" i="37" s="1"/>
  <c r="E69" i="37"/>
  <c r="G69" i="37" s="1"/>
  <c r="E70" i="37"/>
  <c r="G70" i="37" s="1"/>
  <c r="E71" i="37"/>
  <c r="G71" i="37" s="1"/>
  <c r="E72" i="37"/>
  <c r="G72" i="37" s="1"/>
  <c r="E73" i="37"/>
  <c r="G73" i="37" s="1"/>
  <c r="E74" i="37"/>
  <c r="G74" i="37" s="1"/>
  <c r="E75" i="37"/>
  <c r="G75" i="37" s="1"/>
  <c r="E76" i="37"/>
  <c r="G76" i="37" s="1"/>
  <c r="E77" i="37"/>
  <c r="G77" i="37" s="1"/>
  <c r="E78" i="37"/>
  <c r="G78" i="37" s="1"/>
  <c r="E79" i="37"/>
  <c r="G79" i="37" s="1"/>
  <c r="E80" i="37"/>
  <c r="G80" i="37" s="1"/>
  <c r="E81" i="37"/>
  <c r="G81" i="37" s="1"/>
  <c r="E82" i="37"/>
  <c r="G82" i="37" s="1"/>
  <c r="E83" i="37"/>
  <c r="G83" i="37" s="1"/>
  <c r="E84" i="37"/>
  <c r="G84" i="37" s="1"/>
  <c r="E85" i="37"/>
  <c r="G85" i="37" s="1"/>
  <c r="E86" i="37"/>
  <c r="G86" i="37" s="1"/>
  <c r="E87" i="37"/>
  <c r="G87" i="37" s="1"/>
  <c r="E88" i="37"/>
  <c r="G88" i="37" s="1"/>
  <c r="E89" i="37"/>
  <c r="G89" i="37" s="1"/>
  <c r="E90" i="37"/>
  <c r="G90" i="37" s="1"/>
  <c r="E91" i="37"/>
  <c r="G91" i="37" s="1"/>
  <c r="E92" i="37"/>
  <c r="G92" i="37" s="1"/>
  <c r="E93" i="37"/>
  <c r="G93" i="37" s="1"/>
  <c r="E94" i="37"/>
  <c r="G94" i="37" s="1"/>
  <c r="E95" i="37"/>
  <c r="G95" i="37" s="1"/>
  <c r="E96" i="37"/>
  <c r="G96" i="37" s="1"/>
  <c r="E97" i="37"/>
  <c r="G97" i="37" s="1"/>
  <c r="E98" i="37"/>
  <c r="G98" i="37" s="1"/>
  <c r="E99" i="37"/>
  <c r="G99" i="37" s="1"/>
  <c r="E100" i="37"/>
  <c r="G100" i="37" s="1"/>
  <c r="E101" i="37"/>
  <c r="G101" i="37" s="1"/>
  <c r="E102" i="37"/>
  <c r="G102" i="37" s="1"/>
  <c r="E103" i="37"/>
  <c r="G103" i="37" s="1"/>
  <c r="E104" i="37"/>
  <c r="G104" i="37" s="1"/>
  <c r="E105" i="37"/>
  <c r="G105" i="37" s="1"/>
  <c r="E106" i="37"/>
  <c r="G106" i="37" s="1"/>
  <c r="E107" i="37"/>
  <c r="G107" i="37" s="1"/>
  <c r="E108" i="37"/>
  <c r="G108" i="37" s="1"/>
  <c r="E109" i="37"/>
  <c r="G109" i="37" s="1"/>
  <c r="E110" i="37"/>
  <c r="G110" i="37" s="1"/>
  <c r="E111" i="37"/>
  <c r="G111" i="37" s="1"/>
  <c r="E112" i="37"/>
  <c r="G112" i="37" s="1"/>
  <c r="E113" i="37"/>
  <c r="G113" i="37" s="1"/>
  <c r="E114" i="37"/>
  <c r="G114" i="37" s="1"/>
  <c r="E115" i="37"/>
  <c r="G115" i="37" s="1"/>
  <c r="E116" i="37"/>
  <c r="G116" i="37" s="1"/>
  <c r="E117" i="37"/>
  <c r="G117" i="37" s="1"/>
  <c r="E118" i="37"/>
  <c r="G118" i="37" s="1"/>
  <c r="E119" i="37"/>
  <c r="G119" i="37" s="1"/>
  <c r="E120" i="37"/>
  <c r="G120" i="37" s="1"/>
  <c r="E121" i="37"/>
  <c r="G121" i="37" s="1"/>
  <c r="E122" i="37"/>
  <c r="G122" i="37" s="1"/>
  <c r="E123" i="37"/>
  <c r="G123" i="37" s="1"/>
  <c r="E124" i="37"/>
  <c r="G124" i="37" s="1"/>
  <c r="E125" i="37"/>
  <c r="G125" i="37" s="1"/>
  <c r="E126" i="37"/>
  <c r="G126" i="37" s="1"/>
  <c r="E127" i="37"/>
  <c r="G127" i="37" s="1"/>
  <c r="H127" i="37" s="1"/>
  <c r="E128" i="37"/>
  <c r="G128" i="37" s="1"/>
  <c r="E129" i="37"/>
  <c r="G129" i="37" s="1"/>
  <c r="E130" i="37"/>
  <c r="G130" i="37" s="1"/>
  <c r="E131" i="37"/>
  <c r="G131" i="37" s="1"/>
  <c r="E132" i="37"/>
  <c r="G132" i="37" s="1"/>
  <c r="E133" i="37"/>
  <c r="G133" i="37" s="1"/>
  <c r="E134" i="37"/>
  <c r="G134" i="37" s="1"/>
  <c r="E135" i="37"/>
  <c r="G135" i="37" s="1"/>
  <c r="E136" i="37"/>
  <c r="G136" i="37" s="1"/>
  <c r="E137" i="37"/>
  <c r="G137" i="37" s="1"/>
  <c r="E138" i="37"/>
  <c r="G138" i="37" s="1"/>
  <c r="E139" i="37"/>
  <c r="G139" i="37" s="1"/>
  <c r="E140" i="37"/>
  <c r="G140" i="37" s="1"/>
  <c r="E141" i="37"/>
  <c r="G141" i="37" s="1"/>
  <c r="E142" i="37"/>
  <c r="G142" i="37" s="1"/>
  <c r="E143" i="37"/>
  <c r="G143" i="37" s="1"/>
  <c r="E144" i="37"/>
  <c r="G144" i="37" s="1"/>
  <c r="E145" i="37"/>
  <c r="G145" i="37" s="1"/>
  <c r="E146" i="37"/>
  <c r="G146" i="37" s="1"/>
  <c r="E147" i="37"/>
  <c r="G147" i="37" s="1"/>
  <c r="E148" i="37"/>
  <c r="G148" i="37" s="1"/>
  <c r="E149" i="37"/>
  <c r="G149" i="37" s="1"/>
  <c r="E150" i="37"/>
  <c r="G150" i="37" s="1"/>
  <c r="E151" i="37"/>
  <c r="G151" i="37" s="1"/>
  <c r="E152" i="37"/>
  <c r="G152" i="37" s="1"/>
  <c r="E153" i="37"/>
  <c r="G153" i="37" s="1"/>
  <c r="E154" i="37"/>
  <c r="G154" i="37" s="1"/>
  <c r="E155" i="37"/>
  <c r="G155" i="37" s="1"/>
  <c r="E156" i="37"/>
  <c r="G156" i="37" s="1"/>
  <c r="E157" i="37"/>
  <c r="G157" i="37" s="1"/>
  <c r="E158" i="37"/>
  <c r="G158" i="37" s="1"/>
  <c r="E159" i="37"/>
  <c r="G159" i="37" s="1"/>
  <c r="E160" i="37"/>
  <c r="G160" i="37" s="1"/>
  <c r="E161" i="37"/>
  <c r="G161" i="37" s="1"/>
  <c r="E162" i="37"/>
  <c r="G162" i="37" s="1"/>
  <c r="E163" i="37"/>
  <c r="G163" i="37" s="1"/>
  <c r="E164" i="37"/>
  <c r="G164" i="37" s="1"/>
  <c r="E165" i="37"/>
  <c r="G165" i="37" s="1"/>
  <c r="E166" i="37"/>
  <c r="G166" i="37" s="1"/>
  <c r="E167" i="37"/>
  <c r="G167" i="37" s="1"/>
  <c r="E168" i="37"/>
  <c r="G168" i="37" s="1"/>
  <c r="E169" i="37"/>
  <c r="G169" i="37" s="1"/>
  <c r="E170" i="37"/>
  <c r="G170" i="37" s="1"/>
  <c r="E171" i="37"/>
  <c r="G171" i="37" s="1"/>
  <c r="E172" i="37"/>
  <c r="G172" i="37" s="1"/>
  <c r="E173" i="37"/>
  <c r="G173" i="37" s="1"/>
  <c r="E174" i="37"/>
  <c r="G174" i="37" s="1"/>
  <c r="E175" i="37"/>
  <c r="G175" i="37" s="1"/>
  <c r="E176" i="37"/>
  <c r="G176" i="37" s="1"/>
  <c r="E177" i="37"/>
  <c r="G177" i="37" s="1"/>
  <c r="E178" i="37"/>
  <c r="G178" i="37" s="1"/>
  <c r="E179" i="37"/>
  <c r="G179" i="37" s="1"/>
  <c r="E180" i="37"/>
  <c r="G180" i="37" s="1"/>
  <c r="E181" i="37"/>
  <c r="G181" i="37" s="1"/>
  <c r="E182" i="37"/>
  <c r="G182" i="37" s="1"/>
  <c r="E183" i="37"/>
  <c r="G183" i="37" s="1"/>
  <c r="E184" i="37"/>
  <c r="G184" i="37" s="1"/>
  <c r="E185" i="37"/>
  <c r="G185" i="37" s="1"/>
  <c r="E186" i="37"/>
  <c r="G186" i="37" s="1"/>
  <c r="E187" i="37"/>
  <c r="G187" i="37" s="1"/>
  <c r="E188" i="37"/>
  <c r="G188" i="37" s="1"/>
  <c r="E189" i="37"/>
  <c r="G189" i="37" s="1"/>
  <c r="E190" i="37"/>
  <c r="G190" i="37" s="1"/>
  <c r="E191" i="37"/>
  <c r="G191" i="37" s="1"/>
  <c r="E192" i="37"/>
  <c r="G192" i="37" s="1"/>
  <c r="E193" i="37"/>
  <c r="G193" i="37" s="1"/>
  <c r="E194" i="37"/>
  <c r="G194" i="37" s="1"/>
  <c r="E195" i="37"/>
  <c r="G195" i="37" s="1"/>
  <c r="E196" i="37"/>
  <c r="G196" i="37" s="1"/>
  <c r="E197" i="37"/>
  <c r="G197" i="37" s="1"/>
  <c r="E198" i="37"/>
  <c r="G198" i="37" s="1"/>
  <c r="E199" i="37"/>
  <c r="G199" i="37" s="1"/>
  <c r="E200" i="37"/>
  <c r="G200" i="37" s="1"/>
  <c r="E201" i="37"/>
  <c r="G201" i="37" s="1"/>
  <c r="E202" i="37"/>
  <c r="G202" i="37" s="1"/>
  <c r="E203" i="37"/>
  <c r="G203" i="37" s="1"/>
  <c r="E204" i="37"/>
  <c r="G204" i="37" s="1"/>
  <c r="E205" i="37"/>
  <c r="G205" i="37" s="1"/>
  <c r="E206" i="37"/>
  <c r="G206" i="37" s="1"/>
  <c r="E207" i="37"/>
  <c r="G207" i="37" s="1"/>
  <c r="E208" i="37"/>
  <c r="G208" i="37" s="1"/>
  <c r="E209" i="37"/>
  <c r="G209" i="37" s="1"/>
  <c r="E210" i="37"/>
  <c r="G210" i="37" s="1"/>
  <c r="E211" i="37"/>
  <c r="G211" i="37" s="1"/>
  <c r="E212" i="37"/>
  <c r="G212" i="37" s="1"/>
  <c r="E213" i="37"/>
  <c r="G213" i="37" s="1"/>
  <c r="E214" i="37"/>
  <c r="G214" i="37" s="1"/>
  <c r="E215" i="37"/>
  <c r="G215" i="37" s="1"/>
  <c r="E216" i="37"/>
  <c r="G216" i="37" s="1"/>
  <c r="E217" i="37"/>
  <c r="G217" i="37" s="1"/>
  <c r="E218" i="37"/>
  <c r="G218" i="37" s="1"/>
  <c r="E219" i="37"/>
  <c r="G219" i="37" s="1"/>
  <c r="E220" i="37"/>
  <c r="G220" i="37" s="1"/>
  <c r="E221" i="37"/>
  <c r="G221" i="37" s="1"/>
  <c r="E222" i="37"/>
  <c r="G222" i="37" s="1"/>
  <c r="E223" i="37"/>
  <c r="G223" i="37" s="1"/>
  <c r="E224" i="37"/>
  <c r="G224" i="37" s="1"/>
  <c r="E225" i="37"/>
  <c r="G225" i="37" s="1"/>
  <c r="E226" i="37"/>
  <c r="G226" i="37" s="1"/>
  <c r="E227" i="37"/>
  <c r="G227" i="37" s="1"/>
  <c r="E228" i="37"/>
  <c r="G228" i="37" s="1"/>
  <c r="E229" i="37"/>
  <c r="G229" i="37" s="1"/>
  <c r="E230" i="37"/>
  <c r="G230" i="37" s="1"/>
  <c r="E231" i="37"/>
  <c r="G231" i="37" s="1"/>
  <c r="E232" i="37"/>
  <c r="G232" i="37" s="1"/>
  <c r="E233" i="37"/>
  <c r="G233" i="37" s="1"/>
  <c r="E234" i="37"/>
  <c r="G234" i="37" s="1"/>
  <c r="E235" i="37"/>
  <c r="G235" i="37" s="1"/>
  <c r="E236" i="37"/>
  <c r="G236" i="37" s="1"/>
  <c r="E237" i="37"/>
  <c r="G237" i="37" s="1"/>
  <c r="E238" i="37"/>
  <c r="G238" i="37" s="1"/>
  <c r="E239" i="37"/>
  <c r="G239" i="37" s="1"/>
  <c r="E240" i="37"/>
  <c r="G240" i="37" s="1"/>
  <c r="E241" i="37"/>
  <c r="G241" i="37" s="1"/>
  <c r="E242" i="37"/>
  <c r="G242" i="37" s="1"/>
  <c r="E243" i="37"/>
  <c r="G243" i="37" s="1"/>
  <c r="E244" i="37"/>
  <c r="G244" i="37" s="1"/>
  <c r="E245" i="37"/>
  <c r="G245" i="37" s="1"/>
  <c r="E246" i="37"/>
  <c r="G246" i="37" s="1"/>
  <c r="E247" i="37"/>
  <c r="G247" i="37" s="1"/>
  <c r="E248" i="37"/>
  <c r="G248" i="37" s="1"/>
  <c r="E249" i="37"/>
  <c r="G249" i="37" s="1"/>
  <c r="E250" i="37"/>
  <c r="G250" i="37" s="1"/>
  <c r="E251" i="37"/>
  <c r="G251" i="37" s="1"/>
  <c r="E252" i="37"/>
  <c r="G252" i="37" s="1"/>
  <c r="E253" i="37"/>
  <c r="G253" i="37" s="1"/>
  <c r="E254" i="37"/>
  <c r="G254" i="37" s="1"/>
  <c r="E255" i="37"/>
  <c r="G255" i="37" s="1"/>
  <c r="E256" i="37"/>
  <c r="G256" i="37" s="1"/>
  <c r="E257" i="37"/>
  <c r="G257" i="37" s="1"/>
  <c r="E258" i="37"/>
  <c r="G258" i="37" s="1"/>
  <c r="E259" i="37"/>
  <c r="G259" i="37" s="1"/>
  <c r="E260" i="37"/>
  <c r="G260" i="37" s="1"/>
  <c r="E261" i="37"/>
  <c r="G261" i="37" s="1"/>
  <c r="E262" i="37"/>
  <c r="G262" i="37" s="1"/>
  <c r="E263" i="37"/>
  <c r="G263" i="37" s="1"/>
  <c r="E264" i="37"/>
  <c r="G264" i="37" s="1"/>
  <c r="E265" i="37"/>
  <c r="G265" i="37" s="1"/>
  <c r="E266" i="37"/>
  <c r="G266" i="37" s="1"/>
  <c r="E267" i="37"/>
  <c r="G267" i="37" s="1"/>
  <c r="E268" i="37"/>
  <c r="G268" i="37" s="1"/>
  <c r="E269" i="37"/>
  <c r="G269" i="37" s="1"/>
  <c r="E270" i="37"/>
  <c r="G270" i="37" s="1"/>
  <c r="E271" i="37"/>
  <c r="G271" i="37" s="1"/>
  <c r="E272" i="37"/>
  <c r="G272" i="37" s="1"/>
  <c r="E273" i="37"/>
  <c r="G273" i="37" s="1"/>
  <c r="E274" i="37"/>
  <c r="G274" i="37" s="1"/>
  <c r="E275" i="37"/>
  <c r="G275" i="37" s="1"/>
  <c r="E276" i="37"/>
  <c r="G276" i="37" s="1"/>
  <c r="E277" i="37"/>
  <c r="G277" i="37" s="1"/>
  <c r="E278" i="37"/>
  <c r="G278" i="37" s="1"/>
  <c r="E279" i="37"/>
  <c r="G279" i="37" s="1"/>
  <c r="E280" i="37"/>
  <c r="G280" i="37" s="1"/>
  <c r="E281" i="37"/>
  <c r="G281" i="37" s="1"/>
  <c r="E282" i="37"/>
  <c r="G282" i="37" s="1"/>
  <c r="E283" i="37"/>
  <c r="G283" i="37" s="1"/>
  <c r="E284" i="37"/>
  <c r="G284" i="37" s="1"/>
  <c r="E285" i="37"/>
  <c r="G285" i="37" s="1"/>
  <c r="E286" i="37"/>
  <c r="G286" i="37" s="1"/>
  <c r="E287" i="37"/>
  <c r="G287" i="37" s="1"/>
  <c r="E288" i="37"/>
  <c r="G288" i="37" s="1"/>
  <c r="E289" i="37"/>
  <c r="G289" i="37" s="1"/>
  <c r="E290" i="37"/>
  <c r="G290" i="37" s="1"/>
  <c r="E291" i="37"/>
  <c r="G291" i="37" s="1"/>
  <c r="E292" i="37"/>
  <c r="G292" i="37" s="1"/>
  <c r="E293" i="37"/>
  <c r="G293" i="37" s="1"/>
  <c r="E294" i="37"/>
  <c r="G294" i="37" s="1"/>
  <c r="E295" i="37"/>
  <c r="G295" i="37" s="1"/>
  <c r="E296" i="37"/>
  <c r="G296" i="37" s="1"/>
  <c r="E297" i="37"/>
  <c r="G297" i="37" s="1"/>
  <c r="E298" i="37"/>
  <c r="G298" i="37" s="1"/>
  <c r="E299" i="37"/>
  <c r="G299" i="37" s="1"/>
  <c r="E300" i="37"/>
  <c r="G300" i="37" s="1"/>
  <c r="E301" i="37"/>
  <c r="G301" i="37" s="1"/>
  <c r="E302" i="37"/>
  <c r="G302" i="37" s="1"/>
  <c r="E303" i="37"/>
  <c r="G303" i="37" s="1"/>
  <c r="E304" i="37"/>
  <c r="G304" i="37" s="1"/>
  <c r="E305" i="37"/>
  <c r="G305" i="37" s="1"/>
  <c r="E306" i="37"/>
  <c r="G306" i="37" s="1"/>
  <c r="E307" i="37"/>
  <c r="G307" i="37" s="1"/>
  <c r="E308" i="37"/>
  <c r="G308" i="37" s="1"/>
  <c r="E309" i="37"/>
  <c r="G309" i="37" s="1"/>
  <c r="E310" i="37"/>
  <c r="G310" i="37" s="1"/>
  <c r="E311" i="37"/>
  <c r="G311" i="37" s="1"/>
  <c r="E312" i="37"/>
  <c r="G312" i="37" s="1"/>
  <c r="E313" i="37"/>
  <c r="G313" i="37" s="1"/>
  <c r="E314" i="37"/>
  <c r="G314" i="37" s="1"/>
  <c r="E315" i="37"/>
  <c r="G315" i="37" s="1"/>
  <c r="E316" i="37"/>
  <c r="G316" i="37" s="1"/>
  <c r="E4" i="37"/>
  <c r="G4" i="37" s="1"/>
  <c r="F5" i="36"/>
  <c r="F6" i="36"/>
  <c r="F7" i="36"/>
  <c r="F8" i="36"/>
  <c r="F9" i="36"/>
  <c r="F10" i="36"/>
  <c r="F11" i="36"/>
  <c r="F12" i="36"/>
  <c r="F13" i="36"/>
  <c r="F14" i="36"/>
  <c r="F15" i="36"/>
  <c r="H15" i="36" s="1"/>
  <c r="I15" i="36" s="1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H156" i="36" s="1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H256" i="36" s="1"/>
  <c r="F257" i="36"/>
  <c r="F258" i="36"/>
  <c r="H258" i="36" s="1"/>
  <c r="I258" i="36" s="1"/>
  <c r="F259" i="36"/>
  <c r="F260" i="36"/>
  <c r="F261" i="36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4" i="36"/>
  <c r="B1" i="36"/>
  <c r="C1" i="36" s="1"/>
  <c r="D1" i="36" s="1"/>
  <c r="E1" i="36" s="1"/>
  <c r="H1" i="36" s="1"/>
  <c r="I1" i="36" s="1"/>
  <c r="J1" i="36" s="1"/>
  <c r="K1" i="36" s="1"/>
  <c r="L1" i="36" s="1"/>
  <c r="M1" i="36" s="1"/>
  <c r="N1" i="36" s="1"/>
  <c r="O1" i="36" s="1"/>
  <c r="P1" i="36" s="1"/>
  <c r="Q1" i="36" s="1"/>
  <c r="R1" i="36" s="1"/>
  <c r="S1" i="36" s="1"/>
  <c r="T1" i="36" s="1"/>
  <c r="U1" i="36" s="1"/>
  <c r="V1" i="36" s="1"/>
  <c r="W1" i="36" s="1"/>
  <c r="X1" i="36" s="1"/>
  <c r="H127" i="36" l="1"/>
  <c r="H127" i="39"/>
  <c r="I127" i="39" s="1"/>
  <c r="D3" i="39"/>
  <c r="F3" i="39" a="1"/>
  <c r="F3" i="39" s="1"/>
  <c r="F1" i="39" s="1"/>
  <c r="F3" i="36" a="1"/>
  <c r="F3" i="36" s="1"/>
  <c r="F1" i="36" s="1"/>
  <c r="D3" i="38"/>
  <c r="F3" i="38" a="1"/>
  <c r="F3" i="38" s="1"/>
  <c r="H244" i="39"/>
  <c r="I244" i="39" s="1"/>
  <c r="J244" i="39" s="1"/>
  <c r="H244" i="38"/>
  <c r="I244" i="38" s="1"/>
  <c r="J244" i="38" s="1"/>
  <c r="H171" i="37"/>
  <c r="I171" i="37" s="1"/>
  <c r="H83" i="37"/>
  <c r="I83" i="37" s="1"/>
  <c r="H75" i="37"/>
  <c r="I75" i="37" s="1"/>
  <c r="J75" i="37" s="1"/>
  <c r="H27" i="37"/>
  <c r="I27" i="37" s="1"/>
  <c r="H11" i="37"/>
  <c r="I11" i="37" s="1"/>
  <c r="J11" i="37" s="1"/>
  <c r="H233" i="38"/>
  <c r="I233" i="38" s="1"/>
  <c r="J233" i="38" s="1"/>
  <c r="H300" i="37"/>
  <c r="I300" i="37" s="1"/>
  <c r="J300" i="37" s="1"/>
  <c r="H284" i="37"/>
  <c r="I284" i="37" s="1"/>
  <c r="J284" i="37" s="1"/>
  <c r="H245" i="37"/>
  <c r="I245" i="37" s="1"/>
  <c r="H221" i="37"/>
  <c r="I221" i="37" s="1"/>
  <c r="H198" i="37"/>
  <c r="I198" i="37" s="1"/>
  <c r="H126" i="37"/>
  <c r="I126" i="37" s="1"/>
  <c r="J126" i="37" s="1"/>
  <c r="H86" i="37"/>
  <c r="I86" i="37" s="1"/>
  <c r="J86" i="37" s="1"/>
  <c r="H78" i="37"/>
  <c r="I78" i="37" s="1"/>
  <c r="H70" i="37"/>
  <c r="I70" i="37" s="1"/>
  <c r="J70" i="37" s="1"/>
  <c r="H275" i="37"/>
  <c r="I275" i="37" s="1"/>
  <c r="H244" i="37"/>
  <c r="I244" i="37" s="1"/>
  <c r="J244" i="37" s="1"/>
  <c r="H181" i="37"/>
  <c r="I181" i="37" s="1"/>
  <c r="J181" i="37" s="1"/>
  <c r="H173" i="37"/>
  <c r="I173" i="37" s="1"/>
  <c r="J173" i="37" s="1"/>
  <c r="H149" i="37"/>
  <c r="I149" i="37" s="1"/>
  <c r="H141" i="37"/>
  <c r="I141" i="37" s="1"/>
  <c r="H125" i="37"/>
  <c r="I125" i="37" s="1"/>
  <c r="H109" i="37"/>
  <c r="I109" i="37" s="1"/>
  <c r="H101" i="37"/>
  <c r="I101" i="37" s="1"/>
  <c r="H93" i="37"/>
  <c r="I93" i="37" s="1"/>
  <c r="H69" i="37"/>
  <c r="I69" i="37" s="1"/>
  <c r="H13" i="37"/>
  <c r="I13" i="37" s="1"/>
  <c r="J13" i="37" s="1"/>
  <c r="H233" i="36"/>
  <c r="I233" i="36" s="1"/>
  <c r="J233" i="36" s="1"/>
  <c r="H306" i="37"/>
  <c r="I306" i="37" s="1"/>
  <c r="H282" i="37"/>
  <c r="I282" i="37" s="1"/>
  <c r="H266" i="37"/>
  <c r="I266" i="37" s="1"/>
  <c r="H259" i="37"/>
  <c r="I259" i="37" s="1"/>
  <c r="J259" i="37" s="1"/>
  <c r="H124" i="37"/>
  <c r="I124" i="37" s="1"/>
  <c r="H68" i="37"/>
  <c r="I68" i="37" s="1"/>
  <c r="J68" i="37" s="1"/>
  <c r="H12" i="37"/>
  <c r="I12" i="37" s="1"/>
  <c r="J12" i="37" s="1"/>
  <c r="H249" i="37"/>
  <c r="I249" i="37" s="1"/>
  <c r="J249" i="37" s="1"/>
  <c r="H241" i="37"/>
  <c r="I241" i="37" s="1"/>
  <c r="H225" i="37"/>
  <c r="I225" i="37" s="1"/>
  <c r="H50" i="37"/>
  <c r="I50" i="37" s="1"/>
  <c r="J50" i="37" s="1"/>
  <c r="H303" i="37"/>
  <c r="I303" i="37" s="1"/>
  <c r="H287" i="37"/>
  <c r="I287" i="37" s="1"/>
  <c r="H279" i="37"/>
  <c r="I279" i="37" s="1"/>
  <c r="J279" i="37" s="1"/>
  <c r="H271" i="37"/>
  <c r="I271" i="37" s="1"/>
  <c r="H208" i="37"/>
  <c r="I208" i="37" s="1"/>
  <c r="J208" i="37" s="1"/>
  <c r="H145" i="37"/>
  <c r="I145" i="37" s="1"/>
  <c r="H97" i="37"/>
  <c r="I97" i="37" s="1"/>
  <c r="H33" i="37"/>
  <c r="I33" i="37" s="1"/>
  <c r="H25" i="37"/>
  <c r="I25" i="37" s="1"/>
  <c r="J25" i="37" s="1"/>
  <c r="H294" i="37"/>
  <c r="I294" i="37" s="1"/>
  <c r="H278" i="37"/>
  <c r="I278" i="37" s="1"/>
  <c r="H255" i="37"/>
  <c r="I255" i="37" s="1"/>
  <c r="J255" i="37" s="1"/>
  <c r="H223" i="37"/>
  <c r="I223" i="37" s="1"/>
  <c r="H168" i="37"/>
  <c r="I168" i="37" s="1"/>
  <c r="J168" i="37" s="1"/>
  <c r="H144" i="37"/>
  <c r="I144" i="37" s="1"/>
  <c r="J144" i="37" s="1"/>
  <c r="H128" i="37"/>
  <c r="I128" i="37" s="1"/>
  <c r="J128" i="37" s="1"/>
  <c r="H120" i="37"/>
  <c r="I120" i="37" s="1"/>
  <c r="H96" i="37"/>
  <c r="I96" i="37" s="1"/>
  <c r="H16" i="37"/>
  <c r="I16" i="37" s="1"/>
  <c r="J16" i="37" s="1"/>
  <c r="H8" i="37"/>
  <c r="I8" i="37" s="1"/>
  <c r="J8" i="37" s="1"/>
  <c r="H262" i="37"/>
  <c r="I262" i="37" s="1"/>
  <c r="J262" i="37" s="1"/>
  <c r="H230" i="37"/>
  <c r="I230" i="37" s="1"/>
  <c r="H222" i="37"/>
  <c r="I222" i="37" s="1"/>
  <c r="H207" i="37"/>
  <c r="I207" i="37" s="1"/>
  <c r="H143" i="37"/>
  <c r="I143" i="37" s="1"/>
  <c r="H135" i="37"/>
  <c r="I135" i="37" s="1"/>
  <c r="J135" i="37" s="1"/>
  <c r="H63" i="37"/>
  <c r="I63" i="37" s="1"/>
  <c r="J63" i="37" s="1"/>
  <c r="H7" i="37"/>
  <c r="I7" i="37" s="1"/>
  <c r="H6" i="36"/>
  <c r="I6" i="36" s="1"/>
  <c r="J6" i="36" s="1"/>
  <c r="H295" i="39"/>
  <c r="I295" i="39" s="1"/>
  <c r="H260" i="36"/>
  <c r="I260" i="36" s="1"/>
  <c r="J260" i="36" s="1"/>
  <c r="H260" i="39"/>
  <c r="I260" i="39" s="1"/>
  <c r="J260" i="39" s="1"/>
  <c r="H133" i="39"/>
  <c r="I133" i="39" s="1"/>
  <c r="J133" i="39" s="1"/>
  <c r="H133" i="38"/>
  <c r="I133" i="38" s="1"/>
  <c r="J133" i="38" s="1"/>
  <c r="H295" i="36"/>
  <c r="I295" i="36" s="1"/>
  <c r="J295" i="36" s="1"/>
  <c r="H108" i="38"/>
  <c r="I108" i="38" s="1"/>
  <c r="J108" i="38" s="1"/>
  <c r="H257" i="38"/>
  <c r="I257" i="38" s="1"/>
  <c r="J257" i="38" s="1"/>
  <c r="H209" i="38"/>
  <c r="I209" i="38" s="1"/>
  <c r="H170" i="38"/>
  <c r="I170" i="38" s="1"/>
  <c r="H122" i="38"/>
  <c r="I122" i="38" s="1"/>
  <c r="J122" i="38" s="1"/>
  <c r="H257" i="39"/>
  <c r="I257" i="39" s="1"/>
  <c r="J257" i="39" s="1"/>
  <c r="H122" i="39"/>
  <c r="I122" i="39" s="1"/>
  <c r="J122" i="39" s="1"/>
  <c r="H248" i="37"/>
  <c r="I248" i="37" s="1"/>
  <c r="J248" i="37" s="1"/>
  <c r="H224" i="37"/>
  <c r="I224" i="37" s="1"/>
  <c r="J224" i="37" s="1"/>
  <c r="H193" i="37"/>
  <c r="I193" i="37" s="1"/>
  <c r="J193" i="37" s="1"/>
  <c r="H9" i="37"/>
  <c r="I9" i="37" s="1"/>
  <c r="J9" i="37" s="1"/>
  <c r="H159" i="37"/>
  <c r="I159" i="37" s="1"/>
  <c r="H111" i="37"/>
  <c r="I111" i="37" s="1"/>
  <c r="H79" i="37"/>
  <c r="I79" i="37" s="1"/>
  <c r="J79" i="37" s="1"/>
  <c r="H190" i="37"/>
  <c r="I190" i="37" s="1"/>
  <c r="H174" i="37"/>
  <c r="I174" i="37" s="1"/>
  <c r="H158" i="37"/>
  <c r="I158" i="37" s="1"/>
  <c r="H118" i="37"/>
  <c r="I118" i="37" s="1"/>
  <c r="H30" i="37"/>
  <c r="I30" i="37" s="1"/>
  <c r="H14" i="37"/>
  <c r="I14" i="37" s="1"/>
  <c r="H6" i="37"/>
  <c r="H299" i="37"/>
  <c r="I299" i="37" s="1"/>
  <c r="H197" i="37"/>
  <c r="I197" i="37" s="1"/>
  <c r="J197" i="37" s="1"/>
  <c r="H165" i="37"/>
  <c r="I165" i="37" s="1"/>
  <c r="J165" i="37" s="1"/>
  <c r="H45" i="37"/>
  <c r="I45" i="37" s="1"/>
  <c r="H37" i="37"/>
  <c r="I37" i="37" s="1"/>
  <c r="J37" i="37" s="1"/>
  <c r="H5" i="37"/>
  <c r="I5" i="37" s="1"/>
  <c r="H314" i="37"/>
  <c r="I314" i="37" s="1"/>
  <c r="H235" i="37"/>
  <c r="I235" i="37" s="1"/>
  <c r="H273" i="37"/>
  <c r="I273" i="37" s="1"/>
  <c r="J273" i="37" s="1"/>
  <c r="H242" i="37"/>
  <c r="I242" i="37" s="1"/>
  <c r="J242" i="37" s="1"/>
  <c r="H179" i="37"/>
  <c r="I179" i="37" s="1"/>
  <c r="J179" i="37" s="1"/>
  <c r="H123" i="37"/>
  <c r="I123" i="37" s="1"/>
  <c r="H51" i="37"/>
  <c r="I51" i="37" s="1"/>
  <c r="H43" i="37"/>
  <c r="I43" i="37" s="1"/>
  <c r="H209" i="36"/>
  <c r="I209" i="36" s="1"/>
  <c r="J209" i="36" s="1"/>
  <c r="H170" i="36"/>
  <c r="I170" i="36" s="1"/>
  <c r="J170" i="36" s="1"/>
  <c r="H312" i="37"/>
  <c r="I312" i="37" s="1"/>
  <c r="H304" i="37"/>
  <c r="I304" i="37" s="1"/>
  <c r="H186" i="37"/>
  <c r="I186" i="37" s="1"/>
  <c r="H146" i="37"/>
  <c r="I146" i="37" s="1"/>
  <c r="H34" i="37"/>
  <c r="I34" i="37" s="1"/>
  <c r="H310" i="37"/>
  <c r="I310" i="37" s="1"/>
  <c r="H302" i="37"/>
  <c r="I302" i="37" s="1"/>
  <c r="H286" i="37"/>
  <c r="I286" i="37" s="1"/>
  <c r="J286" i="37" s="1"/>
  <c r="H270" i="37"/>
  <c r="I270" i="37" s="1"/>
  <c r="H263" i="37"/>
  <c r="I263" i="37" s="1"/>
  <c r="J263" i="37" s="1"/>
  <c r="H247" i="37"/>
  <c r="I247" i="37" s="1"/>
  <c r="H231" i="37"/>
  <c r="H215" i="37"/>
  <c r="I215" i="37" s="1"/>
  <c r="J215" i="37" s="1"/>
  <c r="H200" i="37"/>
  <c r="I200" i="37" s="1"/>
  <c r="H192" i="37"/>
  <c r="I192" i="37" s="1"/>
  <c r="H184" i="37"/>
  <c r="I184" i="37" s="1"/>
  <c r="H176" i="37"/>
  <c r="I176" i="37" s="1"/>
  <c r="H160" i="37"/>
  <c r="I160" i="37" s="1"/>
  <c r="J160" i="37" s="1"/>
  <c r="H152" i="37"/>
  <c r="I152" i="37" s="1"/>
  <c r="J152" i="37" s="1"/>
  <c r="H136" i="37"/>
  <c r="H112" i="37"/>
  <c r="I112" i="37" s="1"/>
  <c r="J112" i="37" s="1"/>
  <c r="H104" i="37"/>
  <c r="I104" i="37" s="1"/>
  <c r="J104" i="37" s="1"/>
  <c r="H88" i="37"/>
  <c r="I88" i="37" s="1"/>
  <c r="H80" i="37"/>
  <c r="I80" i="37" s="1"/>
  <c r="J80" i="37" s="1"/>
  <c r="H72" i="37"/>
  <c r="I72" i="37" s="1"/>
  <c r="H64" i="37"/>
  <c r="I64" i="37" s="1"/>
  <c r="J64" i="37" s="1"/>
  <c r="H56" i="37"/>
  <c r="I56" i="37" s="1"/>
  <c r="J56" i="37" s="1"/>
  <c r="H48" i="37"/>
  <c r="H40" i="37"/>
  <c r="I40" i="37" s="1"/>
  <c r="H32" i="37"/>
  <c r="I32" i="37" s="1"/>
  <c r="J32" i="37" s="1"/>
  <c r="H24" i="37"/>
  <c r="I24" i="37" s="1"/>
  <c r="J24" i="37" s="1"/>
  <c r="H313" i="37"/>
  <c r="I313" i="37" s="1"/>
  <c r="J313" i="37" s="1"/>
  <c r="H305" i="37"/>
  <c r="I305" i="37" s="1"/>
  <c r="J305" i="37" s="1"/>
  <c r="H297" i="37"/>
  <c r="I297" i="37" s="1"/>
  <c r="J297" i="37" s="1"/>
  <c r="H289" i="37"/>
  <c r="I289" i="37" s="1"/>
  <c r="H281" i="37"/>
  <c r="H265" i="37"/>
  <c r="I265" i="37" s="1"/>
  <c r="J265" i="37" s="1"/>
  <c r="H250" i="37"/>
  <c r="I250" i="37" s="1"/>
  <c r="H234" i="37"/>
  <c r="H226" i="37"/>
  <c r="I226" i="37" s="1"/>
  <c r="H218" i="37"/>
  <c r="I218" i="37" s="1"/>
  <c r="H210" i="37"/>
  <c r="I210" i="37" s="1"/>
  <c r="J210" i="37" s="1"/>
  <c r="H203" i="37"/>
  <c r="H195" i="37"/>
  <c r="H187" i="37"/>
  <c r="I187" i="37" s="1"/>
  <c r="H163" i="37"/>
  <c r="I163" i="37" s="1"/>
  <c r="H155" i="37"/>
  <c r="H147" i="37"/>
  <c r="I147" i="37" s="1"/>
  <c r="J147" i="37" s="1"/>
  <c r="H139" i="37"/>
  <c r="I139" i="37" s="1"/>
  <c r="H131" i="37"/>
  <c r="H115" i="37"/>
  <c r="I115" i="37" s="1"/>
  <c r="H107" i="37"/>
  <c r="H99" i="37"/>
  <c r="H91" i="37"/>
  <c r="I91" i="37" s="1"/>
  <c r="J91" i="37" s="1"/>
  <c r="H67" i="37"/>
  <c r="H59" i="37"/>
  <c r="I59" i="37" s="1"/>
  <c r="J59" i="37" s="1"/>
  <c r="H35" i="37"/>
  <c r="H19" i="37"/>
  <c r="I19" i="37" s="1"/>
  <c r="J19" i="37" s="1"/>
  <c r="H296" i="37"/>
  <c r="I296" i="37" s="1"/>
  <c r="H288" i="37"/>
  <c r="H280" i="37"/>
  <c r="I280" i="37" s="1"/>
  <c r="J280" i="37" s="1"/>
  <c r="H272" i="37"/>
  <c r="H264" i="37"/>
  <c r="H257" i="37"/>
  <c r="I257" i="37" s="1"/>
  <c r="J257" i="37" s="1"/>
  <c r="H233" i="37"/>
  <c r="H217" i="37"/>
  <c r="I217" i="37" s="1"/>
  <c r="H209" i="37"/>
  <c r="I209" i="37" s="1"/>
  <c r="H202" i="37"/>
  <c r="H194" i="37"/>
  <c r="I194" i="37" s="1"/>
  <c r="H178" i="37"/>
  <c r="I178" i="37" s="1"/>
  <c r="H170" i="37"/>
  <c r="H162" i="37"/>
  <c r="I162" i="37" s="1"/>
  <c r="H154" i="37"/>
  <c r="H138" i="37"/>
  <c r="I138" i="37" s="1"/>
  <c r="H130" i="37"/>
  <c r="I130" i="37" s="1"/>
  <c r="H122" i="37"/>
  <c r="H114" i="37"/>
  <c r="I114" i="37" s="1"/>
  <c r="H106" i="37"/>
  <c r="I106" i="37" s="1"/>
  <c r="H98" i="37"/>
  <c r="H90" i="37"/>
  <c r="I90" i="37" s="1"/>
  <c r="H82" i="37"/>
  <c r="H74" i="37"/>
  <c r="I74" i="37" s="1"/>
  <c r="J74" i="37" s="1"/>
  <c r="H66" i="37"/>
  <c r="I66" i="37" s="1"/>
  <c r="J66" i="37" s="1"/>
  <c r="H42" i="37"/>
  <c r="H26" i="37"/>
  <c r="I26" i="37" s="1"/>
  <c r="H18" i="37"/>
  <c r="I18" i="37" s="1"/>
  <c r="H10" i="37"/>
  <c r="H4" i="37"/>
  <c r="H311" i="37"/>
  <c r="H295" i="37"/>
  <c r="I295" i="37" s="1"/>
  <c r="H240" i="37"/>
  <c r="H232" i="37"/>
  <c r="I232" i="37" s="1"/>
  <c r="H216" i="37"/>
  <c r="I216" i="37" s="1"/>
  <c r="H201" i="37"/>
  <c r="H185" i="37"/>
  <c r="I185" i="37" s="1"/>
  <c r="H177" i="37"/>
  <c r="I177" i="37" s="1"/>
  <c r="J177" i="37" s="1"/>
  <c r="H169" i="37"/>
  <c r="I169" i="37" s="1"/>
  <c r="J169" i="37" s="1"/>
  <c r="H161" i="37"/>
  <c r="I161" i="37" s="1"/>
  <c r="J161" i="37" s="1"/>
  <c r="H153" i="37"/>
  <c r="H137" i="37"/>
  <c r="I137" i="37" s="1"/>
  <c r="H129" i="37"/>
  <c r="I129" i="37" s="1"/>
  <c r="H121" i="37"/>
  <c r="H113" i="37"/>
  <c r="I113" i="37" s="1"/>
  <c r="H105" i="37"/>
  <c r="H89" i="37"/>
  <c r="I89" i="37" s="1"/>
  <c r="J89" i="37" s="1"/>
  <c r="H81" i="37"/>
  <c r="I81" i="37" s="1"/>
  <c r="H73" i="37"/>
  <c r="H65" i="37"/>
  <c r="I65" i="37" s="1"/>
  <c r="H57" i="37"/>
  <c r="H49" i="37"/>
  <c r="H41" i="37"/>
  <c r="I41" i="37" s="1"/>
  <c r="H17" i="37"/>
  <c r="I17" i="37" s="1"/>
  <c r="H309" i="37"/>
  <c r="I309" i="37" s="1"/>
  <c r="J309" i="37" s="1"/>
  <c r="H293" i="37"/>
  <c r="H285" i="37"/>
  <c r="I285" i="37" s="1"/>
  <c r="H277" i="37"/>
  <c r="H269" i="37"/>
  <c r="H254" i="37"/>
  <c r="I254" i="37" s="1"/>
  <c r="J254" i="37" s="1"/>
  <c r="H246" i="37"/>
  <c r="I246" i="37" s="1"/>
  <c r="J246" i="37" s="1"/>
  <c r="H238" i="37"/>
  <c r="H214" i="37"/>
  <c r="H199" i="37"/>
  <c r="H191" i="37"/>
  <c r="H183" i="37"/>
  <c r="I183" i="37" s="1"/>
  <c r="H167" i="37"/>
  <c r="H151" i="37"/>
  <c r="I151" i="37" s="1"/>
  <c r="J151" i="37" s="1"/>
  <c r="H119" i="37"/>
  <c r="H103" i="37"/>
  <c r="H95" i="37"/>
  <c r="I95" i="37" s="1"/>
  <c r="H87" i="37"/>
  <c r="H71" i="37"/>
  <c r="I71" i="37" s="1"/>
  <c r="J71" i="37" s="1"/>
  <c r="H55" i="37"/>
  <c r="H47" i="37"/>
  <c r="H39" i="37"/>
  <c r="I39" i="37" s="1"/>
  <c r="H31" i="37"/>
  <c r="I31" i="37" s="1"/>
  <c r="H23" i="37"/>
  <c r="I23" i="37" s="1"/>
  <c r="J23" i="37" s="1"/>
  <c r="H316" i="37"/>
  <c r="I316" i="37" s="1"/>
  <c r="H308" i="37"/>
  <c r="H292" i="37"/>
  <c r="I292" i="37" s="1"/>
  <c r="H276" i="37"/>
  <c r="H268" i="37"/>
  <c r="H261" i="37"/>
  <c r="I261" i="37" s="1"/>
  <c r="J261" i="37" s="1"/>
  <c r="H253" i="37"/>
  <c r="H237" i="37"/>
  <c r="H229" i="37"/>
  <c r="H213" i="37"/>
  <c r="H206" i="37"/>
  <c r="H182" i="37"/>
  <c r="H166" i="37"/>
  <c r="H150" i="37"/>
  <c r="I150" i="37" s="1"/>
  <c r="J150" i="37" s="1"/>
  <c r="H142" i="37"/>
  <c r="H134" i="37"/>
  <c r="H110" i="37"/>
  <c r="I110" i="37" s="1"/>
  <c r="H102" i="37"/>
  <c r="H94" i="37"/>
  <c r="I94" i="37" s="1"/>
  <c r="H62" i="37"/>
  <c r="I62" i="37" s="1"/>
  <c r="J62" i="37" s="1"/>
  <c r="H54" i="37"/>
  <c r="I54" i="37" s="1"/>
  <c r="H46" i="37"/>
  <c r="I46" i="37" s="1"/>
  <c r="H38" i="37"/>
  <c r="I38" i="37" s="1"/>
  <c r="H22" i="37"/>
  <c r="H315" i="37"/>
  <c r="I315" i="37" s="1"/>
  <c r="H307" i="37"/>
  <c r="H291" i="37"/>
  <c r="H283" i="37"/>
  <c r="H267" i="37"/>
  <c r="H260" i="37"/>
  <c r="I260" i="37" s="1"/>
  <c r="H252" i="37"/>
  <c r="I252" i="37" s="1"/>
  <c r="J252" i="37" s="1"/>
  <c r="H236" i="37"/>
  <c r="H228" i="37"/>
  <c r="H220" i="37"/>
  <c r="H212" i="37"/>
  <c r="H205" i="37"/>
  <c r="I205" i="37" s="1"/>
  <c r="H189" i="37"/>
  <c r="H157" i="37"/>
  <c r="I157" i="37" s="1"/>
  <c r="J157" i="37" s="1"/>
  <c r="H133" i="37"/>
  <c r="H117" i="37"/>
  <c r="H85" i="37"/>
  <c r="H77" i="37"/>
  <c r="H61" i="37"/>
  <c r="H53" i="37"/>
  <c r="H29" i="37"/>
  <c r="H21" i="37"/>
  <c r="I21" i="37" s="1"/>
  <c r="H298" i="37"/>
  <c r="H290" i="37"/>
  <c r="I290" i="37" s="1"/>
  <c r="J290" i="37" s="1"/>
  <c r="H274" i="37"/>
  <c r="I274" i="37" s="1"/>
  <c r="H251" i="37"/>
  <c r="H227" i="37"/>
  <c r="H219" i="37"/>
  <c r="H211" i="37"/>
  <c r="I211" i="37" s="1"/>
  <c r="H204" i="37"/>
  <c r="I204" i="37" s="1"/>
  <c r="J204" i="37" s="1"/>
  <c r="H188" i="37"/>
  <c r="H180" i="37"/>
  <c r="I180" i="37" s="1"/>
  <c r="H172" i="37"/>
  <c r="H164" i="37"/>
  <c r="H148" i="37"/>
  <c r="H140" i="37"/>
  <c r="H132" i="37"/>
  <c r="H116" i="37"/>
  <c r="I116" i="37" s="1"/>
  <c r="H108" i="37"/>
  <c r="I108" i="37" s="1"/>
  <c r="J108" i="37" s="1"/>
  <c r="H100" i="37"/>
  <c r="H92" i="37"/>
  <c r="H84" i="37"/>
  <c r="H76" i="37"/>
  <c r="H60" i="37"/>
  <c r="I60" i="37" s="1"/>
  <c r="J60" i="37" s="1"/>
  <c r="H52" i="37"/>
  <c r="H44" i="37"/>
  <c r="I44" i="37" s="1"/>
  <c r="H36" i="37"/>
  <c r="I36" i="37" s="1"/>
  <c r="H28" i="37"/>
  <c r="I28" i="37" s="1"/>
  <c r="J28" i="37" s="1"/>
  <c r="H20" i="37"/>
  <c r="H245" i="39"/>
  <c r="I245" i="39" s="1"/>
  <c r="J245" i="39" s="1"/>
  <c r="H245" i="38"/>
  <c r="I245" i="38" s="1"/>
  <c r="J245" i="38" s="1"/>
  <c r="H17" i="39"/>
  <c r="I17" i="39" s="1"/>
  <c r="H269" i="39"/>
  <c r="I269" i="39" s="1"/>
  <c r="H166" i="39"/>
  <c r="I166" i="39" s="1"/>
  <c r="I15" i="37"/>
  <c r="J15" i="37" s="1"/>
  <c r="H316" i="39"/>
  <c r="I316" i="39" s="1"/>
  <c r="J316" i="39" s="1"/>
  <c r="H261" i="39"/>
  <c r="I261" i="39" s="1"/>
  <c r="J261" i="39" s="1"/>
  <c r="H229" i="39"/>
  <c r="I229" i="39" s="1"/>
  <c r="J229" i="39" s="1"/>
  <c r="H54" i="39"/>
  <c r="I54" i="39" s="1"/>
  <c r="J54" i="39" s="1"/>
  <c r="H284" i="39"/>
  <c r="I284" i="39" s="1"/>
  <c r="J284" i="39" s="1"/>
  <c r="H158" i="39"/>
  <c r="I158" i="39" s="1"/>
  <c r="H94" i="39"/>
  <c r="I94" i="39" s="1"/>
  <c r="J94" i="39" s="1"/>
  <c r="H56" i="39"/>
  <c r="I56" i="39" s="1"/>
  <c r="J56" i="39" s="1"/>
  <c r="I175" i="37"/>
  <c r="I127" i="37"/>
  <c r="H291" i="38"/>
  <c r="I291" i="38" s="1"/>
  <c r="H283" i="38"/>
  <c r="I283" i="38" s="1"/>
  <c r="J283" i="38" s="1"/>
  <c r="H267" i="38"/>
  <c r="I267" i="38" s="1"/>
  <c r="J267" i="38" s="1"/>
  <c r="H205" i="38"/>
  <c r="I205" i="38" s="1"/>
  <c r="J205" i="38" s="1"/>
  <c r="H165" i="38"/>
  <c r="I165" i="38" s="1"/>
  <c r="J165" i="38" s="1"/>
  <c r="H141" i="38"/>
  <c r="I141" i="38" s="1"/>
  <c r="J141" i="38" s="1"/>
  <c r="H101" i="38"/>
  <c r="I101" i="38" s="1"/>
  <c r="J101" i="38" s="1"/>
  <c r="H69" i="38"/>
  <c r="I69" i="38" s="1"/>
  <c r="J69" i="38" s="1"/>
  <c r="H106" i="38"/>
  <c r="I106" i="38" s="1"/>
  <c r="J106" i="38" s="1"/>
  <c r="H142" i="39"/>
  <c r="I142" i="39" s="1"/>
  <c r="J142" i="39" s="1"/>
  <c r="H110" i="39"/>
  <c r="I110" i="39" s="1"/>
  <c r="H78" i="39"/>
  <c r="I78" i="39" s="1"/>
  <c r="J78" i="39" s="1"/>
  <c r="H47" i="38"/>
  <c r="I47" i="38" s="1"/>
  <c r="I243" i="37"/>
  <c r="I196" i="37"/>
  <c r="I156" i="37"/>
  <c r="J156" i="37" s="1"/>
  <c r="I58" i="37"/>
  <c r="I258" i="37"/>
  <c r="J258" i="37" s="1"/>
  <c r="I256" i="37"/>
  <c r="J256" i="37" s="1"/>
  <c r="I301" i="37"/>
  <c r="J301" i="37" s="1"/>
  <c r="H120" i="39"/>
  <c r="I120" i="39" s="1"/>
  <c r="I239" i="37"/>
  <c r="H161" i="38"/>
  <c r="I161" i="38" s="1"/>
  <c r="J161" i="38" s="1"/>
  <c r="H105" i="38"/>
  <c r="I105" i="38" s="1"/>
  <c r="J105" i="38" s="1"/>
  <c r="H89" i="38"/>
  <c r="I89" i="38" s="1"/>
  <c r="J89" i="38" s="1"/>
  <c r="H81" i="38"/>
  <c r="I81" i="38" s="1"/>
  <c r="J81" i="38" s="1"/>
  <c r="H223" i="39"/>
  <c r="I223" i="39" s="1"/>
  <c r="J223" i="39" s="1"/>
  <c r="H215" i="39"/>
  <c r="I215" i="39" s="1"/>
  <c r="J215" i="39" s="1"/>
  <c r="H128" i="39"/>
  <c r="I128" i="39" s="1"/>
  <c r="H96" i="39"/>
  <c r="I96" i="39" s="1"/>
  <c r="J96" i="39" s="1"/>
  <c r="H88" i="39"/>
  <c r="I88" i="39" s="1"/>
  <c r="H48" i="39"/>
  <c r="I48" i="39" s="1"/>
  <c r="J48" i="39" s="1"/>
  <c r="H32" i="39"/>
  <c r="I32" i="39" s="1"/>
  <c r="J32" i="39" s="1"/>
  <c r="H16" i="39"/>
  <c r="I16" i="39" s="1"/>
  <c r="J16" i="39" s="1"/>
  <c r="H268" i="39"/>
  <c r="I268" i="39" s="1"/>
  <c r="J268" i="39" s="1"/>
  <c r="H226" i="39"/>
  <c r="I226" i="39" s="1"/>
  <c r="J226" i="39" s="1"/>
  <c r="H195" i="39"/>
  <c r="I195" i="39" s="1"/>
  <c r="J195" i="39" s="1"/>
  <c r="H49" i="39"/>
  <c r="I49" i="39" s="1"/>
  <c r="J49" i="39" s="1"/>
  <c r="H299" i="39"/>
  <c r="I299" i="39" s="1"/>
  <c r="H291" i="39"/>
  <c r="I291" i="39" s="1"/>
  <c r="H236" i="39"/>
  <c r="I236" i="39" s="1"/>
  <c r="J236" i="39" s="1"/>
  <c r="H228" i="39"/>
  <c r="I228" i="39" s="1"/>
  <c r="H205" i="39"/>
  <c r="I205" i="39" s="1"/>
  <c r="H197" i="39"/>
  <c r="I197" i="39" s="1"/>
  <c r="H165" i="39"/>
  <c r="I165" i="39" s="1"/>
  <c r="J165" i="39" s="1"/>
  <c r="H157" i="39"/>
  <c r="I157" i="39" s="1"/>
  <c r="J157" i="39" s="1"/>
  <c r="H149" i="39"/>
  <c r="I149" i="39" s="1"/>
  <c r="H141" i="39"/>
  <c r="I141" i="39" s="1"/>
  <c r="J141" i="39" s="1"/>
  <c r="H117" i="39"/>
  <c r="I117" i="39" s="1"/>
  <c r="H85" i="39"/>
  <c r="I85" i="39" s="1"/>
  <c r="J85" i="39" s="1"/>
  <c r="H77" i="39"/>
  <c r="I77" i="39" s="1"/>
  <c r="J77" i="39" s="1"/>
  <c r="H69" i="39"/>
  <c r="I69" i="39" s="1"/>
  <c r="J69" i="39" s="1"/>
  <c r="H61" i="39"/>
  <c r="I61" i="39" s="1"/>
  <c r="J61" i="39" s="1"/>
  <c r="H53" i="39"/>
  <c r="I53" i="39" s="1"/>
  <c r="J53" i="39" s="1"/>
  <c r="H45" i="39"/>
  <c r="I45" i="39" s="1"/>
  <c r="J45" i="39" s="1"/>
  <c r="H21" i="39"/>
  <c r="I21" i="39" s="1"/>
  <c r="J21" i="39" s="1"/>
  <c r="H232" i="39"/>
  <c r="I232" i="39" s="1"/>
  <c r="J232" i="39" s="1"/>
  <c r="H201" i="39"/>
  <c r="I201" i="39" s="1"/>
  <c r="H105" i="39"/>
  <c r="I105" i="39" s="1"/>
  <c r="J105" i="39" s="1"/>
  <c r="H73" i="39"/>
  <c r="I73" i="39" s="1"/>
  <c r="J73" i="39" s="1"/>
  <c r="H46" i="39"/>
  <c r="I46" i="39" s="1"/>
  <c r="H308" i="39"/>
  <c r="I308" i="39" s="1"/>
  <c r="J308" i="39" s="1"/>
  <c r="H126" i="39"/>
  <c r="I126" i="39" s="1"/>
  <c r="J126" i="39" s="1"/>
  <c r="H208" i="39"/>
  <c r="I208" i="39" s="1"/>
  <c r="J208" i="39" s="1"/>
  <c r="H81" i="39"/>
  <c r="I81" i="39" s="1"/>
  <c r="J81" i="39" s="1"/>
  <c r="H62" i="39"/>
  <c r="I62" i="39" s="1"/>
  <c r="J62" i="39" s="1"/>
  <c r="H134" i="39"/>
  <c r="I134" i="39" s="1"/>
  <c r="J134" i="39" s="1"/>
  <c r="H102" i="39"/>
  <c r="I102" i="39" s="1"/>
  <c r="H70" i="39"/>
  <c r="I70" i="39" s="1"/>
  <c r="J70" i="39" s="1"/>
  <c r="H33" i="39"/>
  <c r="I33" i="39" s="1"/>
  <c r="H207" i="39"/>
  <c r="I207" i="39" s="1"/>
  <c r="J207" i="39" s="1"/>
  <c r="H121" i="39"/>
  <c r="I121" i="39" s="1"/>
  <c r="J121" i="39" s="1"/>
  <c r="H89" i="39"/>
  <c r="I89" i="39" s="1"/>
  <c r="J89" i="39" s="1"/>
  <c r="H300" i="39"/>
  <c r="I300" i="39" s="1"/>
  <c r="J300" i="39" s="1"/>
  <c r="H97" i="39"/>
  <c r="I97" i="39" s="1"/>
  <c r="H57" i="39"/>
  <c r="I57" i="39" s="1"/>
  <c r="J57" i="39" s="1"/>
  <c r="H30" i="39"/>
  <c r="I30" i="39" s="1"/>
  <c r="J30" i="39" s="1"/>
  <c r="H286" i="39"/>
  <c r="I286" i="39" s="1"/>
  <c r="J286" i="39" s="1"/>
  <c r="H234" i="39"/>
  <c r="I234" i="39" s="1"/>
  <c r="J234" i="39" s="1"/>
  <c r="H203" i="39"/>
  <c r="I203" i="39" s="1"/>
  <c r="J203" i="39" s="1"/>
  <c r="H118" i="39"/>
  <c r="I118" i="39" s="1"/>
  <c r="H65" i="39"/>
  <c r="I65" i="39" s="1"/>
  <c r="J65" i="39" s="1"/>
  <c r="H38" i="39"/>
  <c r="I38" i="39" s="1"/>
  <c r="H313" i="39"/>
  <c r="I313" i="39" s="1"/>
  <c r="J313" i="39" s="1"/>
  <c r="H248" i="39"/>
  <c r="I248" i="39" s="1"/>
  <c r="J248" i="39" s="1"/>
  <c r="H216" i="39"/>
  <c r="I216" i="39" s="1"/>
  <c r="J216" i="39" s="1"/>
  <c r="H153" i="39"/>
  <c r="I153" i="39" s="1"/>
  <c r="J153" i="39" s="1"/>
  <c r="H137" i="39"/>
  <c r="I137" i="39" s="1"/>
  <c r="J137" i="39" s="1"/>
  <c r="H129" i="39"/>
  <c r="I129" i="39" s="1"/>
  <c r="J129" i="39" s="1"/>
  <c r="H293" i="39"/>
  <c r="I293" i="39" s="1"/>
  <c r="J293" i="39" s="1"/>
  <c r="H199" i="39"/>
  <c r="I199" i="39" s="1"/>
  <c r="J199" i="39" s="1"/>
  <c r="H183" i="39"/>
  <c r="I183" i="39" s="1"/>
  <c r="J183" i="39" s="1"/>
  <c r="H111" i="39"/>
  <c r="I111" i="39" s="1"/>
  <c r="H103" i="39"/>
  <c r="I103" i="39" s="1"/>
  <c r="H13" i="36"/>
  <c r="I13" i="36" s="1"/>
  <c r="J13" i="36" s="1"/>
  <c r="H262" i="39"/>
  <c r="I262" i="39" s="1"/>
  <c r="H309" i="39"/>
  <c r="I309" i="39" s="1"/>
  <c r="J309" i="39" s="1"/>
  <c r="H301" i="39"/>
  <c r="I301" i="39" s="1"/>
  <c r="J301" i="39" s="1"/>
  <c r="H238" i="39"/>
  <c r="I238" i="39" s="1"/>
  <c r="J238" i="39" s="1"/>
  <c r="H222" i="39"/>
  <c r="I222" i="39" s="1"/>
  <c r="J222" i="39" s="1"/>
  <c r="H167" i="39"/>
  <c r="I167" i="39" s="1"/>
  <c r="H159" i="39"/>
  <c r="I159" i="39" s="1"/>
  <c r="H119" i="39"/>
  <c r="I119" i="39" s="1"/>
  <c r="H95" i="39"/>
  <c r="I95" i="39" s="1"/>
  <c r="H79" i="39"/>
  <c r="I79" i="39" s="1"/>
  <c r="J79" i="39" s="1"/>
  <c r="H7" i="39"/>
  <c r="I7" i="39" s="1"/>
  <c r="J7" i="39" s="1"/>
  <c r="H138" i="38"/>
  <c r="I138" i="38" s="1"/>
  <c r="J138" i="38" s="1"/>
  <c r="H183" i="38"/>
  <c r="I183" i="38" s="1"/>
  <c r="J183" i="38" s="1"/>
  <c r="H304" i="38"/>
  <c r="I304" i="38" s="1"/>
  <c r="H296" i="38"/>
  <c r="I296" i="38" s="1"/>
  <c r="H79" i="38"/>
  <c r="I79" i="38" s="1"/>
  <c r="J79" i="38" s="1"/>
  <c r="H178" i="38"/>
  <c r="I178" i="38" s="1"/>
  <c r="J178" i="38" s="1"/>
  <c r="H312" i="38"/>
  <c r="I312" i="38" s="1"/>
  <c r="H177" i="39"/>
  <c r="I177" i="39" s="1"/>
  <c r="J177" i="39" s="1"/>
  <c r="H264" i="38"/>
  <c r="I264" i="38" s="1"/>
  <c r="J264" i="38" s="1"/>
  <c r="H114" i="38"/>
  <c r="I114" i="38" s="1"/>
  <c r="J114" i="38" s="1"/>
  <c r="H202" i="38"/>
  <c r="I202" i="38" s="1"/>
  <c r="J202" i="38" s="1"/>
  <c r="H240" i="39"/>
  <c r="I240" i="39" s="1"/>
  <c r="J240" i="39" s="1"/>
  <c r="H249" i="38"/>
  <c r="I249" i="38" s="1"/>
  <c r="H301" i="38"/>
  <c r="I301" i="38" s="1"/>
  <c r="J301" i="38" s="1"/>
  <c r="H114" i="39"/>
  <c r="I114" i="39" s="1"/>
  <c r="J114" i="39" s="1"/>
  <c r="H255" i="38"/>
  <c r="I255" i="38" s="1"/>
  <c r="J255" i="38" s="1"/>
  <c r="H309" i="38"/>
  <c r="I309" i="38" s="1"/>
  <c r="J309" i="38" s="1"/>
  <c r="H293" i="38"/>
  <c r="I293" i="38" s="1"/>
  <c r="J293" i="38" s="1"/>
  <c r="H214" i="38"/>
  <c r="I214" i="38" s="1"/>
  <c r="H207" i="38"/>
  <c r="I207" i="38" s="1"/>
  <c r="H191" i="38"/>
  <c r="I191" i="38" s="1"/>
  <c r="J191" i="38" s="1"/>
  <c r="H159" i="38"/>
  <c r="I159" i="38" s="1"/>
  <c r="H103" i="38"/>
  <c r="I103" i="38" s="1"/>
  <c r="H87" i="38"/>
  <c r="I87" i="38" s="1"/>
  <c r="J87" i="38" s="1"/>
  <c r="H71" i="38"/>
  <c r="I71" i="38" s="1"/>
  <c r="H163" i="38"/>
  <c r="I163" i="38" s="1"/>
  <c r="J163" i="38" s="1"/>
  <c r="H210" i="38"/>
  <c r="I210" i="38" s="1"/>
  <c r="H182" i="38"/>
  <c r="I182" i="38" s="1"/>
  <c r="J182" i="38" s="1"/>
  <c r="H67" i="38"/>
  <c r="I67" i="38" s="1"/>
  <c r="J67" i="38" s="1"/>
  <c r="H297" i="38"/>
  <c r="I297" i="38" s="1"/>
  <c r="J297" i="38" s="1"/>
  <c r="H109" i="36"/>
  <c r="I109" i="36" s="1"/>
  <c r="J109" i="36" s="1"/>
  <c r="H299" i="36"/>
  <c r="I299" i="36" s="1"/>
  <c r="J299" i="36" s="1"/>
  <c r="H99" i="38"/>
  <c r="I99" i="38" s="1"/>
  <c r="H195" i="38"/>
  <c r="I195" i="38" s="1"/>
  <c r="J195" i="38" s="1"/>
  <c r="H273" i="38"/>
  <c r="I273" i="38" s="1"/>
  <c r="H292" i="38"/>
  <c r="I292" i="38" s="1"/>
  <c r="H268" i="38"/>
  <c r="I268" i="38" s="1"/>
  <c r="J268" i="38" s="1"/>
  <c r="H261" i="38"/>
  <c r="I261" i="38" s="1"/>
  <c r="J261" i="38" s="1"/>
  <c r="H78" i="38"/>
  <c r="I78" i="38" s="1"/>
  <c r="J78" i="38" s="1"/>
  <c r="H134" i="38"/>
  <c r="I134" i="38" s="1"/>
  <c r="J134" i="38" s="1"/>
  <c r="H181" i="36"/>
  <c r="I181" i="36" s="1"/>
  <c r="J181" i="36" s="1"/>
  <c r="H27" i="38"/>
  <c r="I27" i="38" s="1"/>
  <c r="H70" i="38"/>
  <c r="I70" i="38" s="1"/>
  <c r="H313" i="38"/>
  <c r="I313" i="38" s="1"/>
  <c r="J313" i="38" s="1"/>
  <c r="H275" i="39"/>
  <c r="I275" i="39" s="1"/>
  <c r="J275" i="39" s="1"/>
  <c r="H197" i="36"/>
  <c r="I197" i="36" s="1"/>
  <c r="J197" i="36" s="1"/>
  <c r="H236" i="36"/>
  <c r="I236" i="36" s="1"/>
  <c r="J236" i="36" s="1"/>
  <c r="H315" i="36"/>
  <c r="I315" i="36" s="1"/>
  <c r="J315" i="36" s="1"/>
  <c r="H29" i="36"/>
  <c r="I29" i="36" s="1"/>
  <c r="H102" i="38"/>
  <c r="I102" i="38" s="1"/>
  <c r="H110" i="38"/>
  <c r="I110" i="38" s="1"/>
  <c r="J110" i="38" s="1"/>
  <c r="H187" i="38"/>
  <c r="I187" i="38" s="1"/>
  <c r="J187" i="38" s="1"/>
  <c r="H5" i="36"/>
  <c r="I5" i="36" s="1"/>
  <c r="J5" i="36" s="1"/>
  <c r="H141" i="36"/>
  <c r="I141" i="36" s="1"/>
  <c r="H228" i="36"/>
  <c r="I228" i="36" s="1"/>
  <c r="J228" i="36" s="1"/>
  <c r="H101" i="39"/>
  <c r="I101" i="39" s="1"/>
  <c r="H190" i="38"/>
  <c r="I190" i="38" s="1"/>
  <c r="J190" i="38" s="1"/>
  <c r="H26" i="39"/>
  <c r="I26" i="39" s="1"/>
  <c r="H107" i="38"/>
  <c r="I107" i="38" s="1"/>
  <c r="H237" i="38"/>
  <c r="I237" i="38" s="1"/>
  <c r="J237" i="38" s="1"/>
  <c r="H21" i="36"/>
  <c r="I21" i="36" s="1"/>
  <c r="J21" i="36" s="1"/>
  <c r="H157" i="36"/>
  <c r="I157" i="36" s="1"/>
  <c r="H94" i="38"/>
  <c r="I94" i="38" s="1"/>
  <c r="J94" i="38" s="1"/>
  <c r="H305" i="38"/>
  <c r="I305" i="38" s="1"/>
  <c r="J305" i="38" s="1"/>
  <c r="H252" i="39"/>
  <c r="I252" i="39" s="1"/>
  <c r="J252" i="39" s="1"/>
  <c r="H189" i="36"/>
  <c r="I189" i="36" s="1"/>
  <c r="J189" i="36" s="1"/>
  <c r="H205" i="36"/>
  <c r="I205" i="36" s="1"/>
  <c r="J205" i="36" s="1"/>
  <c r="H267" i="36"/>
  <c r="I267" i="36" s="1"/>
  <c r="H43" i="38"/>
  <c r="I43" i="38" s="1"/>
  <c r="H75" i="38"/>
  <c r="I75" i="38" s="1"/>
  <c r="J75" i="38" s="1"/>
  <c r="H86" i="38"/>
  <c r="I86" i="38" s="1"/>
  <c r="J86" i="38" s="1"/>
  <c r="H171" i="38"/>
  <c r="I171" i="38" s="1"/>
  <c r="J171" i="38" s="1"/>
  <c r="H281" i="38"/>
  <c r="I281" i="38" s="1"/>
  <c r="J281" i="38" s="1"/>
  <c r="H181" i="39"/>
  <c r="I181" i="39" s="1"/>
  <c r="J181" i="39" s="1"/>
  <c r="H291" i="36"/>
  <c r="I291" i="36" s="1"/>
  <c r="H73" i="38"/>
  <c r="I73" i="38" s="1"/>
  <c r="J73" i="38" s="1"/>
  <c r="H93" i="38"/>
  <c r="I93" i="38" s="1"/>
  <c r="J93" i="38" s="1"/>
  <c r="H129" i="38"/>
  <c r="I129" i="38" s="1"/>
  <c r="J129" i="38" s="1"/>
  <c r="H169" i="38"/>
  <c r="I169" i="38" s="1"/>
  <c r="J169" i="38" s="1"/>
  <c r="H215" i="38"/>
  <c r="I215" i="38" s="1"/>
  <c r="J215" i="38" s="1"/>
  <c r="H224" i="38"/>
  <c r="I224" i="38" s="1"/>
  <c r="J224" i="38" s="1"/>
  <c r="H232" i="38"/>
  <c r="I232" i="38" s="1"/>
  <c r="J232" i="38" s="1"/>
  <c r="H275" i="38"/>
  <c r="I275" i="38" s="1"/>
  <c r="J275" i="38" s="1"/>
  <c r="H247" i="38"/>
  <c r="I247" i="38" s="1"/>
  <c r="J247" i="38" s="1"/>
  <c r="H200" i="38"/>
  <c r="I200" i="38" s="1"/>
  <c r="J200" i="38" s="1"/>
  <c r="H160" i="38"/>
  <c r="I160" i="38" s="1"/>
  <c r="J160" i="38" s="1"/>
  <c r="H152" i="38"/>
  <c r="I152" i="38" s="1"/>
  <c r="J152" i="38" s="1"/>
  <c r="H144" i="38"/>
  <c r="I144" i="38" s="1"/>
  <c r="H136" i="38"/>
  <c r="I136" i="38" s="1"/>
  <c r="H112" i="38"/>
  <c r="I112" i="38" s="1"/>
  <c r="J112" i="38" s="1"/>
  <c r="H64" i="38"/>
  <c r="I64" i="38" s="1"/>
  <c r="J64" i="38" s="1"/>
  <c r="H56" i="38"/>
  <c r="I56" i="38" s="1"/>
  <c r="J56" i="38" s="1"/>
  <c r="H48" i="38"/>
  <c r="I48" i="38" s="1"/>
  <c r="J48" i="38" s="1"/>
  <c r="H40" i="38"/>
  <c r="I40" i="38" s="1"/>
  <c r="J40" i="38" s="1"/>
  <c r="H32" i="38"/>
  <c r="I32" i="38" s="1"/>
  <c r="J32" i="38" s="1"/>
  <c r="H8" i="38"/>
  <c r="I8" i="38" s="1"/>
  <c r="J8" i="38" s="1"/>
  <c r="H32" i="36"/>
  <c r="I32" i="36" s="1"/>
  <c r="H89" i="36"/>
  <c r="I89" i="36" s="1"/>
  <c r="J89" i="36" s="1"/>
  <c r="H104" i="36"/>
  <c r="I104" i="36" s="1"/>
  <c r="H85" i="38"/>
  <c r="I85" i="38" s="1"/>
  <c r="J85" i="38" s="1"/>
  <c r="H104" i="38"/>
  <c r="I104" i="38" s="1"/>
  <c r="J104" i="38" s="1"/>
  <c r="H189" i="38"/>
  <c r="I189" i="38" s="1"/>
  <c r="J189" i="38" s="1"/>
  <c r="H208" i="38"/>
  <c r="I208" i="38" s="1"/>
  <c r="J208" i="38" s="1"/>
  <c r="H216" i="38"/>
  <c r="I216" i="38" s="1"/>
  <c r="J216" i="38" s="1"/>
  <c r="H240" i="38"/>
  <c r="I240" i="38" s="1"/>
  <c r="J240" i="38" s="1"/>
  <c r="H185" i="36"/>
  <c r="I185" i="36" s="1"/>
  <c r="J185" i="36" s="1"/>
  <c r="H169" i="36"/>
  <c r="I169" i="36" s="1"/>
  <c r="J169" i="36" s="1"/>
  <c r="H145" i="36"/>
  <c r="I145" i="36" s="1"/>
  <c r="H65" i="36"/>
  <c r="I65" i="36" s="1"/>
  <c r="H33" i="36"/>
  <c r="I33" i="36" s="1"/>
  <c r="H9" i="36"/>
  <c r="I9" i="36" s="1"/>
  <c r="J9" i="36" s="1"/>
  <c r="H287" i="36"/>
  <c r="I287" i="36" s="1"/>
  <c r="J287" i="36" s="1"/>
  <c r="H240" i="36"/>
  <c r="I240" i="36" s="1"/>
  <c r="J240" i="36" s="1"/>
  <c r="H201" i="36"/>
  <c r="I201" i="36" s="1"/>
  <c r="J201" i="36" s="1"/>
  <c r="H177" i="36"/>
  <c r="I177" i="36" s="1"/>
  <c r="J177" i="36" s="1"/>
  <c r="H161" i="36"/>
  <c r="I161" i="36" s="1"/>
  <c r="H137" i="36"/>
  <c r="I137" i="36" s="1"/>
  <c r="H73" i="36"/>
  <c r="I73" i="36" s="1"/>
  <c r="J73" i="36" s="1"/>
  <c r="H25" i="36"/>
  <c r="I25" i="36" s="1"/>
  <c r="J25" i="36" s="1"/>
  <c r="H17" i="36"/>
  <c r="I17" i="36" s="1"/>
  <c r="J17" i="36" s="1"/>
  <c r="H64" i="36"/>
  <c r="I64" i="36" s="1"/>
  <c r="J64" i="36" s="1"/>
  <c r="H106" i="36"/>
  <c r="I106" i="36" s="1"/>
  <c r="J106" i="36" s="1"/>
  <c r="H120" i="36"/>
  <c r="I120" i="36" s="1"/>
  <c r="H216" i="36"/>
  <c r="I216" i="36" s="1"/>
  <c r="J216" i="36" s="1"/>
  <c r="H16" i="38"/>
  <c r="I16" i="38" s="1"/>
  <c r="J16" i="38" s="1"/>
  <c r="H24" i="38"/>
  <c r="I24" i="38" s="1"/>
  <c r="J24" i="38" s="1"/>
  <c r="H97" i="38"/>
  <c r="I97" i="38" s="1"/>
  <c r="J97" i="38" s="1"/>
  <c r="H214" i="39"/>
  <c r="I214" i="39" s="1"/>
  <c r="J214" i="39" s="1"/>
  <c r="H231" i="39"/>
  <c r="I231" i="39" s="1"/>
  <c r="H277" i="39"/>
  <c r="I277" i="39" s="1"/>
  <c r="J277" i="39" s="1"/>
  <c r="H130" i="36"/>
  <c r="I130" i="36" s="1"/>
  <c r="H193" i="36"/>
  <c r="I193" i="36" s="1"/>
  <c r="J193" i="36" s="1"/>
  <c r="H26" i="36"/>
  <c r="I26" i="36" s="1"/>
  <c r="J26" i="36" s="1"/>
  <c r="H82" i="36"/>
  <c r="I82" i="36" s="1"/>
  <c r="H117" i="38"/>
  <c r="I117" i="38" s="1"/>
  <c r="J117" i="38" s="1"/>
  <c r="H153" i="38"/>
  <c r="I153" i="38" s="1"/>
  <c r="J153" i="38" s="1"/>
  <c r="H220" i="38"/>
  <c r="I220" i="38" s="1"/>
  <c r="J220" i="38" s="1"/>
  <c r="H228" i="38"/>
  <c r="I228" i="38" s="1"/>
  <c r="J228" i="38" s="1"/>
  <c r="H236" i="38"/>
  <c r="I236" i="38" s="1"/>
  <c r="J236" i="38" s="1"/>
  <c r="H252" i="38"/>
  <c r="I252" i="38" s="1"/>
  <c r="H294" i="39"/>
  <c r="I294" i="39" s="1"/>
  <c r="H112" i="36"/>
  <c r="I112" i="36" s="1"/>
  <c r="H154" i="36"/>
  <c r="I154" i="36" s="1"/>
  <c r="J154" i="36" s="1"/>
  <c r="H168" i="36"/>
  <c r="I168" i="36" s="1"/>
  <c r="J168" i="36" s="1"/>
  <c r="H4" i="38"/>
  <c r="H121" i="38"/>
  <c r="I121" i="38" s="1"/>
  <c r="J121" i="38" s="1"/>
  <c r="H137" i="38"/>
  <c r="I137" i="38" s="1"/>
  <c r="J137" i="38" s="1"/>
  <c r="H223" i="38"/>
  <c r="I223" i="38" s="1"/>
  <c r="H134" i="36"/>
  <c r="I134" i="36" s="1"/>
  <c r="H174" i="36"/>
  <c r="I174" i="36" s="1"/>
  <c r="J174" i="36" s="1"/>
  <c r="H210" i="36"/>
  <c r="I210" i="36" s="1"/>
  <c r="J210" i="36" s="1"/>
  <c r="H118" i="36"/>
  <c r="I118" i="36" s="1"/>
  <c r="J118" i="36" s="1"/>
  <c r="H102" i="36"/>
  <c r="I102" i="36" s="1"/>
  <c r="H300" i="36"/>
  <c r="I300" i="36" s="1"/>
  <c r="J300" i="36" s="1"/>
  <c r="H296" i="39"/>
  <c r="I296" i="39" s="1"/>
  <c r="J296" i="39" s="1"/>
  <c r="H98" i="39"/>
  <c r="I98" i="39" s="1"/>
  <c r="J98" i="39" s="1"/>
  <c r="H34" i="39"/>
  <c r="I34" i="39" s="1"/>
  <c r="J34" i="39" s="1"/>
  <c r="H245" i="36"/>
  <c r="I245" i="36" s="1"/>
  <c r="J245" i="36" s="1"/>
  <c r="H22" i="36"/>
  <c r="I22" i="36" s="1"/>
  <c r="J22" i="36" s="1"/>
  <c r="H14" i="36"/>
  <c r="I14" i="36" s="1"/>
  <c r="J14" i="36" s="1"/>
  <c r="H94" i="36"/>
  <c r="I94" i="36" s="1"/>
  <c r="H229" i="36"/>
  <c r="I229" i="36" s="1"/>
  <c r="J229" i="36" s="1"/>
  <c r="H237" i="36"/>
  <c r="I237" i="36" s="1"/>
  <c r="J237" i="36" s="1"/>
  <c r="H86" i="36"/>
  <c r="I86" i="36" s="1"/>
  <c r="H182" i="36"/>
  <c r="I182" i="36" s="1"/>
  <c r="J182" i="36" s="1"/>
  <c r="H284" i="36"/>
  <c r="I284" i="36" s="1"/>
  <c r="H311" i="36"/>
  <c r="I311" i="36" s="1"/>
  <c r="J311" i="36" s="1"/>
  <c r="H302" i="36"/>
  <c r="I302" i="36" s="1"/>
  <c r="J302" i="36" s="1"/>
  <c r="H278" i="36"/>
  <c r="I278" i="36" s="1"/>
  <c r="J278" i="36" s="1"/>
  <c r="H294" i="36"/>
  <c r="I294" i="36" s="1"/>
  <c r="J294" i="36" s="1"/>
  <c r="H196" i="39"/>
  <c r="I196" i="39" s="1"/>
  <c r="J196" i="39" s="1"/>
  <c r="H310" i="36"/>
  <c r="I310" i="36" s="1"/>
  <c r="J310" i="36" s="1"/>
  <c r="H297" i="39"/>
  <c r="I297" i="39" s="1"/>
  <c r="J297" i="39" s="1"/>
  <c r="H289" i="39"/>
  <c r="I289" i="39" s="1"/>
  <c r="H281" i="39"/>
  <c r="I281" i="39" s="1"/>
  <c r="J281" i="39" s="1"/>
  <c r="H218" i="39"/>
  <c r="I218" i="39" s="1"/>
  <c r="J218" i="39" s="1"/>
  <c r="H210" i="39"/>
  <c r="I210" i="39" s="1"/>
  <c r="J210" i="39" s="1"/>
  <c r="H187" i="39"/>
  <c r="I187" i="39" s="1"/>
  <c r="J187" i="39" s="1"/>
  <c r="H139" i="39"/>
  <c r="I139" i="39" s="1"/>
  <c r="H131" i="39"/>
  <c r="I131" i="39" s="1"/>
  <c r="H83" i="39"/>
  <c r="I83" i="39" s="1"/>
  <c r="H19" i="39"/>
  <c r="I19" i="39" s="1"/>
  <c r="J19" i="39" s="1"/>
  <c r="H290" i="39"/>
  <c r="I290" i="39" s="1"/>
  <c r="H243" i="39"/>
  <c r="I243" i="39" s="1"/>
  <c r="J243" i="39" s="1"/>
  <c r="H180" i="39"/>
  <c r="I180" i="39" s="1"/>
  <c r="H164" i="39"/>
  <c r="I164" i="39" s="1"/>
  <c r="H148" i="39"/>
  <c r="I148" i="39" s="1"/>
  <c r="H60" i="39"/>
  <c r="I60" i="39" s="1"/>
  <c r="J60" i="39" s="1"/>
  <c r="H155" i="39"/>
  <c r="I155" i="39" s="1"/>
  <c r="J155" i="39" s="1"/>
  <c r="H163" i="39"/>
  <c r="I163" i="39" s="1"/>
  <c r="J163" i="39" s="1"/>
  <c r="H171" i="39"/>
  <c r="I171" i="39" s="1"/>
  <c r="H305" i="39"/>
  <c r="I305" i="39" s="1"/>
  <c r="J305" i="39" s="1"/>
  <c r="H312" i="39"/>
  <c r="I312" i="39" s="1"/>
  <c r="J312" i="39" s="1"/>
  <c r="H107" i="39"/>
  <c r="I107" i="39" s="1"/>
  <c r="H147" i="39"/>
  <c r="I147" i="39" s="1"/>
  <c r="J147" i="39" s="1"/>
  <c r="H123" i="39"/>
  <c r="I123" i="39" s="1"/>
  <c r="H204" i="39"/>
  <c r="I204" i="39" s="1"/>
  <c r="J204" i="39" s="1"/>
  <c r="H235" i="39"/>
  <c r="I235" i="39" s="1"/>
  <c r="H66" i="39"/>
  <c r="I66" i="39" s="1"/>
  <c r="J66" i="39" s="1"/>
  <c r="H50" i="39"/>
  <c r="I50" i="39" s="1"/>
  <c r="J50" i="39" s="1"/>
  <c r="H92" i="39"/>
  <c r="I92" i="39" s="1"/>
  <c r="H42" i="39"/>
  <c r="I42" i="39" s="1"/>
  <c r="J42" i="39" s="1"/>
  <c r="H172" i="39"/>
  <c r="I172" i="39" s="1"/>
  <c r="H280" i="39"/>
  <c r="I280" i="39" s="1"/>
  <c r="H251" i="38"/>
  <c r="I251" i="38" s="1"/>
  <c r="J251" i="38" s="1"/>
  <c r="H219" i="38"/>
  <c r="I219" i="38" s="1"/>
  <c r="J219" i="38" s="1"/>
  <c r="H36" i="38"/>
  <c r="I36" i="38" s="1"/>
  <c r="J36" i="38" s="1"/>
  <c r="H52" i="38"/>
  <c r="I52" i="38" s="1"/>
  <c r="J52" i="38" s="1"/>
  <c r="H28" i="38"/>
  <c r="I28" i="38" s="1"/>
  <c r="J28" i="38" s="1"/>
  <c r="H274" i="38"/>
  <c r="I274" i="38" s="1"/>
  <c r="J274" i="38" s="1"/>
  <c r="H75" i="36"/>
  <c r="I75" i="36" s="1"/>
  <c r="J75" i="36" s="1"/>
  <c r="H280" i="36"/>
  <c r="I280" i="36" s="1"/>
  <c r="H279" i="36"/>
  <c r="I279" i="36" s="1"/>
  <c r="H198" i="36"/>
  <c r="I198" i="36" s="1"/>
  <c r="J198" i="36" s="1"/>
  <c r="H303" i="36"/>
  <c r="I303" i="36" s="1"/>
  <c r="J303" i="36" s="1"/>
  <c r="H285" i="36"/>
  <c r="I285" i="36" s="1"/>
  <c r="H246" i="36"/>
  <c r="I246" i="36" s="1"/>
  <c r="J246" i="36" s="1"/>
  <c r="H151" i="36"/>
  <c r="I151" i="36" s="1"/>
  <c r="H111" i="36"/>
  <c r="I111" i="36" s="1"/>
  <c r="J111" i="36" s="1"/>
  <c r="H79" i="36"/>
  <c r="I79" i="36" s="1"/>
  <c r="J79" i="36" s="1"/>
  <c r="H71" i="36"/>
  <c r="I71" i="36" s="1"/>
  <c r="J71" i="36" s="1"/>
  <c r="H7" i="36"/>
  <c r="I7" i="36" s="1"/>
  <c r="J7" i="36" s="1"/>
  <c r="H221" i="36"/>
  <c r="I221" i="36" s="1"/>
  <c r="J221" i="36" s="1"/>
  <c r="H136" i="36"/>
  <c r="I136" i="36" s="1"/>
  <c r="J136" i="36" s="1"/>
  <c r="H314" i="36"/>
  <c r="I314" i="36" s="1"/>
  <c r="J314" i="36" s="1"/>
  <c r="H124" i="36"/>
  <c r="I124" i="36" s="1"/>
  <c r="H167" i="36"/>
  <c r="I167" i="36" s="1"/>
  <c r="H230" i="36"/>
  <c r="I230" i="36" s="1"/>
  <c r="J230" i="36" s="1"/>
  <c r="H47" i="36"/>
  <c r="I47" i="36" s="1"/>
  <c r="J47" i="36" s="1"/>
  <c r="H238" i="36"/>
  <c r="I238" i="36" s="1"/>
  <c r="J238" i="36" s="1"/>
  <c r="H262" i="36"/>
  <c r="I262" i="36" s="1"/>
  <c r="J262" i="36" s="1"/>
  <c r="H269" i="36"/>
  <c r="I269" i="36" s="1"/>
  <c r="J269" i="36" s="1"/>
  <c r="H159" i="36"/>
  <c r="I159" i="36" s="1"/>
  <c r="J159" i="36" s="1"/>
  <c r="H296" i="36"/>
  <c r="I296" i="36" s="1"/>
  <c r="H272" i="36"/>
  <c r="I272" i="36" s="1"/>
  <c r="H249" i="36"/>
  <c r="I249" i="36" s="1"/>
  <c r="J249" i="36" s="1"/>
  <c r="H241" i="36"/>
  <c r="I241" i="36" s="1"/>
  <c r="J241" i="36" s="1"/>
  <c r="H186" i="36"/>
  <c r="I186" i="36" s="1"/>
  <c r="J186" i="36" s="1"/>
  <c r="H138" i="36"/>
  <c r="I138" i="36" s="1"/>
  <c r="J138" i="36" s="1"/>
  <c r="H98" i="36"/>
  <c r="I98" i="36" s="1"/>
  <c r="H90" i="36"/>
  <c r="I90" i="36" s="1"/>
  <c r="J90" i="36" s="1"/>
  <c r="H42" i="36"/>
  <c r="I42" i="36" s="1"/>
  <c r="J42" i="36" s="1"/>
  <c r="H34" i="36"/>
  <c r="I34" i="36" s="1"/>
  <c r="J34" i="36" s="1"/>
  <c r="H18" i="36"/>
  <c r="I18" i="36" s="1"/>
  <c r="J18" i="36" s="1"/>
  <c r="H10" i="36"/>
  <c r="I10" i="36" s="1"/>
  <c r="J10" i="36" s="1"/>
  <c r="H103" i="36"/>
  <c r="I103" i="36" s="1"/>
  <c r="H222" i="36"/>
  <c r="I222" i="36" s="1"/>
  <c r="J222" i="36" s="1"/>
  <c r="H119" i="36"/>
  <c r="I119" i="36" s="1"/>
  <c r="H143" i="36"/>
  <c r="I143" i="36" s="1"/>
  <c r="H214" i="36"/>
  <c r="I214" i="36" s="1"/>
  <c r="J214" i="36" s="1"/>
  <c r="H55" i="36"/>
  <c r="I55" i="36" s="1"/>
  <c r="J55" i="36" s="1"/>
  <c r="H254" i="36"/>
  <c r="I254" i="36" s="1"/>
  <c r="J254" i="36" s="1"/>
  <c r="H263" i="36"/>
  <c r="I263" i="36" s="1"/>
  <c r="J263" i="36" s="1"/>
  <c r="H23" i="36"/>
  <c r="I23" i="36" s="1"/>
  <c r="J23" i="36" s="1"/>
  <c r="H158" i="36"/>
  <c r="I158" i="36" s="1"/>
  <c r="J158" i="36" s="1"/>
  <c r="H282" i="36"/>
  <c r="I282" i="36" s="1"/>
  <c r="J282" i="36" s="1"/>
  <c r="H28" i="36"/>
  <c r="I28" i="36" s="1"/>
  <c r="H265" i="36"/>
  <c r="I265" i="36" s="1"/>
  <c r="J265" i="36" s="1"/>
  <c r="H250" i="36"/>
  <c r="I250" i="36" s="1"/>
  <c r="J250" i="36" s="1"/>
  <c r="H226" i="36"/>
  <c r="I226" i="36" s="1"/>
  <c r="H203" i="36"/>
  <c r="I203" i="36" s="1"/>
  <c r="J203" i="36" s="1"/>
  <c r="H155" i="36"/>
  <c r="I155" i="36" s="1"/>
  <c r="J155" i="36" s="1"/>
  <c r="H147" i="36"/>
  <c r="I147" i="36" s="1"/>
  <c r="J147" i="36" s="1"/>
  <c r="H131" i="36"/>
  <c r="I131" i="36" s="1"/>
  <c r="H115" i="36"/>
  <c r="I115" i="36" s="1"/>
  <c r="J115" i="36" s="1"/>
  <c r="H99" i="36"/>
  <c r="I99" i="36" s="1"/>
  <c r="J99" i="36" s="1"/>
  <c r="H83" i="36"/>
  <c r="I83" i="36" s="1"/>
  <c r="J83" i="36" s="1"/>
  <c r="H67" i="36"/>
  <c r="I67" i="36" s="1"/>
  <c r="J67" i="36" s="1"/>
  <c r="H43" i="36"/>
  <c r="I43" i="36" s="1"/>
  <c r="J43" i="36" s="1"/>
  <c r="H35" i="36"/>
  <c r="I35" i="36" s="1"/>
  <c r="J35" i="36" s="1"/>
  <c r="H27" i="36"/>
  <c r="I27" i="36" s="1"/>
  <c r="J27" i="36" s="1"/>
  <c r="H11" i="36"/>
  <c r="I11" i="36" s="1"/>
  <c r="J11" i="36" s="1"/>
  <c r="H69" i="36"/>
  <c r="I69" i="36" s="1"/>
  <c r="J69" i="36" s="1"/>
  <c r="H194" i="36"/>
  <c r="I194" i="36" s="1"/>
  <c r="J194" i="36" s="1"/>
  <c r="H77" i="36"/>
  <c r="I77" i="36" s="1"/>
  <c r="J77" i="36" s="1"/>
  <c r="H232" i="36"/>
  <c r="I232" i="36" s="1"/>
  <c r="J232" i="36" s="1"/>
  <c r="H51" i="36"/>
  <c r="I51" i="36" s="1"/>
  <c r="J51" i="36" s="1"/>
  <c r="H148" i="36"/>
  <c r="I148" i="36" s="1"/>
  <c r="J148" i="36" s="1"/>
  <c r="H59" i="36"/>
  <c r="I59" i="36" s="1"/>
  <c r="J59" i="36" s="1"/>
  <c r="H234" i="36"/>
  <c r="I234" i="36" s="1"/>
  <c r="H298" i="36"/>
  <c r="I298" i="36" s="1"/>
  <c r="J298" i="36" s="1"/>
  <c r="H306" i="36"/>
  <c r="I306" i="36" s="1"/>
  <c r="J306" i="36" s="1"/>
  <c r="H259" i="36"/>
  <c r="I259" i="36" s="1"/>
  <c r="J259" i="36" s="1"/>
  <c r="H123" i="36"/>
  <c r="I123" i="36" s="1"/>
  <c r="H273" i="36"/>
  <c r="I273" i="36" s="1"/>
  <c r="I256" i="36"/>
  <c r="J256" i="36" s="1"/>
  <c r="H279" i="38"/>
  <c r="I279" i="38" s="1"/>
  <c r="J279" i="38" s="1"/>
  <c r="H241" i="38"/>
  <c r="I241" i="38" s="1"/>
  <c r="J241" i="38" s="1"/>
  <c r="H12" i="38"/>
  <c r="I12" i="38" s="1"/>
  <c r="J12" i="38" s="1"/>
  <c r="H116" i="38"/>
  <c r="I116" i="38" s="1"/>
  <c r="H140" i="38"/>
  <c r="I140" i="38" s="1"/>
  <c r="H259" i="38"/>
  <c r="I259" i="38" s="1"/>
  <c r="J259" i="38" s="1"/>
  <c r="H148" i="38"/>
  <c r="I148" i="38" s="1"/>
  <c r="J148" i="38" s="1"/>
  <c r="H227" i="38"/>
  <c r="I227" i="38" s="1"/>
  <c r="J227" i="38" s="1"/>
  <c r="H204" i="38"/>
  <c r="I204" i="38" s="1"/>
  <c r="J204" i="38" s="1"/>
  <c r="H194" i="38"/>
  <c r="I194" i="38" s="1"/>
  <c r="J194" i="38" s="1"/>
  <c r="H235" i="38"/>
  <c r="I235" i="38" s="1"/>
  <c r="J235" i="38" s="1"/>
  <c r="H266" i="38"/>
  <c r="I266" i="38" s="1"/>
  <c r="J266" i="38" s="1"/>
  <c r="H20" i="38"/>
  <c r="I20" i="38" s="1"/>
  <c r="J20" i="38" s="1"/>
  <c r="H44" i="38"/>
  <c r="I44" i="38" s="1"/>
  <c r="J44" i="38" s="1"/>
  <c r="H60" i="38"/>
  <c r="I60" i="38" s="1"/>
  <c r="J60" i="38" s="1"/>
  <c r="H74" i="38"/>
  <c r="I74" i="38" s="1"/>
  <c r="J74" i="38" s="1"/>
  <c r="H124" i="38"/>
  <c r="I124" i="38" s="1"/>
  <c r="H217" i="38"/>
  <c r="I217" i="38" s="1"/>
  <c r="J217" i="38" s="1"/>
  <c r="J11" i="39"/>
  <c r="J15" i="39"/>
  <c r="H4" i="39"/>
  <c r="H22" i="39"/>
  <c r="I22" i="39" s="1"/>
  <c r="H80" i="39"/>
  <c r="I80" i="39" s="1"/>
  <c r="H8" i="39"/>
  <c r="I8" i="39" s="1"/>
  <c r="H10" i="39"/>
  <c r="I10" i="39" s="1"/>
  <c r="H12" i="39"/>
  <c r="I12" i="39" s="1"/>
  <c r="H14" i="39"/>
  <c r="I14" i="39" s="1"/>
  <c r="H99" i="39"/>
  <c r="I99" i="39" s="1"/>
  <c r="H106" i="39"/>
  <c r="I106" i="39" s="1"/>
  <c r="H116" i="39"/>
  <c r="I116" i="39" s="1"/>
  <c r="H5" i="39"/>
  <c r="I5" i="39" s="1"/>
  <c r="H28" i="39"/>
  <c r="I28" i="39" s="1"/>
  <c r="H41" i="39"/>
  <c r="I41" i="39" s="1"/>
  <c r="H23" i="39"/>
  <c r="I23" i="39" s="1"/>
  <c r="H6" i="39"/>
  <c r="I6" i="39" s="1"/>
  <c r="H24" i="39"/>
  <c r="I24" i="39" s="1"/>
  <c r="H27" i="39"/>
  <c r="I27" i="39" s="1"/>
  <c r="H64" i="39"/>
  <c r="I64" i="39" s="1"/>
  <c r="H9" i="39"/>
  <c r="I9" i="39" s="1"/>
  <c r="H13" i="39"/>
  <c r="I13" i="39" s="1"/>
  <c r="H20" i="39"/>
  <c r="I20" i="39" s="1"/>
  <c r="H29" i="39"/>
  <c r="I29" i="39" s="1"/>
  <c r="H36" i="39"/>
  <c r="I36" i="39" s="1"/>
  <c r="H68" i="39"/>
  <c r="I68" i="39" s="1"/>
  <c r="H31" i="39"/>
  <c r="I31" i="39" s="1"/>
  <c r="H18" i="39"/>
  <c r="I18" i="39" s="1"/>
  <c r="H40" i="39"/>
  <c r="I40" i="39" s="1"/>
  <c r="J58" i="39"/>
  <c r="H72" i="39"/>
  <c r="I72" i="39" s="1"/>
  <c r="H104" i="39"/>
  <c r="I104" i="39" s="1"/>
  <c r="H113" i="39"/>
  <c r="I113" i="39" s="1"/>
  <c r="H76" i="39"/>
  <c r="I76" i="39" s="1"/>
  <c r="H37" i="39"/>
  <c r="I37" i="39" s="1"/>
  <c r="H44" i="39"/>
  <c r="I44" i="39" s="1"/>
  <c r="H52" i="39"/>
  <c r="I52" i="39" s="1"/>
  <c r="H74" i="39"/>
  <c r="I74" i="39" s="1"/>
  <c r="H108" i="39"/>
  <c r="I108" i="39" s="1"/>
  <c r="H135" i="39"/>
  <c r="I135" i="39" s="1"/>
  <c r="H35" i="39"/>
  <c r="I35" i="39" s="1"/>
  <c r="H39" i="39"/>
  <c r="I39" i="39" s="1"/>
  <c r="H43" i="39"/>
  <c r="I43" i="39" s="1"/>
  <c r="H47" i="39"/>
  <c r="I47" i="39" s="1"/>
  <c r="H51" i="39"/>
  <c r="I51" i="39" s="1"/>
  <c r="H55" i="39"/>
  <c r="I55" i="39" s="1"/>
  <c r="H59" i="39"/>
  <c r="I59" i="39" s="1"/>
  <c r="H63" i="39"/>
  <c r="I63" i="39" s="1"/>
  <c r="H67" i="39"/>
  <c r="I67" i="39" s="1"/>
  <c r="H71" i="39"/>
  <c r="I71" i="39" s="1"/>
  <c r="H75" i="39"/>
  <c r="I75" i="39" s="1"/>
  <c r="H84" i="39"/>
  <c r="I84" i="39" s="1"/>
  <c r="H100" i="39"/>
  <c r="I100" i="39" s="1"/>
  <c r="H86" i="39"/>
  <c r="I86" i="39" s="1"/>
  <c r="H93" i="39"/>
  <c r="I93" i="39" s="1"/>
  <c r="I109" i="39"/>
  <c r="J125" i="39"/>
  <c r="H87" i="39"/>
  <c r="I87" i="39" s="1"/>
  <c r="H82" i="39"/>
  <c r="I82" i="39" s="1"/>
  <c r="H90" i="39"/>
  <c r="I90" i="39" s="1"/>
  <c r="H91" i="39"/>
  <c r="I91" i="39" s="1"/>
  <c r="H115" i="39"/>
  <c r="I115" i="39" s="1"/>
  <c r="H130" i="39"/>
  <c r="I130" i="39" s="1"/>
  <c r="H132" i="39"/>
  <c r="I132" i="39" s="1"/>
  <c r="H124" i="39"/>
  <c r="I124" i="39" s="1"/>
  <c r="H144" i="39"/>
  <c r="I144" i="39" s="1"/>
  <c r="H179" i="39"/>
  <c r="I179" i="39" s="1"/>
  <c r="H112" i="39"/>
  <c r="I112" i="39" s="1"/>
  <c r="H136" i="39"/>
  <c r="I136" i="39" s="1"/>
  <c r="H143" i="39"/>
  <c r="I143" i="39" s="1"/>
  <c r="J173" i="39"/>
  <c r="H138" i="39"/>
  <c r="I138" i="39" s="1"/>
  <c r="H160" i="39"/>
  <c r="I160" i="39" s="1"/>
  <c r="H161" i="39"/>
  <c r="I161" i="39" s="1"/>
  <c r="H170" i="39"/>
  <c r="I170" i="39" s="1"/>
  <c r="H175" i="39"/>
  <c r="I175" i="39" s="1"/>
  <c r="H176" i="39"/>
  <c r="I176" i="39" s="1"/>
  <c r="J145" i="39"/>
  <c r="H169" i="39"/>
  <c r="I169" i="39" s="1"/>
  <c r="H191" i="39"/>
  <c r="I191" i="39" s="1"/>
  <c r="H140" i="39"/>
  <c r="I140" i="39" s="1"/>
  <c r="H150" i="39"/>
  <c r="I150" i="39" s="1"/>
  <c r="H151" i="39"/>
  <c r="I151" i="39" s="1"/>
  <c r="H152" i="39"/>
  <c r="I152" i="39" s="1"/>
  <c r="H184" i="39"/>
  <c r="I184" i="39" s="1"/>
  <c r="H213" i="39"/>
  <c r="I213" i="39" s="1"/>
  <c r="J233" i="39"/>
  <c r="H202" i="39"/>
  <c r="I202" i="39" s="1"/>
  <c r="H209" i="39"/>
  <c r="I209" i="39" s="1"/>
  <c r="H190" i="39"/>
  <c r="I190" i="39" s="1"/>
  <c r="H182" i="39"/>
  <c r="I182" i="39" s="1"/>
  <c r="H259" i="39"/>
  <c r="I259" i="39" s="1"/>
  <c r="H168" i="39"/>
  <c r="I168" i="39" s="1"/>
  <c r="H188" i="39"/>
  <c r="I188" i="39" s="1"/>
  <c r="H189" i="39"/>
  <c r="I189" i="39" s="1"/>
  <c r="H146" i="39"/>
  <c r="I146" i="39" s="1"/>
  <c r="H154" i="39"/>
  <c r="I154" i="39" s="1"/>
  <c r="I156" i="39"/>
  <c r="H162" i="39"/>
  <c r="I162" i="39" s="1"/>
  <c r="H174" i="39"/>
  <c r="I174" i="39" s="1"/>
  <c r="H219" i="39"/>
  <c r="I219" i="39" s="1"/>
  <c r="H220" i="39"/>
  <c r="I220" i="39" s="1"/>
  <c r="H224" i="39"/>
  <c r="I224" i="39" s="1"/>
  <c r="H254" i="39"/>
  <c r="I254" i="39" s="1"/>
  <c r="H192" i="39"/>
  <c r="I192" i="39" s="1"/>
  <c r="H206" i="39"/>
  <c r="I206" i="39" s="1"/>
  <c r="H217" i="39"/>
  <c r="I217" i="39" s="1"/>
  <c r="H237" i="39"/>
  <c r="I237" i="39" s="1"/>
  <c r="H271" i="39"/>
  <c r="I271" i="39" s="1"/>
  <c r="H285" i="39"/>
  <c r="I285" i="39" s="1"/>
  <c r="H178" i="39"/>
  <c r="I178" i="39" s="1"/>
  <c r="H185" i="39"/>
  <c r="I185" i="39" s="1"/>
  <c r="H193" i="39"/>
  <c r="I193" i="39" s="1"/>
  <c r="H200" i="39"/>
  <c r="I200" i="39" s="1"/>
  <c r="H221" i="39"/>
  <c r="I221" i="39" s="1"/>
  <c r="H283" i="39"/>
  <c r="I283" i="39" s="1"/>
  <c r="H186" i="39"/>
  <c r="I186" i="39" s="1"/>
  <c r="H194" i="39"/>
  <c r="I194" i="39" s="1"/>
  <c r="H198" i="39"/>
  <c r="I198" i="39" s="1"/>
  <c r="H211" i="39"/>
  <c r="I211" i="39" s="1"/>
  <c r="H212" i="39"/>
  <c r="I212" i="39" s="1"/>
  <c r="H225" i="39"/>
  <c r="I225" i="39" s="1"/>
  <c r="H298" i="39"/>
  <c r="I298" i="39" s="1"/>
  <c r="H242" i="39"/>
  <c r="I242" i="39" s="1"/>
  <c r="J256" i="39"/>
  <c r="H292" i="39"/>
  <c r="I292" i="39" s="1"/>
  <c r="H239" i="39"/>
  <c r="I239" i="39" s="1"/>
  <c r="H272" i="39"/>
  <c r="I272" i="39" s="1"/>
  <c r="H230" i="39"/>
  <c r="I230" i="39" s="1"/>
  <c r="H241" i="39"/>
  <c r="I241" i="39" s="1"/>
  <c r="H246" i="39"/>
  <c r="I246" i="39" s="1"/>
  <c r="H227" i="39"/>
  <c r="I227" i="39" s="1"/>
  <c r="H249" i="39"/>
  <c r="I249" i="39" s="1"/>
  <c r="H251" i="39"/>
  <c r="I251" i="39" s="1"/>
  <c r="H276" i="39"/>
  <c r="I276" i="39" s="1"/>
  <c r="H279" i="39"/>
  <c r="I279" i="39" s="1"/>
  <c r="H267" i="39"/>
  <c r="I267" i="39" s="1"/>
  <c r="H278" i="39"/>
  <c r="I278" i="39" s="1"/>
  <c r="H250" i="39"/>
  <c r="I250" i="39" s="1"/>
  <c r="H258" i="39"/>
  <c r="I258" i="39" s="1"/>
  <c r="H264" i="39"/>
  <c r="I264" i="39" s="1"/>
  <c r="H265" i="39"/>
  <c r="I265" i="39" s="1"/>
  <c r="H304" i="39"/>
  <c r="I304" i="39" s="1"/>
  <c r="H247" i="39"/>
  <c r="I247" i="39" s="1"/>
  <c r="H253" i="39"/>
  <c r="I253" i="39" s="1"/>
  <c r="H255" i="39"/>
  <c r="I255" i="39" s="1"/>
  <c r="H266" i="39"/>
  <c r="I266" i="39" s="1"/>
  <c r="H287" i="39"/>
  <c r="I287" i="39" s="1"/>
  <c r="H307" i="39"/>
  <c r="I307" i="39" s="1"/>
  <c r="H273" i="39"/>
  <c r="I273" i="39" s="1"/>
  <c r="H274" i="39"/>
  <c r="I274" i="39" s="1"/>
  <c r="H263" i="39"/>
  <c r="I263" i="39" s="1"/>
  <c r="H270" i="39"/>
  <c r="I270" i="39" s="1"/>
  <c r="H282" i="39"/>
  <c r="I282" i="39" s="1"/>
  <c r="H288" i="39"/>
  <c r="I288" i="39" s="1"/>
  <c r="H311" i="39"/>
  <c r="I311" i="39" s="1"/>
  <c r="H303" i="39"/>
  <c r="I303" i="39" s="1"/>
  <c r="H315" i="39"/>
  <c r="I315" i="39" s="1"/>
  <c r="H302" i="39"/>
  <c r="I302" i="39" s="1"/>
  <c r="H306" i="39"/>
  <c r="I306" i="39" s="1"/>
  <c r="H310" i="39"/>
  <c r="I310" i="39" s="1"/>
  <c r="H314" i="39"/>
  <c r="I314" i="39" s="1"/>
  <c r="H22" i="38"/>
  <c r="I22" i="38" s="1"/>
  <c r="H54" i="38"/>
  <c r="I54" i="38" s="1"/>
  <c r="H26" i="38"/>
  <c r="I26" i="38" s="1"/>
  <c r="H58" i="38"/>
  <c r="I58" i="38" s="1"/>
  <c r="H127" i="38"/>
  <c r="I127" i="38" s="1"/>
  <c r="H62" i="38"/>
  <c r="I62" i="38" s="1"/>
  <c r="H23" i="38"/>
  <c r="I23" i="38" s="1"/>
  <c r="H34" i="38"/>
  <c r="I34" i="38" s="1"/>
  <c r="H55" i="38"/>
  <c r="I55" i="38" s="1"/>
  <c r="H177" i="38"/>
  <c r="I177" i="38" s="1"/>
  <c r="H19" i="38"/>
  <c r="I19" i="38" s="1"/>
  <c r="H6" i="38"/>
  <c r="I6" i="38" s="1"/>
  <c r="H38" i="38"/>
  <c r="I38" i="38" s="1"/>
  <c r="H59" i="38"/>
  <c r="I59" i="38" s="1"/>
  <c r="H128" i="38"/>
  <c r="I128" i="38" s="1"/>
  <c r="H132" i="38"/>
  <c r="I132" i="38" s="1"/>
  <c r="H51" i="38"/>
  <c r="I51" i="38" s="1"/>
  <c r="H10" i="38"/>
  <c r="I10" i="38" s="1"/>
  <c r="H31" i="38"/>
  <c r="I31" i="38" s="1"/>
  <c r="H42" i="38"/>
  <c r="I42" i="38" s="1"/>
  <c r="H63" i="38"/>
  <c r="I63" i="38" s="1"/>
  <c r="H113" i="38"/>
  <c r="I113" i="38" s="1"/>
  <c r="H30" i="38"/>
  <c r="I30" i="38" s="1"/>
  <c r="I11" i="38"/>
  <c r="H14" i="38"/>
  <c r="I14" i="38" s="1"/>
  <c r="H35" i="38"/>
  <c r="I35" i="38" s="1"/>
  <c r="H46" i="38"/>
  <c r="I46" i="38" s="1"/>
  <c r="H66" i="38"/>
  <c r="I66" i="38" s="1"/>
  <c r="H118" i="38"/>
  <c r="I118" i="38" s="1"/>
  <c r="H7" i="38"/>
  <c r="I7" i="38" s="1"/>
  <c r="I15" i="38"/>
  <c r="H18" i="38"/>
  <c r="I18" i="38" s="1"/>
  <c r="H39" i="38"/>
  <c r="I39" i="38" s="1"/>
  <c r="H50" i="38"/>
  <c r="I50" i="38" s="1"/>
  <c r="H72" i="38"/>
  <c r="I72" i="38" s="1"/>
  <c r="H135" i="38"/>
  <c r="I135" i="38" s="1"/>
  <c r="H82" i="38"/>
  <c r="I82" i="38" s="1"/>
  <c r="H83" i="38"/>
  <c r="I83" i="38" s="1"/>
  <c r="H98" i="38"/>
  <c r="I98" i="38" s="1"/>
  <c r="H76" i="38"/>
  <c r="I76" i="38" s="1"/>
  <c r="H77" i="38"/>
  <c r="I77" i="38" s="1"/>
  <c r="H80" i="38"/>
  <c r="I80" i="38" s="1"/>
  <c r="H90" i="38"/>
  <c r="I90" i="38" s="1"/>
  <c r="H91" i="38"/>
  <c r="I91" i="38" s="1"/>
  <c r="H139" i="38"/>
  <c r="I139" i="38" s="1"/>
  <c r="H166" i="38"/>
  <c r="I166" i="38" s="1"/>
  <c r="H68" i="38"/>
  <c r="I68" i="38" s="1"/>
  <c r="H84" i="38"/>
  <c r="I84" i="38" s="1"/>
  <c r="H95" i="38"/>
  <c r="I95" i="38" s="1"/>
  <c r="H109" i="38"/>
  <c r="I109" i="38" s="1"/>
  <c r="H126" i="38"/>
  <c r="I126" i="38" s="1"/>
  <c r="H130" i="38"/>
  <c r="I130" i="38" s="1"/>
  <c r="H157" i="38"/>
  <c r="I157" i="38" s="1"/>
  <c r="H88" i="38"/>
  <c r="I88" i="38" s="1"/>
  <c r="H100" i="38"/>
  <c r="I100" i="38" s="1"/>
  <c r="H120" i="38"/>
  <c r="I120" i="38" s="1"/>
  <c r="J125" i="38"/>
  <c r="H5" i="38"/>
  <c r="H9" i="38"/>
  <c r="I9" i="38" s="1"/>
  <c r="H13" i="38"/>
  <c r="I13" i="38" s="1"/>
  <c r="H17" i="38"/>
  <c r="I17" i="38" s="1"/>
  <c r="H21" i="38"/>
  <c r="I21" i="38" s="1"/>
  <c r="H25" i="38"/>
  <c r="I25" i="38" s="1"/>
  <c r="H29" i="38"/>
  <c r="I29" i="38" s="1"/>
  <c r="H33" i="38"/>
  <c r="I33" i="38" s="1"/>
  <c r="H37" i="38"/>
  <c r="I37" i="38" s="1"/>
  <c r="H41" i="38"/>
  <c r="I41" i="38" s="1"/>
  <c r="H45" i="38"/>
  <c r="I45" i="38" s="1"/>
  <c r="H49" i="38"/>
  <c r="I49" i="38" s="1"/>
  <c r="H53" i="38"/>
  <c r="I53" i="38" s="1"/>
  <c r="H57" i="38"/>
  <c r="I57" i="38" s="1"/>
  <c r="H61" i="38"/>
  <c r="I61" i="38" s="1"/>
  <c r="H65" i="38"/>
  <c r="I65" i="38" s="1"/>
  <c r="H92" i="38"/>
  <c r="I92" i="38" s="1"/>
  <c r="H96" i="38"/>
  <c r="I96" i="38" s="1"/>
  <c r="H111" i="38"/>
  <c r="I111" i="38" s="1"/>
  <c r="H119" i="38"/>
  <c r="I119" i="38" s="1"/>
  <c r="H151" i="38"/>
  <c r="I151" i="38" s="1"/>
  <c r="H146" i="38"/>
  <c r="I146" i="38" s="1"/>
  <c r="H142" i="38"/>
  <c r="I142" i="38" s="1"/>
  <c r="H147" i="38"/>
  <c r="I147" i="38" s="1"/>
  <c r="H181" i="38"/>
  <c r="I181" i="38" s="1"/>
  <c r="H143" i="38"/>
  <c r="I143" i="38" s="1"/>
  <c r="H149" i="38"/>
  <c r="I149" i="38" s="1"/>
  <c r="H174" i="38"/>
  <c r="I174" i="38" s="1"/>
  <c r="H211" i="38"/>
  <c r="I211" i="38" s="1"/>
  <c r="H131" i="38"/>
  <c r="I131" i="38" s="1"/>
  <c r="H180" i="38"/>
  <c r="I180" i="38" s="1"/>
  <c r="H201" i="38"/>
  <c r="I201" i="38" s="1"/>
  <c r="H115" i="38"/>
  <c r="I115" i="38" s="1"/>
  <c r="H123" i="38"/>
  <c r="I123" i="38" s="1"/>
  <c r="H155" i="38"/>
  <c r="I155" i="38" s="1"/>
  <c r="J173" i="38"/>
  <c r="H188" i="38"/>
  <c r="I188" i="38" s="1"/>
  <c r="H179" i="38"/>
  <c r="I179" i="38" s="1"/>
  <c r="H184" i="38"/>
  <c r="I184" i="38" s="1"/>
  <c r="H162" i="38"/>
  <c r="I162" i="38" s="1"/>
  <c r="H246" i="38"/>
  <c r="I246" i="38" s="1"/>
  <c r="H265" i="38"/>
  <c r="I265" i="38" s="1"/>
  <c r="H158" i="38"/>
  <c r="I158" i="38" s="1"/>
  <c r="H164" i="38"/>
  <c r="I164" i="38" s="1"/>
  <c r="H176" i="38"/>
  <c r="I176" i="38" s="1"/>
  <c r="H197" i="38"/>
  <c r="I197" i="38" s="1"/>
  <c r="H154" i="38"/>
  <c r="I154" i="38" s="1"/>
  <c r="H172" i="38"/>
  <c r="I172" i="38" s="1"/>
  <c r="H175" i="38"/>
  <c r="I175" i="38" s="1"/>
  <c r="H186" i="38"/>
  <c r="I186" i="38" s="1"/>
  <c r="H150" i="38"/>
  <c r="I150" i="38" s="1"/>
  <c r="H167" i="38"/>
  <c r="I167" i="38" s="1"/>
  <c r="H203" i="38"/>
  <c r="I203" i="38" s="1"/>
  <c r="H243" i="38"/>
  <c r="I243" i="38" s="1"/>
  <c r="H168" i="38"/>
  <c r="I168" i="38" s="1"/>
  <c r="H193" i="38"/>
  <c r="I193" i="38" s="1"/>
  <c r="H199" i="38"/>
  <c r="I199" i="38" s="1"/>
  <c r="H229" i="38"/>
  <c r="I229" i="38" s="1"/>
  <c r="J239" i="38"/>
  <c r="H196" i="38"/>
  <c r="I196" i="38" s="1"/>
  <c r="H231" i="38"/>
  <c r="I231" i="38" s="1"/>
  <c r="H185" i="38"/>
  <c r="I185" i="38" s="1"/>
  <c r="H295" i="38"/>
  <c r="I295" i="38" s="1"/>
  <c r="H192" i="38"/>
  <c r="I192" i="38" s="1"/>
  <c r="H198" i="38"/>
  <c r="I198" i="38" s="1"/>
  <c r="H226" i="38"/>
  <c r="I226" i="38" s="1"/>
  <c r="H238" i="38"/>
  <c r="I238" i="38" s="1"/>
  <c r="H248" i="38"/>
  <c r="I248" i="38" s="1"/>
  <c r="H310" i="38"/>
  <c r="I310" i="38" s="1"/>
  <c r="H253" i="38"/>
  <c r="I253" i="38" s="1"/>
  <c r="H212" i="38"/>
  <c r="I212" i="38" s="1"/>
  <c r="H222" i="38"/>
  <c r="I222" i="38" s="1"/>
  <c r="H277" i="38"/>
  <c r="I277" i="38" s="1"/>
  <c r="H218" i="38"/>
  <c r="I218" i="38" s="1"/>
  <c r="H234" i="38"/>
  <c r="I234" i="38" s="1"/>
  <c r="H250" i="38"/>
  <c r="I250" i="38" s="1"/>
  <c r="H213" i="38"/>
  <c r="I213" i="38" s="1"/>
  <c r="H270" i="38"/>
  <c r="I270" i="38" s="1"/>
  <c r="H206" i="38"/>
  <c r="I206" i="38" s="1"/>
  <c r="H221" i="38"/>
  <c r="I221" i="38" s="1"/>
  <c r="H230" i="38"/>
  <c r="I230" i="38" s="1"/>
  <c r="H242" i="38"/>
  <c r="I242" i="38" s="1"/>
  <c r="H262" i="38"/>
  <c r="I262" i="38" s="1"/>
  <c r="H258" i="38"/>
  <c r="I258" i="38" s="1"/>
  <c r="H263" i="38"/>
  <c r="I263" i="38" s="1"/>
  <c r="H225" i="38"/>
  <c r="I225" i="38" s="1"/>
  <c r="I256" i="38"/>
  <c r="H260" i="38"/>
  <c r="I260" i="38" s="1"/>
  <c r="H272" i="38"/>
  <c r="I272" i="38" s="1"/>
  <c r="H254" i="38"/>
  <c r="I254" i="38" s="1"/>
  <c r="H269" i="38"/>
  <c r="I269" i="38" s="1"/>
  <c r="H284" i="38"/>
  <c r="I284" i="38" s="1"/>
  <c r="H285" i="38"/>
  <c r="I285" i="38" s="1"/>
  <c r="H286" i="38"/>
  <c r="I286" i="38" s="1"/>
  <c r="H289" i="38"/>
  <c r="I289" i="38" s="1"/>
  <c r="H300" i="38"/>
  <c r="I300" i="38" s="1"/>
  <c r="H290" i="38"/>
  <c r="I290" i="38" s="1"/>
  <c r="H306" i="38"/>
  <c r="I306" i="38" s="1"/>
  <c r="H280" i="38"/>
  <c r="I280" i="38" s="1"/>
  <c r="H288" i="38"/>
  <c r="I288" i="38" s="1"/>
  <c r="H308" i="38"/>
  <c r="I308" i="38" s="1"/>
  <c r="H314" i="38"/>
  <c r="I314" i="38" s="1"/>
  <c r="H276" i="38"/>
  <c r="I276" i="38" s="1"/>
  <c r="H294" i="38"/>
  <c r="I294" i="38" s="1"/>
  <c r="H303" i="38"/>
  <c r="I303" i="38" s="1"/>
  <c r="H278" i="38"/>
  <c r="I278" i="38" s="1"/>
  <c r="H302" i="38"/>
  <c r="I302" i="38" s="1"/>
  <c r="H316" i="38"/>
  <c r="I316" i="38" s="1"/>
  <c r="H282" i="38"/>
  <c r="I282" i="38" s="1"/>
  <c r="H287" i="38"/>
  <c r="I287" i="38" s="1"/>
  <c r="H298" i="38"/>
  <c r="I298" i="38" s="1"/>
  <c r="H311" i="38"/>
  <c r="I311" i="38" s="1"/>
  <c r="H299" i="38"/>
  <c r="I299" i="38" s="1"/>
  <c r="H307" i="38"/>
  <c r="I307" i="38" s="1"/>
  <c r="H315" i="38"/>
  <c r="I315" i="38" s="1"/>
  <c r="H4" i="36"/>
  <c r="H74" i="36"/>
  <c r="I74" i="36" s="1"/>
  <c r="H8" i="36"/>
  <c r="I8" i="36" s="1"/>
  <c r="J15" i="36"/>
  <c r="H37" i="36"/>
  <c r="I37" i="36" s="1"/>
  <c r="H39" i="36"/>
  <c r="I39" i="36" s="1"/>
  <c r="H19" i="36"/>
  <c r="I19" i="36" s="1"/>
  <c r="H30" i="36"/>
  <c r="I30" i="36" s="1"/>
  <c r="H36" i="36"/>
  <c r="I36" i="36" s="1"/>
  <c r="H58" i="36"/>
  <c r="I58" i="36" s="1"/>
  <c r="H54" i="36"/>
  <c r="I54" i="36" s="1"/>
  <c r="H12" i="36"/>
  <c r="I12" i="36" s="1"/>
  <c r="H16" i="36"/>
  <c r="I16" i="36" s="1"/>
  <c r="H20" i="36"/>
  <c r="I20" i="36" s="1"/>
  <c r="H24" i="36"/>
  <c r="I24" i="36" s="1"/>
  <c r="H38" i="36"/>
  <c r="I38" i="36" s="1"/>
  <c r="H41" i="36"/>
  <c r="I41" i="36" s="1"/>
  <c r="H50" i="36"/>
  <c r="I50" i="36" s="1"/>
  <c r="H70" i="36"/>
  <c r="I70" i="36" s="1"/>
  <c r="H31" i="36"/>
  <c r="I31" i="36" s="1"/>
  <c r="H95" i="36"/>
  <c r="I95" i="36" s="1"/>
  <c r="H88" i="36"/>
  <c r="I88" i="36" s="1"/>
  <c r="H46" i="36"/>
  <c r="I46" i="36" s="1"/>
  <c r="H61" i="36"/>
  <c r="I61" i="36" s="1"/>
  <c r="H63" i="36"/>
  <c r="I63" i="36" s="1"/>
  <c r="H81" i="36"/>
  <c r="I81" i="36" s="1"/>
  <c r="H160" i="36"/>
  <c r="I160" i="36" s="1"/>
  <c r="H76" i="36"/>
  <c r="I76" i="36" s="1"/>
  <c r="H80" i="36"/>
  <c r="I80" i="36" s="1"/>
  <c r="H87" i="36"/>
  <c r="I87" i="36" s="1"/>
  <c r="H105" i="36"/>
  <c r="I105" i="36" s="1"/>
  <c r="H107" i="36"/>
  <c r="I107" i="36" s="1"/>
  <c r="H121" i="36"/>
  <c r="I121" i="36" s="1"/>
  <c r="H45" i="36"/>
  <c r="I45" i="36" s="1"/>
  <c r="H49" i="36"/>
  <c r="I49" i="36" s="1"/>
  <c r="H53" i="36"/>
  <c r="I53" i="36" s="1"/>
  <c r="H57" i="36"/>
  <c r="I57" i="36" s="1"/>
  <c r="H68" i="36"/>
  <c r="I68" i="36" s="1"/>
  <c r="H85" i="36"/>
  <c r="I85" i="36" s="1"/>
  <c r="H66" i="36"/>
  <c r="I66" i="36" s="1"/>
  <c r="H91" i="36"/>
  <c r="I91" i="36" s="1"/>
  <c r="H93" i="36"/>
  <c r="I93" i="36" s="1"/>
  <c r="H97" i="36"/>
  <c r="I97" i="36" s="1"/>
  <c r="H101" i="36"/>
  <c r="I101" i="36" s="1"/>
  <c r="H113" i="36"/>
  <c r="I113" i="36" s="1"/>
  <c r="H116" i="36"/>
  <c r="I116" i="36" s="1"/>
  <c r="H129" i="36"/>
  <c r="I129" i="36" s="1"/>
  <c r="H40" i="36"/>
  <c r="I40" i="36" s="1"/>
  <c r="H44" i="36"/>
  <c r="I44" i="36" s="1"/>
  <c r="H48" i="36"/>
  <c r="I48" i="36" s="1"/>
  <c r="H52" i="36"/>
  <c r="I52" i="36" s="1"/>
  <c r="H56" i="36"/>
  <c r="I56" i="36" s="1"/>
  <c r="H60" i="36"/>
  <c r="I60" i="36" s="1"/>
  <c r="H72" i="36"/>
  <c r="I72" i="36" s="1"/>
  <c r="H114" i="36"/>
  <c r="I114" i="36" s="1"/>
  <c r="H128" i="36"/>
  <c r="I128" i="36" s="1"/>
  <c r="H132" i="36"/>
  <c r="I132" i="36" s="1"/>
  <c r="H62" i="36"/>
  <c r="I62" i="36" s="1"/>
  <c r="H78" i="36"/>
  <c r="I78" i="36" s="1"/>
  <c r="H84" i="36"/>
  <c r="I84" i="36" s="1"/>
  <c r="I127" i="36"/>
  <c r="H150" i="36"/>
  <c r="I150" i="36" s="1"/>
  <c r="H92" i="36"/>
  <c r="I92" i="36" s="1"/>
  <c r="H96" i="36"/>
  <c r="I96" i="36" s="1"/>
  <c r="H100" i="36"/>
  <c r="I100" i="36" s="1"/>
  <c r="H110" i="36"/>
  <c r="I110" i="36" s="1"/>
  <c r="H117" i="36"/>
  <c r="I117" i="36" s="1"/>
  <c r="H122" i="36"/>
  <c r="I122" i="36" s="1"/>
  <c r="H139" i="36"/>
  <c r="I139" i="36" s="1"/>
  <c r="H140" i="36"/>
  <c r="I140" i="36" s="1"/>
  <c r="H108" i="36"/>
  <c r="I108" i="36" s="1"/>
  <c r="H125" i="36"/>
  <c r="I125" i="36" s="1"/>
  <c r="H126" i="36"/>
  <c r="I126" i="36" s="1"/>
  <c r="H133" i="36"/>
  <c r="I133" i="36" s="1"/>
  <c r="H135" i="36"/>
  <c r="I135" i="36" s="1"/>
  <c r="H153" i="36"/>
  <c r="I153" i="36" s="1"/>
  <c r="H142" i="36"/>
  <c r="I142" i="36" s="1"/>
  <c r="H144" i="36"/>
  <c r="I144" i="36" s="1"/>
  <c r="H146" i="36"/>
  <c r="I146" i="36" s="1"/>
  <c r="H165" i="36"/>
  <c r="I165" i="36" s="1"/>
  <c r="H172" i="36"/>
  <c r="I172" i="36" s="1"/>
  <c r="H190" i="36"/>
  <c r="I190" i="36" s="1"/>
  <c r="H196" i="36"/>
  <c r="I196" i="36" s="1"/>
  <c r="H217" i="36"/>
  <c r="I217" i="36" s="1"/>
  <c r="H152" i="36"/>
  <c r="I152" i="36" s="1"/>
  <c r="H163" i="36"/>
  <c r="I163" i="36" s="1"/>
  <c r="H149" i="36"/>
  <c r="I149" i="36" s="1"/>
  <c r="H180" i="36"/>
  <c r="I180" i="36" s="1"/>
  <c r="H187" i="36"/>
  <c r="I187" i="36" s="1"/>
  <c r="H224" i="36"/>
  <c r="I224" i="36" s="1"/>
  <c r="H212" i="36"/>
  <c r="I212" i="36" s="1"/>
  <c r="H164" i="36"/>
  <c r="I164" i="36" s="1"/>
  <c r="H173" i="36"/>
  <c r="I173" i="36" s="1"/>
  <c r="H192" i="36"/>
  <c r="I192" i="36" s="1"/>
  <c r="H199" i="36"/>
  <c r="I199" i="36" s="1"/>
  <c r="H208" i="36"/>
  <c r="I208" i="36" s="1"/>
  <c r="I156" i="36"/>
  <c r="H162" i="36"/>
  <c r="I162" i="36" s="1"/>
  <c r="H166" i="36"/>
  <c r="I166" i="36" s="1"/>
  <c r="H171" i="36"/>
  <c r="I171" i="36" s="1"/>
  <c r="H211" i="36"/>
  <c r="I211" i="36" s="1"/>
  <c r="H202" i="36"/>
  <c r="I202" i="36" s="1"/>
  <c r="H204" i="36"/>
  <c r="I204" i="36" s="1"/>
  <c r="H225" i="36"/>
  <c r="I225" i="36" s="1"/>
  <c r="H176" i="36"/>
  <c r="I176" i="36" s="1"/>
  <c r="H184" i="36"/>
  <c r="I184" i="36" s="1"/>
  <c r="H191" i="36"/>
  <c r="I191" i="36" s="1"/>
  <c r="H223" i="36"/>
  <c r="I223" i="36" s="1"/>
  <c r="H206" i="36"/>
  <c r="I206" i="36" s="1"/>
  <c r="H178" i="36"/>
  <c r="I178" i="36" s="1"/>
  <c r="H188" i="36"/>
  <c r="I188" i="36" s="1"/>
  <c r="H195" i="36"/>
  <c r="I195" i="36" s="1"/>
  <c r="H218" i="36"/>
  <c r="I218" i="36" s="1"/>
  <c r="H200" i="36"/>
  <c r="I200" i="36" s="1"/>
  <c r="H207" i="36"/>
  <c r="I207" i="36" s="1"/>
  <c r="H231" i="36"/>
  <c r="I231" i="36" s="1"/>
  <c r="H252" i="36"/>
  <c r="I252" i="36" s="1"/>
  <c r="H219" i="36"/>
  <c r="I219" i="36" s="1"/>
  <c r="J258" i="36"/>
  <c r="H261" i="36"/>
  <c r="I261" i="36" s="1"/>
  <c r="H227" i="36"/>
  <c r="I227" i="36" s="1"/>
  <c r="H243" i="36"/>
  <c r="I243" i="36" s="1"/>
  <c r="H175" i="36"/>
  <c r="I175" i="36" s="1"/>
  <c r="H179" i="36"/>
  <c r="I179" i="36" s="1"/>
  <c r="H183" i="36"/>
  <c r="I183" i="36" s="1"/>
  <c r="H213" i="36"/>
  <c r="I213" i="36" s="1"/>
  <c r="H244" i="36"/>
  <c r="I244" i="36" s="1"/>
  <c r="H215" i="36"/>
  <c r="I215" i="36" s="1"/>
  <c r="H220" i="36"/>
  <c r="I220" i="36" s="1"/>
  <c r="H235" i="36"/>
  <c r="I235" i="36" s="1"/>
  <c r="H248" i="36"/>
  <c r="I248" i="36" s="1"/>
  <c r="H242" i="36"/>
  <c r="I242" i="36" s="1"/>
  <c r="H239" i="36"/>
  <c r="I239" i="36" s="1"/>
  <c r="H289" i="36"/>
  <c r="I289" i="36" s="1"/>
  <c r="H247" i="36"/>
  <c r="I247" i="36" s="1"/>
  <c r="H251" i="36"/>
  <c r="I251" i="36" s="1"/>
  <c r="H257" i="36"/>
  <c r="I257" i="36" s="1"/>
  <c r="H277" i="36"/>
  <c r="I277" i="36" s="1"/>
  <c r="H253" i="36"/>
  <c r="I253" i="36" s="1"/>
  <c r="H266" i="36"/>
  <c r="I266" i="36" s="1"/>
  <c r="H255" i="36"/>
  <c r="I255" i="36" s="1"/>
  <c r="H270" i="36"/>
  <c r="I270" i="36" s="1"/>
  <c r="H275" i="36"/>
  <c r="I275" i="36" s="1"/>
  <c r="H276" i="36"/>
  <c r="I276" i="36" s="1"/>
  <c r="H264" i="36"/>
  <c r="I264" i="36" s="1"/>
  <c r="H271" i="36"/>
  <c r="I271" i="36" s="1"/>
  <c r="H268" i="36"/>
  <c r="I268" i="36" s="1"/>
  <c r="H290" i="36"/>
  <c r="I290" i="36" s="1"/>
  <c r="H288" i="36"/>
  <c r="I288" i="36" s="1"/>
  <c r="H283" i="36"/>
  <c r="I283" i="36" s="1"/>
  <c r="H292" i="36"/>
  <c r="I292" i="36" s="1"/>
  <c r="H293" i="36"/>
  <c r="I293" i="36" s="1"/>
  <c r="H274" i="36"/>
  <c r="I274" i="36" s="1"/>
  <c r="H281" i="36"/>
  <c r="I281" i="36" s="1"/>
  <c r="H297" i="36"/>
  <c r="I297" i="36" s="1"/>
  <c r="H301" i="36"/>
  <c r="I301" i="36" s="1"/>
  <c r="H286" i="36"/>
  <c r="I286" i="36" s="1"/>
  <c r="H307" i="36"/>
  <c r="I307" i="36" s="1"/>
  <c r="H305" i="36"/>
  <c r="I305" i="36" s="1"/>
  <c r="H309" i="36"/>
  <c r="I309" i="36" s="1"/>
  <c r="H313" i="36"/>
  <c r="I313" i="36" s="1"/>
  <c r="H304" i="36"/>
  <c r="I304" i="36" s="1"/>
  <c r="H308" i="36"/>
  <c r="I308" i="36" s="1"/>
  <c r="H312" i="36"/>
  <c r="I312" i="36" s="1"/>
  <c r="H316" i="36"/>
  <c r="I316" i="36" s="1"/>
  <c r="F1" i="38" l="1"/>
  <c r="G1" i="38"/>
  <c r="H3" i="38" a="1"/>
  <c r="H3" i="38" s="1"/>
  <c r="H3" i="39" a="1"/>
  <c r="H3" i="39" s="1"/>
  <c r="H3" i="37" a="1"/>
  <c r="H3" i="37" s="1"/>
  <c r="H3" i="36" a="1"/>
  <c r="H3" i="36" s="1"/>
  <c r="I4" i="38"/>
  <c r="I4" i="37"/>
  <c r="I251" i="37"/>
  <c r="J251" i="37" s="1"/>
  <c r="I307" i="37"/>
  <c r="J307" i="37" s="1"/>
  <c r="I213" i="37"/>
  <c r="J213" i="37" s="1"/>
  <c r="I87" i="37"/>
  <c r="J87" i="37" s="1"/>
  <c r="I73" i="37"/>
  <c r="J73" i="37" s="1"/>
  <c r="I42" i="37"/>
  <c r="J42" i="37" s="1"/>
  <c r="I231" i="37"/>
  <c r="J231" i="37" s="1"/>
  <c r="I20" i="37"/>
  <c r="J20" i="37" s="1"/>
  <c r="I92" i="37"/>
  <c r="J92" i="37" s="1"/>
  <c r="I172" i="37"/>
  <c r="J172" i="37" s="1"/>
  <c r="I85" i="37"/>
  <c r="J85" i="37" s="1"/>
  <c r="I228" i="37"/>
  <c r="J228" i="37" s="1"/>
  <c r="I229" i="37"/>
  <c r="J229" i="37" s="1"/>
  <c r="I214" i="37"/>
  <c r="J214" i="37" s="1"/>
  <c r="I203" i="37"/>
  <c r="J203" i="37" s="1"/>
  <c r="I136" i="37"/>
  <c r="J136" i="37" s="1"/>
  <c r="I100" i="37"/>
  <c r="J100" i="37" s="1"/>
  <c r="I117" i="37"/>
  <c r="J117" i="37" s="1"/>
  <c r="I236" i="37"/>
  <c r="J236" i="37" s="1"/>
  <c r="I22" i="37"/>
  <c r="J22" i="37" s="1"/>
  <c r="I134" i="37"/>
  <c r="J134" i="37" s="1"/>
  <c r="I237" i="37"/>
  <c r="J237" i="37" s="1"/>
  <c r="I103" i="37"/>
  <c r="J103" i="37" s="1"/>
  <c r="I238" i="37"/>
  <c r="J238" i="37" s="1"/>
  <c r="I131" i="37"/>
  <c r="J131" i="37" s="1"/>
  <c r="I84" i="37"/>
  <c r="J84" i="37" s="1"/>
  <c r="I220" i="37"/>
  <c r="J220" i="37" s="1"/>
  <c r="I308" i="37"/>
  <c r="J308" i="37" s="1"/>
  <c r="I293" i="37"/>
  <c r="J293" i="37" s="1"/>
  <c r="I240" i="37"/>
  <c r="J240" i="37" s="1"/>
  <c r="I202" i="37"/>
  <c r="J202" i="37" s="1"/>
  <c r="I288" i="37"/>
  <c r="J288" i="37" s="1"/>
  <c r="I281" i="37"/>
  <c r="J281" i="37" s="1"/>
  <c r="I164" i="37"/>
  <c r="J164" i="37" s="1"/>
  <c r="I77" i="37"/>
  <c r="J77" i="37" s="1"/>
  <c r="I102" i="37"/>
  <c r="J102" i="37" s="1"/>
  <c r="I199" i="37"/>
  <c r="J199" i="37" s="1"/>
  <c r="I153" i="37"/>
  <c r="J153" i="37" s="1"/>
  <c r="I122" i="37"/>
  <c r="J122" i="37" s="1"/>
  <c r="I48" i="37"/>
  <c r="J48" i="37" s="1"/>
  <c r="I298" i="37"/>
  <c r="J298" i="37" s="1"/>
  <c r="I154" i="37"/>
  <c r="J154" i="37" s="1"/>
  <c r="I233" i="37"/>
  <c r="J233" i="37" s="1"/>
  <c r="I188" i="37"/>
  <c r="J188" i="37" s="1"/>
  <c r="I142" i="37"/>
  <c r="J142" i="37" s="1"/>
  <c r="I253" i="37"/>
  <c r="J253" i="37" s="1"/>
  <c r="I35" i="37"/>
  <c r="J35" i="37" s="1"/>
  <c r="I82" i="37"/>
  <c r="J82" i="37" s="1"/>
  <c r="I52" i="37"/>
  <c r="J52" i="37" s="1"/>
  <c r="I132" i="37"/>
  <c r="J132" i="37" s="1"/>
  <c r="I29" i="37"/>
  <c r="J29" i="37" s="1"/>
  <c r="I189" i="37"/>
  <c r="J189" i="37" s="1"/>
  <c r="I267" i="37"/>
  <c r="J267" i="37" s="1"/>
  <c r="I166" i="37"/>
  <c r="J166" i="37" s="1"/>
  <c r="I268" i="37"/>
  <c r="J268" i="37" s="1"/>
  <c r="I47" i="37"/>
  <c r="J47" i="37" s="1"/>
  <c r="I167" i="37"/>
  <c r="J167" i="37" s="1"/>
  <c r="I269" i="37"/>
  <c r="J269" i="37" s="1"/>
  <c r="I49" i="37"/>
  <c r="J49" i="37" s="1"/>
  <c r="I121" i="37"/>
  <c r="J121" i="37" s="1"/>
  <c r="I201" i="37"/>
  <c r="J201" i="37" s="1"/>
  <c r="I10" i="37"/>
  <c r="J10" i="37" s="1"/>
  <c r="I98" i="37"/>
  <c r="J98" i="37" s="1"/>
  <c r="I170" i="37"/>
  <c r="J170" i="37" s="1"/>
  <c r="I264" i="37"/>
  <c r="J264" i="37" s="1"/>
  <c r="I67" i="37"/>
  <c r="J67" i="37" s="1"/>
  <c r="I155" i="37"/>
  <c r="J155" i="37" s="1"/>
  <c r="I234" i="37"/>
  <c r="J234" i="37" s="1"/>
  <c r="I195" i="37"/>
  <c r="J195" i="37" s="1"/>
  <c r="I311" i="37"/>
  <c r="J311" i="37" s="1"/>
  <c r="I105" i="37"/>
  <c r="J105" i="37" s="1"/>
  <c r="I119" i="37"/>
  <c r="J119" i="37" s="1"/>
  <c r="I133" i="37"/>
  <c r="J133" i="37" s="1"/>
  <c r="I140" i="37"/>
  <c r="J140" i="37" s="1"/>
  <c r="I219" i="37"/>
  <c r="J219" i="37" s="1"/>
  <c r="I53" i="37"/>
  <c r="J53" i="37" s="1"/>
  <c r="I283" i="37"/>
  <c r="J283" i="37" s="1"/>
  <c r="I182" i="37"/>
  <c r="J182" i="37" s="1"/>
  <c r="I276" i="37"/>
  <c r="J276" i="37" s="1"/>
  <c r="I55" i="37"/>
  <c r="J55" i="37" s="1"/>
  <c r="I277" i="37"/>
  <c r="J277" i="37" s="1"/>
  <c r="I57" i="37"/>
  <c r="J57" i="37" s="1"/>
  <c r="I272" i="37"/>
  <c r="J272" i="37" s="1"/>
  <c r="I107" i="37"/>
  <c r="J107" i="37" s="1"/>
  <c r="I76" i="37"/>
  <c r="J76" i="37" s="1"/>
  <c r="I148" i="37"/>
  <c r="J148" i="37" s="1"/>
  <c r="I227" i="37"/>
  <c r="J227" i="37" s="1"/>
  <c r="I61" i="37"/>
  <c r="J61" i="37" s="1"/>
  <c r="I212" i="37"/>
  <c r="J212" i="37" s="1"/>
  <c r="I291" i="37"/>
  <c r="J291" i="37" s="1"/>
  <c r="I206" i="37"/>
  <c r="J206" i="37" s="1"/>
  <c r="I191" i="37"/>
  <c r="J191" i="37" s="1"/>
  <c r="I99" i="37"/>
  <c r="J99" i="37" s="1"/>
  <c r="J7" i="37"/>
  <c r="J5" i="37"/>
  <c r="J192" i="39"/>
  <c r="J104" i="39"/>
  <c r="J302" i="39"/>
  <c r="J239" i="39"/>
  <c r="J162" i="39"/>
  <c r="J213" i="39"/>
  <c r="J112" i="39"/>
  <c r="J124" i="39"/>
  <c r="J87" i="39"/>
  <c r="J22" i="39"/>
  <c r="J264" i="39"/>
  <c r="J292" i="39"/>
  <c r="J298" i="39"/>
  <c r="J154" i="39"/>
  <c r="J184" i="39"/>
  <c r="J55" i="39"/>
  <c r="J135" i="39"/>
  <c r="J285" i="39"/>
  <c r="J151" i="39"/>
  <c r="J41" i="39"/>
  <c r="J266" i="39"/>
  <c r="J271" i="39"/>
  <c r="J209" i="39"/>
  <c r="J140" i="39"/>
  <c r="J91" i="39"/>
  <c r="J59" i="39"/>
  <c r="J303" i="39"/>
  <c r="J279" i="39"/>
  <c r="J246" i="39"/>
  <c r="J200" i="39"/>
  <c r="J143" i="39"/>
  <c r="J179" i="39"/>
  <c r="J272" i="39"/>
  <c r="J35" i="39"/>
  <c r="J258" i="39"/>
  <c r="J193" i="39"/>
  <c r="J217" i="39"/>
  <c r="J191" i="39"/>
  <c r="J170" i="39"/>
  <c r="J27" i="39"/>
  <c r="J116" i="39"/>
  <c r="J10" i="39"/>
  <c r="J306" i="39"/>
  <c r="J227" i="39"/>
  <c r="J67" i="39"/>
  <c r="J6" i="39"/>
  <c r="J250" i="39"/>
  <c r="J185" i="39"/>
  <c r="J206" i="39"/>
  <c r="J169" i="39"/>
  <c r="J144" i="39"/>
  <c r="J75" i="39"/>
  <c r="J43" i="39"/>
  <c r="J20" i="39"/>
  <c r="J106" i="39"/>
  <c r="J310" i="39"/>
  <c r="J304" i="39"/>
  <c r="J178" i="39"/>
  <c r="J136" i="39"/>
  <c r="J39" i="39"/>
  <c r="J13" i="39"/>
  <c r="J80" i="39"/>
  <c r="J315" i="39"/>
  <c r="J299" i="39"/>
  <c r="J269" i="39"/>
  <c r="J307" i="39"/>
  <c r="J265" i="39"/>
  <c r="J276" i="39"/>
  <c r="J235" i="39"/>
  <c r="J211" i="39"/>
  <c r="J237" i="39"/>
  <c r="J194" i="39"/>
  <c r="J205" i="39"/>
  <c r="J148" i="39"/>
  <c r="J259" i="39"/>
  <c r="J189" i="39"/>
  <c r="J190" i="39"/>
  <c r="J176" i="39"/>
  <c r="J188" i="39"/>
  <c r="J128" i="39"/>
  <c r="J82" i="39"/>
  <c r="J92" i="39"/>
  <c r="J108" i="39"/>
  <c r="J44" i="39"/>
  <c r="J117" i="39"/>
  <c r="J47" i="39"/>
  <c r="J9" i="39"/>
  <c r="J17" i="39"/>
  <c r="J5" i="39"/>
  <c r="J295" i="39"/>
  <c r="J175" i="39"/>
  <c r="J115" i="39"/>
  <c r="J103" i="39"/>
  <c r="J86" i="39"/>
  <c r="J84" i="39"/>
  <c r="J37" i="39"/>
  <c r="J113" i="39"/>
  <c r="J31" i="39"/>
  <c r="J51" i="39"/>
  <c r="J311" i="39"/>
  <c r="J198" i="39"/>
  <c r="J202" i="39"/>
  <c r="J171" i="39"/>
  <c r="J132" i="39"/>
  <c r="J102" i="39"/>
  <c r="J72" i="39"/>
  <c r="J314" i="39"/>
  <c r="J288" i="39"/>
  <c r="J289" i="39"/>
  <c r="J249" i="39"/>
  <c r="J231" i="39"/>
  <c r="J242" i="39"/>
  <c r="J186" i="39"/>
  <c r="J224" i="39"/>
  <c r="J166" i="39"/>
  <c r="J174" i="39"/>
  <c r="J197" i="39"/>
  <c r="J130" i="39"/>
  <c r="J161" i="39"/>
  <c r="J100" i="39"/>
  <c r="J26" i="39"/>
  <c r="J63" i="39"/>
  <c r="J24" i="39"/>
  <c r="J294" i="39"/>
  <c r="J241" i="39"/>
  <c r="J172" i="39"/>
  <c r="J182" i="39"/>
  <c r="J159" i="39"/>
  <c r="J95" i="39"/>
  <c r="J291" i="39"/>
  <c r="J274" i="39"/>
  <c r="J280" i="39"/>
  <c r="J278" i="39"/>
  <c r="J267" i="39"/>
  <c r="J230" i="39"/>
  <c r="J228" i="39"/>
  <c r="J201" i="39"/>
  <c r="J164" i="39"/>
  <c r="J180" i="39"/>
  <c r="J107" i="39"/>
  <c r="J120" i="39"/>
  <c r="J97" i="39"/>
  <c r="J119" i="39"/>
  <c r="J68" i="39"/>
  <c r="J46" i="39"/>
  <c r="J12" i="39"/>
  <c r="J287" i="39"/>
  <c r="J168" i="39"/>
  <c r="J123" i="39"/>
  <c r="J273" i="39"/>
  <c r="J255" i="39"/>
  <c r="J254" i="39"/>
  <c r="J131" i="39"/>
  <c r="J101" i="39"/>
  <c r="J118" i="39"/>
  <c r="J74" i="39"/>
  <c r="J40" i="39"/>
  <c r="J38" i="39"/>
  <c r="I4" i="39"/>
  <c r="I3" i="39" s="1" a="1"/>
  <c r="I3" i="39" s="1"/>
  <c r="J251" i="39"/>
  <c r="J152" i="39"/>
  <c r="J127" i="39"/>
  <c r="J33" i="39"/>
  <c r="J18" i="39"/>
  <c r="J28" i="39"/>
  <c r="J14" i="39"/>
  <c r="J282" i="39"/>
  <c r="J263" i="39"/>
  <c r="J253" i="39"/>
  <c r="J225" i="39"/>
  <c r="J283" i="39"/>
  <c r="J221" i="39"/>
  <c r="J220" i="39"/>
  <c r="J156" i="39"/>
  <c r="J167" i="39"/>
  <c r="J146" i="39"/>
  <c r="J139" i="39"/>
  <c r="J150" i="39"/>
  <c r="J160" i="39"/>
  <c r="J111" i="39"/>
  <c r="J109" i="39"/>
  <c r="J110" i="39"/>
  <c r="J71" i="39"/>
  <c r="J76" i="39"/>
  <c r="J36" i="39"/>
  <c r="J64" i="39"/>
  <c r="J29" i="39"/>
  <c r="J290" i="39"/>
  <c r="J138" i="39"/>
  <c r="J23" i="39"/>
  <c r="J99" i="39"/>
  <c r="J270" i="39"/>
  <c r="J262" i="39"/>
  <c r="J247" i="39"/>
  <c r="J212" i="39"/>
  <c r="J219" i="39"/>
  <c r="J158" i="39"/>
  <c r="J149" i="39"/>
  <c r="J90" i="39"/>
  <c r="J88" i="39"/>
  <c r="J93" i="39"/>
  <c r="J52" i="39"/>
  <c r="J83" i="39"/>
  <c r="J8" i="39"/>
  <c r="J55" i="38"/>
  <c r="J29" i="38"/>
  <c r="J316" i="38"/>
  <c r="J250" i="38"/>
  <c r="J186" i="38"/>
  <c r="J120" i="38"/>
  <c r="J310" i="38"/>
  <c r="J13" i="38"/>
  <c r="J288" i="38"/>
  <c r="J312" i="38"/>
  <c r="J285" i="38"/>
  <c r="J226" i="38"/>
  <c r="J175" i="38"/>
  <c r="J92" i="38"/>
  <c r="J9" i="38"/>
  <c r="J90" i="38"/>
  <c r="J21" i="38"/>
  <c r="J19" i="38"/>
  <c r="J176" i="38"/>
  <c r="J206" i="38"/>
  <c r="J119" i="38"/>
  <c r="J298" i="38"/>
  <c r="J243" i="38"/>
  <c r="J111" i="38"/>
  <c r="J23" i="38"/>
  <c r="J302" i="38"/>
  <c r="J280" i="38"/>
  <c r="J284" i="38"/>
  <c r="J201" i="38"/>
  <c r="J174" i="38"/>
  <c r="J68" i="38"/>
  <c r="J37" i="38"/>
  <c r="I5" i="38"/>
  <c r="J88" i="38"/>
  <c r="J39" i="38"/>
  <c r="J14" i="38"/>
  <c r="J45" i="38"/>
  <c r="J286" i="38"/>
  <c r="J123" i="38"/>
  <c r="J83" i="38"/>
  <c r="J307" i="38"/>
  <c r="J278" i="38"/>
  <c r="J314" i="38"/>
  <c r="J300" i="38"/>
  <c r="J218" i="38"/>
  <c r="J185" i="38"/>
  <c r="J155" i="38"/>
  <c r="J96" i="38"/>
  <c r="J157" i="38"/>
  <c r="J80" i="38"/>
  <c r="J72" i="38"/>
  <c r="J66" i="38"/>
  <c r="J51" i="38"/>
  <c r="J258" i="38"/>
  <c r="J246" i="38"/>
  <c r="J270" i="38"/>
  <c r="J164" i="38"/>
  <c r="J103" i="38"/>
  <c r="J299" i="38"/>
  <c r="J306" i="38"/>
  <c r="J269" i="38"/>
  <c r="J263" i="38"/>
  <c r="J230" i="38"/>
  <c r="J277" i="38"/>
  <c r="J238" i="38"/>
  <c r="J149" i="38"/>
  <c r="J146" i="38"/>
  <c r="J61" i="38"/>
  <c r="J84" i="38"/>
  <c r="J166" i="38"/>
  <c r="J18" i="38"/>
  <c r="J63" i="38"/>
  <c r="J177" i="38"/>
  <c r="J127" i="38"/>
  <c r="J311" i="38"/>
  <c r="J49" i="38"/>
  <c r="J7" i="38"/>
  <c r="J304" i="38"/>
  <c r="J225" i="38"/>
  <c r="J188" i="38"/>
  <c r="J100" i="38"/>
  <c r="J50" i="38"/>
  <c r="J303" i="38"/>
  <c r="J254" i="38"/>
  <c r="J213" i="38"/>
  <c r="J198" i="38"/>
  <c r="J199" i="38"/>
  <c r="J25" i="38"/>
  <c r="J42" i="38"/>
  <c r="J58" i="38"/>
  <c r="J26" i="38"/>
  <c r="J262" i="38"/>
  <c r="J192" i="38"/>
  <c r="J193" i="38"/>
  <c r="J197" i="38"/>
  <c r="J115" i="38"/>
  <c r="J180" i="38"/>
  <c r="J131" i="38"/>
  <c r="J211" i="38"/>
  <c r="J143" i="38"/>
  <c r="J147" i="38"/>
  <c r="J107" i="38"/>
  <c r="J53" i="38"/>
  <c r="J109" i="38"/>
  <c r="J57" i="38"/>
  <c r="J31" i="38"/>
  <c r="J128" i="38"/>
  <c r="J6" i="38"/>
  <c r="J22" i="38"/>
  <c r="J30" i="38"/>
  <c r="J113" i="38"/>
  <c r="J10" i="38"/>
  <c r="J70" i="38"/>
  <c r="J62" i="38"/>
  <c r="J77" i="38"/>
  <c r="J54" i="38"/>
  <c r="J249" i="38"/>
  <c r="J214" i="38"/>
  <c r="J253" i="38"/>
  <c r="J229" i="38"/>
  <c r="J168" i="38"/>
  <c r="J124" i="38"/>
  <c r="J142" i="38"/>
  <c r="J136" i="38"/>
  <c r="J98" i="38"/>
  <c r="J15" i="38"/>
  <c r="J27" i="38"/>
  <c r="J290" i="38"/>
  <c r="J252" i="38"/>
  <c r="J172" i="38"/>
  <c r="J116" i="38"/>
  <c r="J140" i="38"/>
  <c r="J102" i="38"/>
  <c r="J82" i="38"/>
  <c r="J47" i="38"/>
  <c r="J65" i="38"/>
  <c r="J59" i="38"/>
  <c r="J41" i="38"/>
  <c r="J33" i="38"/>
  <c r="J292" i="38"/>
  <c r="J223" i="38"/>
  <c r="J291" i="38"/>
  <c r="J296" i="38"/>
  <c r="J272" i="38"/>
  <c r="J221" i="38"/>
  <c r="J273" i="38"/>
  <c r="J162" i="38"/>
  <c r="J158" i="38"/>
  <c r="J159" i="38"/>
  <c r="J130" i="38"/>
  <c r="J315" i="38"/>
  <c r="J294" i="38"/>
  <c r="J308" i="38"/>
  <c r="J289" i="38"/>
  <c r="J260" i="38"/>
  <c r="J242" i="38"/>
  <c r="J222" i="38"/>
  <c r="J295" i="38"/>
  <c r="J231" i="38"/>
  <c r="J207" i="38"/>
  <c r="J203" i="38"/>
  <c r="J154" i="38"/>
  <c r="J99" i="38"/>
  <c r="J151" i="38"/>
  <c r="J139" i="38"/>
  <c r="J76" i="38"/>
  <c r="J135" i="38"/>
  <c r="J11" i="38"/>
  <c r="J132" i="38"/>
  <c r="J38" i="38"/>
  <c r="J287" i="38"/>
  <c r="J276" i="38"/>
  <c r="J256" i="38"/>
  <c r="J210" i="38"/>
  <c r="J234" i="38"/>
  <c r="J212" i="38"/>
  <c r="J248" i="38"/>
  <c r="J196" i="38"/>
  <c r="J167" i="38"/>
  <c r="J265" i="38"/>
  <c r="J184" i="38"/>
  <c r="J144" i="38"/>
  <c r="J181" i="38"/>
  <c r="J95" i="38"/>
  <c r="J126" i="38"/>
  <c r="J118" i="38"/>
  <c r="J46" i="38"/>
  <c r="J17" i="38"/>
  <c r="J35" i="38"/>
  <c r="J34" i="38"/>
  <c r="J71" i="38"/>
  <c r="J282" i="38"/>
  <c r="J209" i="38"/>
  <c r="J150" i="38"/>
  <c r="J179" i="38"/>
  <c r="J170" i="38"/>
  <c r="J91" i="38"/>
  <c r="J43" i="38"/>
  <c r="J306" i="37"/>
  <c r="J274" i="37"/>
  <c r="J196" i="37"/>
  <c r="J314" i="37"/>
  <c r="J303" i="37"/>
  <c r="J310" i="37"/>
  <c r="J316" i="37"/>
  <c r="J275" i="37"/>
  <c r="J27" i="37"/>
  <c r="J312" i="37"/>
  <c r="J296" i="37"/>
  <c r="J116" i="37"/>
  <c r="J299" i="37"/>
  <c r="J174" i="37"/>
  <c r="J171" i="37"/>
  <c r="J289" i="37"/>
  <c r="J241" i="37"/>
  <c r="J211" i="37"/>
  <c r="J163" i="37"/>
  <c r="J83" i="37"/>
  <c r="J260" i="37"/>
  <c r="J235" i="37"/>
  <c r="J218" i="37"/>
  <c r="J217" i="37"/>
  <c r="J149" i="37"/>
  <c r="J123" i="37"/>
  <c r="J145" i="37"/>
  <c r="J111" i="37"/>
  <c r="J118" i="37"/>
  <c r="J194" i="37"/>
  <c r="J34" i="37"/>
  <c r="J43" i="37"/>
  <c r="J14" i="37"/>
  <c r="J31" i="37"/>
  <c r="J180" i="37"/>
  <c r="J239" i="37"/>
  <c r="J143" i="37"/>
  <c r="J302" i="37"/>
  <c r="J250" i="37"/>
  <c r="J270" i="37"/>
  <c r="J222" i="37"/>
  <c r="J216" i="37"/>
  <c r="J187" i="37"/>
  <c r="J113" i="37"/>
  <c r="J106" i="37"/>
  <c r="J120" i="37"/>
  <c r="J72" i="37"/>
  <c r="J41" i="37"/>
  <c r="J287" i="37"/>
  <c r="J285" i="37"/>
  <c r="J245" i="37"/>
  <c r="J247" i="37"/>
  <c r="J190" i="37"/>
  <c r="J184" i="37"/>
  <c r="J223" i="37"/>
  <c r="J97" i="37"/>
  <c r="J137" i="37"/>
  <c r="J40" i="37"/>
  <c r="J38" i="37"/>
  <c r="J304" i="37"/>
  <c r="J294" i="37"/>
  <c r="J130" i="37"/>
  <c r="J127" i="37"/>
  <c r="J18" i="37"/>
  <c r="J295" i="37"/>
  <c r="J205" i="37"/>
  <c r="J175" i="37"/>
  <c r="J209" i="37"/>
  <c r="J178" i="37"/>
  <c r="J95" i="37"/>
  <c r="J65" i="37"/>
  <c r="J315" i="37"/>
  <c r="J292" i="37"/>
  <c r="J282" i="37"/>
  <c r="J271" i="37"/>
  <c r="J232" i="37"/>
  <c r="J198" i="37"/>
  <c r="J141" i="37"/>
  <c r="J94" i="37"/>
  <c r="I6" i="37"/>
  <c r="J39" i="37"/>
  <c r="J44" i="37"/>
  <c r="J243" i="37"/>
  <c r="J266" i="37"/>
  <c r="J230" i="37"/>
  <c r="J146" i="37"/>
  <c r="J109" i="37"/>
  <c r="J33" i="37"/>
  <c r="J93" i="37"/>
  <c r="J278" i="37"/>
  <c r="J186" i="37"/>
  <c r="J221" i="37"/>
  <c r="J183" i="37"/>
  <c r="J139" i="37"/>
  <c r="J207" i="37"/>
  <c r="J138" i="37"/>
  <c r="J125" i="37"/>
  <c r="J58" i="37"/>
  <c r="J46" i="37"/>
  <c r="J51" i="37"/>
  <c r="J192" i="37"/>
  <c r="J176" i="37"/>
  <c r="J115" i="37"/>
  <c r="J114" i="37"/>
  <c r="J129" i="37"/>
  <c r="J88" i="37"/>
  <c r="J90" i="37"/>
  <c r="J54" i="37"/>
  <c r="J69" i="37"/>
  <c r="J17" i="37"/>
  <c r="J226" i="37"/>
  <c r="J158" i="37"/>
  <c r="J101" i="37"/>
  <c r="J110" i="37"/>
  <c r="J81" i="37"/>
  <c r="J36" i="37"/>
  <c r="J26" i="37"/>
  <c r="J21" i="37"/>
  <c r="J159" i="37"/>
  <c r="J225" i="37"/>
  <c r="J200" i="37"/>
  <c r="J162" i="37"/>
  <c r="J185" i="37"/>
  <c r="J124" i="37"/>
  <c r="J45" i="37"/>
  <c r="J96" i="37"/>
  <c r="J30" i="37"/>
  <c r="J78" i="37"/>
  <c r="J231" i="36"/>
  <c r="J163" i="36"/>
  <c r="J96" i="36"/>
  <c r="J97" i="36"/>
  <c r="J45" i="36"/>
  <c r="J54" i="36"/>
  <c r="J74" i="36"/>
  <c r="J316" i="36"/>
  <c r="J183" i="36"/>
  <c r="J225" i="36"/>
  <c r="J164" i="36"/>
  <c r="J146" i="36"/>
  <c r="J126" i="36"/>
  <c r="J92" i="36"/>
  <c r="J114" i="36"/>
  <c r="J31" i="36"/>
  <c r="J41" i="36"/>
  <c r="J312" i="36"/>
  <c r="J264" i="36"/>
  <c r="J179" i="36"/>
  <c r="J208" i="36"/>
  <c r="J144" i="36"/>
  <c r="J125" i="36"/>
  <c r="J129" i="36"/>
  <c r="J76" i="36"/>
  <c r="J308" i="36"/>
  <c r="J293" i="36"/>
  <c r="J220" i="36"/>
  <c r="J149" i="36"/>
  <c r="J165" i="36"/>
  <c r="J78" i="36"/>
  <c r="J85" i="36"/>
  <c r="J160" i="36"/>
  <c r="J61" i="36"/>
  <c r="J286" i="36"/>
  <c r="J247" i="36"/>
  <c r="J243" i="36"/>
  <c r="J191" i="36"/>
  <c r="J171" i="36"/>
  <c r="J192" i="36"/>
  <c r="J142" i="36"/>
  <c r="J60" i="36"/>
  <c r="J66" i="36"/>
  <c r="J68" i="36"/>
  <c r="J107" i="36"/>
  <c r="J20" i="36"/>
  <c r="J257" i="36"/>
  <c r="J281" i="36"/>
  <c r="J117" i="36"/>
  <c r="J56" i="36"/>
  <c r="J16" i="36"/>
  <c r="J37" i="36"/>
  <c r="J313" i="36"/>
  <c r="J301" i="36"/>
  <c r="J248" i="36"/>
  <c r="J162" i="36"/>
  <c r="J173" i="36"/>
  <c r="J196" i="36"/>
  <c r="J153" i="36"/>
  <c r="J52" i="36"/>
  <c r="J101" i="36"/>
  <c r="J12" i="36"/>
  <c r="J213" i="36"/>
  <c r="J274" i="36"/>
  <c r="J290" i="36"/>
  <c r="J275" i="36"/>
  <c r="J277" i="36"/>
  <c r="J239" i="36"/>
  <c r="J244" i="36"/>
  <c r="J227" i="36"/>
  <c r="J180" i="36"/>
  <c r="J135" i="36"/>
  <c r="J128" i="36"/>
  <c r="J48" i="36"/>
  <c r="J49" i="36"/>
  <c r="J288" i="36"/>
  <c r="J267" i="36"/>
  <c r="J251" i="36"/>
  <c r="J108" i="36"/>
  <c r="J112" i="36"/>
  <c r="J65" i="36"/>
  <c r="J307" i="36"/>
  <c r="J202" i="36"/>
  <c r="J152" i="36"/>
  <c r="J140" i="36"/>
  <c r="J87" i="36"/>
  <c r="J46" i="36"/>
  <c r="J33" i="36"/>
  <c r="J19" i="36"/>
  <c r="I4" i="36"/>
  <c r="I3" i="36" s="1" a="1"/>
  <c r="I3" i="36" s="1"/>
  <c r="J178" i="36"/>
  <c r="J161" i="36"/>
  <c r="J122" i="36"/>
  <c r="J28" i="36"/>
  <c r="J8" i="36"/>
  <c r="J40" i="36"/>
  <c r="J304" i="36"/>
  <c r="J283" i="36"/>
  <c r="J273" i="36"/>
  <c r="J266" i="36"/>
  <c r="J234" i="36"/>
  <c r="J215" i="36"/>
  <c r="J200" i="36"/>
  <c r="J206" i="36"/>
  <c r="J204" i="36"/>
  <c r="J211" i="36"/>
  <c r="J156" i="36"/>
  <c r="J157" i="36"/>
  <c r="J139" i="36"/>
  <c r="J98" i="36"/>
  <c r="J53" i="36"/>
  <c r="J24" i="36"/>
  <c r="J285" i="36"/>
  <c r="J253" i="36"/>
  <c r="J235" i="36"/>
  <c r="J167" i="36"/>
  <c r="J175" i="36"/>
  <c r="J187" i="36"/>
  <c r="J137" i="36"/>
  <c r="J151" i="36"/>
  <c r="J130" i="36"/>
  <c r="J150" i="36"/>
  <c r="J132" i="36"/>
  <c r="J100" i="36"/>
  <c r="J88" i="36"/>
  <c r="J32" i="36"/>
  <c r="J50" i="36"/>
  <c r="J36" i="36"/>
  <c r="J39" i="36"/>
  <c r="J305" i="36"/>
  <c r="J280" i="36"/>
  <c r="J276" i="36"/>
  <c r="J242" i="36"/>
  <c r="J207" i="36"/>
  <c r="J212" i="36"/>
  <c r="J104" i="36"/>
  <c r="J268" i="36"/>
  <c r="J121" i="36"/>
  <c r="J80" i="36"/>
  <c r="J57" i="36"/>
  <c r="J291" i="36"/>
  <c r="J226" i="36"/>
  <c r="J219" i="36"/>
  <c r="J218" i="36"/>
  <c r="J145" i="36"/>
  <c r="J190" i="36"/>
  <c r="J124" i="36"/>
  <c r="J127" i="36"/>
  <c r="J94" i="36"/>
  <c r="J82" i="36"/>
  <c r="J133" i="36"/>
  <c r="J86" i="36"/>
  <c r="J38" i="36"/>
  <c r="J279" i="36"/>
  <c r="J289" i="36"/>
  <c r="J217" i="36"/>
  <c r="J62" i="36"/>
  <c r="J270" i="36"/>
  <c r="J195" i="36"/>
  <c r="J184" i="36"/>
  <c r="J199" i="36"/>
  <c r="J224" i="36"/>
  <c r="J120" i="36"/>
  <c r="J123" i="36"/>
  <c r="J131" i="36"/>
  <c r="J72" i="36"/>
  <c r="J93" i="36"/>
  <c r="J296" i="36"/>
  <c r="J292" i="36"/>
  <c r="J113" i="36"/>
  <c r="J102" i="36"/>
  <c r="J105" i="36"/>
  <c r="J63" i="36"/>
  <c r="J110" i="36"/>
  <c r="J58" i="36"/>
  <c r="J30" i="36"/>
  <c r="J272" i="36"/>
  <c r="J309" i="36"/>
  <c r="J284" i="36"/>
  <c r="J261" i="36"/>
  <c r="J223" i="36"/>
  <c r="J166" i="36"/>
  <c r="J297" i="36"/>
  <c r="J271" i="36"/>
  <c r="J255" i="36"/>
  <c r="J252" i="36"/>
  <c r="J188" i="36"/>
  <c r="J176" i="36"/>
  <c r="J141" i="36"/>
  <c r="J172" i="36"/>
  <c r="J143" i="36"/>
  <c r="J134" i="36"/>
  <c r="J84" i="36"/>
  <c r="J116" i="36"/>
  <c r="J91" i="36"/>
  <c r="J119" i="36"/>
  <c r="J103" i="36"/>
  <c r="J81" i="36"/>
  <c r="J29" i="36"/>
  <c r="J95" i="36"/>
  <c r="J70" i="36"/>
  <c r="J44" i="36"/>
  <c r="J4" i="37" l="1"/>
  <c r="I3" i="37" a="1"/>
  <c r="I3" i="37" s="1"/>
  <c r="J4" i="38"/>
  <c r="I3" i="38" a="1"/>
  <c r="I3" i="38" s="1"/>
  <c r="J4" i="39"/>
  <c r="J3" i="39" s="1" a="1"/>
  <c r="J3" i="39" s="1"/>
  <c r="J5" i="38"/>
  <c r="J6" i="37"/>
  <c r="J4" i="36"/>
  <c r="J3" i="36" s="1" a="1"/>
  <c r="J3" i="36" s="1"/>
  <c r="K317" i="36" l="1"/>
  <c r="L317" i="36" s="1"/>
  <c r="M317" i="36" s="1"/>
  <c r="N317" i="36" s="1"/>
  <c r="K318" i="36"/>
  <c r="L318" i="36" s="1"/>
  <c r="M318" i="36" s="1"/>
  <c r="N318" i="36" s="1"/>
  <c r="K317" i="39"/>
  <c r="L317" i="39" s="1"/>
  <c r="M317" i="39" s="1"/>
  <c r="N317" i="39" s="1"/>
  <c r="K318" i="39"/>
  <c r="L318" i="39" s="1"/>
  <c r="M318" i="39" s="1"/>
  <c r="N318" i="39" s="1"/>
  <c r="J3" i="38" a="1"/>
  <c r="J3" i="38" s="1"/>
  <c r="K271" i="38" s="1"/>
  <c r="L271" i="38" s="1"/>
  <c r="M271" i="38" s="1"/>
  <c r="J3" i="37" a="1"/>
  <c r="J3" i="37" s="1"/>
  <c r="K7" i="38" l="1"/>
  <c r="L7" i="38" s="1"/>
  <c r="M7" i="38" s="1"/>
  <c r="N7" i="38" s="1"/>
  <c r="K205" i="38"/>
  <c r="L205" i="38" s="1"/>
  <c r="M205" i="38" s="1"/>
  <c r="N205" i="38" s="1"/>
  <c r="K50" i="38"/>
  <c r="L50" i="38" s="1"/>
  <c r="M50" i="38" s="1"/>
  <c r="N50" i="38" s="1"/>
  <c r="K46" i="38"/>
  <c r="L46" i="38" s="1"/>
  <c r="M46" i="38" s="1"/>
  <c r="N46" i="38" s="1"/>
  <c r="K187" i="38"/>
  <c r="L187" i="38" s="1"/>
  <c r="M187" i="38" s="1"/>
  <c r="N187" i="38" s="1"/>
  <c r="K11" i="38"/>
  <c r="L11" i="38" s="1"/>
  <c r="M11" i="38" s="1"/>
  <c r="N11" i="38" s="1"/>
  <c r="K188" i="38"/>
  <c r="L188" i="38" s="1"/>
  <c r="M188" i="38" s="1"/>
  <c r="N188" i="38" s="1"/>
  <c r="K303" i="38"/>
  <c r="L303" i="38" s="1"/>
  <c r="M303" i="38" s="1"/>
  <c r="N303" i="38" s="1"/>
  <c r="K277" i="38"/>
  <c r="L277" i="38" s="1"/>
  <c r="M277" i="38" s="1"/>
  <c r="N277" i="38" s="1"/>
  <c r="K229" i="38"/>
  <c r="L229" i="38" s="1"/>
  <c r="M229" i="38" s="1"/>
  <c r="N229" i="38" s="1"/>
  <c r="K286" i="38"/>
  <c r="L286" i="38" s="1"/>
  <c r="M286" i="38" s="1"/>
  <c r="N286" i="38" s="1"/>
  <c r="K256" i="38"/>
  <c r="L256" i="38" s="1"/>
  <c r="M256" i="38" s="1"/>
  <c r="N256" i="38" s="1"/>
  <c r="K22" i="38"/>
  <c r="L22" i="38" s="1"/>
  <c r="M22" i="38" s="1"/>
  <c r="N22" i="38" s="1"/>
  <c r="K294" i="38"/>
  <c r="L294" i="38" s="1"/>
  <c r="M294" i="38" s="1"/>
  <c r="N294" i="38" s="1"/>
  <c r="K9" i="38"/>
  <c r="L9" i="38" s="1"/>
  <c r="M9" i="38" s="1"/>
  <c r="N9" i="38" s="1"/>
  <c r="K165" i="38"/>
  <c r="L165" i="38" s="1"/>
  <c r="M165" i="38" s="1"/>
  <c r="N165" i="38" s="1"/>
  <c r="K16" i="38"/>
  <c r="L16" i="38" s="1"/>
  <c r="M16" i="38" s="1"/>
  <c r="N16" i="38" s="1"/>
  <c r="K108" i="38"/>
  <c r="L108" i="38" s="1"/>
  <c r="M108" i="38" s="1"/>
  <c r="N108" i="38" s="1"/>
  <c r="K32" i="38"/>
  <c r="L32" i="38" s="1"/>
  <c r="M32" i="38" s="1"/>
  <c r="N32" i="38" s="1"/>
  <c r="K283" i="38"/>
  <c r="L283" i="38" s="1"/>
  <c r="M283" i="38" s="1"/>
  <c r="N283" i="38" s="1"/>
  <c r="K274" i="38"/>
  <c r="L274" i="38" s="1"/>
  <c r="M274" i="38" s="1"/>
  <c r="N274" i="38" s="1"/>
  <c r="K178" i="38"/>
  <c r="L178" i="38" s="1"/>
  <c r="M178" i="38" s="1"/>
  <c r="N178" i="38" s="1"/>
  <c r="K194" i="38"/>
  <c r="L194" i="38" s="1"/>
  <c r="M194" i="38" s="1"/>
  <c r="N194" i="38" s="1"/>
  <c r="K297" i="38"/>
  <c r="L297" i="38" s="1"/>
  <c r="M297" i="38" s="1"/>
  <c r="N297" i="38" s="1"/>
  <c r="K156" i="38"/>
  <c r="L156" i="38" s="1"/>
  <c r="M156" i="38" s="1"/>
  <c r="N156" i="38" s="1"/>
  <c r="K298" i="38"/>
  <c r="L298" i="38" s="1"/>
  <c r="M298" i="38" s="1"/>
  <c r="N298" i="38" s="1"/>
  <c r="K203" i="38"/>
  <c r="L203" i="38" s="1"/>
  <c r="M203" i="38" s="1"/>
  <c r="N203" i="38" s="1"/>
  <c r="K170" i="38"/>
  <c r="L170" i="38" s="1"/>
  <c r="M170" i="38" s="1"/>
  <c r="N170" i="38" s="1"/>
  <c r="K17" i="38"/>
  <c r="L17" i="38" s="1"/>
  <c r="M17" i="38" s="1"/>
  <c r="N17" i="38" s="1"/>
  <c r="K36" i="38"/>
  <c r="L36" i="38" s="1"/>
  <c r="M36" i="38" s="1"/>
  <c r="N36" i="38" s="1"/>
  <c r="K197" i="38"/>
  <c r="L197" i="38" s="1"/>
  <c r="M197" i="38" s="1"/>
  <c r="N197" i="38" s="1"/>
  <c r="K83" i="38"/>
  <c r="L83" i="38" s="1"/>
  <c r="M83" i="38" s="1"/>
  <c r="N83" i="38" s="1"/>
  <c r="K164" i="38"/>
  <c r="L164" i="38" s="1"/>
  <c r="M164" i="38" s="1"/>
  <c r="N164" i="38" s="1"/>
  <c r="K248" i="38"/>
  <c r="L248" i="38" s="1"/>
  <c r="M248" i="38" s="1"/>
  <c r="N248" i="38" s="1"/>
  <c r="K167" i="38"/>
  <c r="L167" i="38" s="1"/>
  <c r="M167" i="38" s="1"/>
  <c r="N167" i="38" s="1"/>
  <c r="K253" i="38"/>
  <c r="L253" i="38" s="1"/>
  <c r="M253" i="38" s="1"/>
  <c r="N253" i="38" s="1"/>
  <c r="K213" i="38"/>
  <c r="L213" i="38" s="1"/>
  <c r="M213" i="38" s="1"/>
  <c r="N213" i="38" s="1"/>
  <c r="K149" i="38"/>
  <c r="L149" i="38" s="1"/>
  <c r="M149" i="38" s="1"/>
  <c r="N149" i="38" s="1"/>
  <c r="K257" i="38"/>
  <c r="L257" i="38" s="1"/>
  <c r="M257" i="38" s="1"/>
  <c r="N257" i="38" s="1"/>
  <c r="K313" i="38"/>
  <c r="L313" i="38" s="1"/>
  <c r="M313" i="38" s="1"/>
  <c r="N313" i="38" s="1"/>
  <c r="K281" i="38"/>
  <c r="L281" i="38" s="1"/>
  <c r="M281" i="38" s="1"/>
  <c r="N281" i="38" s="1"/>
  <c r="K289" i="38"/>
  <c r="L289" i="38" s="1"/>
  <c r="M289" i="38" s="1"/>
  <c r="N289" i="38" s="1"/>
  <c r="K88" i="38"/>
  <c r="L88" i="38" s="1"/>
  <c r="M88" i="38" s="1"/>
  <c r="N88" i="38" s="1"/>
  <c r="K310" i="38"/>
  <c r="L310" i="38" s="1"/>
  <c r="M310" i="38" s="1"/>
  <c r="N310" i="38" s="1"/>
  <c r="K142" i="38"/>
  <c r="L142" i="38" s="1"/>
  <c r="M142" i="38" s="1"/>
  <c r="N142" i="38" s="1"/>
  <c r="K103" i="38"/>
  <c r="L103" i="38" s="1"/>
  <c r="M103" i="38" s="1"/>
  <c r="N103" i="38" s="1"/>
  <c r="K154" i="38"/>
  <c r="L154" i="38" s="1"/>
  <c r="M154" i="38" s="1"/>
  <c r="N154" i="38" s="1"/>
  <c r="K51" i="38"/>
  <c r="L51" i="38" s="1"/>
  <c r="M51" i="38" s="1"/>
  <c r="N51" i="38" s="1"/>
  <c r="K146" i="38"/>
  <c r="L146" i="38" s="1"/>
  <c r="M146" i="38" s="1"/>
  <c r="N146" i="38" s="1"/>
  <c r="K53" i="38"/>
  <c r="L53" i="38" s="1"/>
  <c r="M53" i="38" s="1"/>
  <c r="N53" i="38" s="1"/>
  <c r="K63" i="38"/>
  <c r="L63" i="38" s="1"/>
  <c r="M63" i="38" s="1"/>
  <c r="N63" i="38" s="1"/>
  <c r="K128" i="38"/>
  <c r="L128" i="38" s="1"/>
  <c r="M128" i="38" s="1"/>
  <c r="N128" i="38" s="1"/>
  <c r="K30" i="38"/>
  <c r="L30" i="38" s="1"/>
  <c r="M30" i="38" s="1"/>
  <c r="N30" i="38" s="1"/>
  <c r="K107" i="38"/>
  <c r="L107" i="38" s="1"/>
  <c r="M107" i="38" s="1"/>
  <c r="N107" i="38" s="1"/>
  <c r="K115" i="38"/>
  <c r="L115" i="38" s="1"/>
  <c r="M115" i="38" s="1"/>
  <c r="N115" i="38" s="1"/>
  <c r="K198" i="38"/>
  <c r="L198" i="38" s="1"/>
  <c r="M198" i="38" s="1"/>
  <c r="N198" i="38" s="1"/>
  <c r="K312" i="38"/>
  <c r="L312" i="38" s="1"/>
  <c r="M312" i="38" s="1"/>
  <c r="N312" i="38" s="1"/>
  <c r="K308" i="38"/>
  <c r="L308" i="38" s="1"/>
  <c r="M308" i="38" s="1"/>
  <c r="N308" i="38" s="1"/>
  <c r="K29" i="38"/>
  <c r="L29" i="38" s="1"/>
  <c r="M29" i="38" s="1"/>
  <c r="N29" i="38" s="1"/>
  <c r="K180" i="38"/>
  <c r="L180" i="38" s="1"/>
  <c r="M180" i="38" s="1"/>
  <c r="N180" i="38" s="1"/>
  <c r="K169" i="38"/>
  <c r="L169" i="38" s="1"/>
  <c r="M169" i="38" s="1"/>
  <c r="N169" i="38" s="1"/>
  <c r="K190" i="38"/>
  <c r="L190" i="38" s="1"/>
  <c r="M190" i="38" s="1"/>
  <c r="N190" i="38" s="1"/>
  <c r="K56" i="38"/>
  <c r="L56" i="38" s="1"/>
  <c r="M56" i="38" s="1"/>
  <c r="N56" i="38" s="1"/>
  <c r="K79" i="38"/>
  <c r="L79" i="38" s="1"/>
  <c r="M79" i="38" s="1"/>
  <c r="N79" i="38" s="1"/>
  <c r="K73" i="38"/>
  <c r="L73" i="38" s="1"/>
  <c r="M73" i="38" s="1"/>
  <c r="N73" i="38" s="1"/>
  <c r="K183" i="38"/>
  <c r="L183" i="38" s="1"/>
  <c r="M183" i="38" s="1"/>
  <c r="N183" i="38" s="1"/>
  <c r="K85" i="38"/>
  <c r="L85" i="38" s="1"/>
  <c r="M85" i="38" s="1"/>
  <c r="N85" i="38" s="1"/>
  <c r="K237" i="38"/>
  <c r="L237" i="38" s="1"/>
  <c r="M237" i="38" s="1"/>
  <c r="N237" i="38" s="1"/>
  <c r="K245" i="38"/>
  <c r="L245" i="38" s="1"/>
  <c r="M245" i="38" s="1"/>
  <c r="N245" i="38" s="1"/>
  <c r="K132" i="38"/>
  <c r="L132" i="38" s="1"/>
  <c r="M132" i="38" s="1"/>
  <c r="N132" i="38" s="1"/>
  <c r="K109" i="38"/>
  <c r="L109" i="38" s="1"/>
  <c r="M109" i="38" s="1"/>
  <c r="N109" i="38" s="1"/>
  <c r="K251" i="38"/>
  <c r="L251" i="38" s="1"/>
  <c r="M251" i="38" s="1"/>
  <c r="N251" i="38" s="1"/>
  <c r="K299" i="38"/>
  <c r="L299" i="38" s="1"/>
  <c r="M299" i="38" s="1"/>
  <c r="N299" i="38" s="1"/>
  <c r="K166" i="38"/>
  <c r="L166" i="38" s="1"/>
  <c r="M166" i="38" s="1"/>
  <c r="N166" i="38" s="1"/>
  <c r="K124" i="38"/>
  <c r="L124" i="38" s="1"/>
  <c r="M124" i="38" s="1"/>
  <c r="N124" i="38" s="1"/>
  <c r="K68" i="38"/>
  <c r="L68" i="38" s="1"/>
  <c r="M68" i="38" s="1"/>
  <c r="N68" i="38" s="1"/>
  <c r="K258" i="38"/>
  <c r="L258" i="38" s="1"/>
  <c r="M258" i="38" s="1"/>
  <c r="N258" i="38" s="1"/>
  <c r="K241" i="38"/>
  <c r="L241" i="38" s="1"/>
  <c r="M241" i="38" s="1"/>
  <c r="N241" i="38" s="1"/>
  <c r="K145" i="38"/>
  <c r="L145" i="38" s="1"/>
  <c r="M145" i="38" s="1"/>
  <c r="N145" i="38" s="1"/>
  <c r="K226" i="38"/>
  <c r="L226" i="38" s="1"/>
  <c r="M226" i="38" s="1"/>
  <c r="N226" i="38" s="1"/>
  <c r="K72" i="38"/>
  <c r="L72" i="38" s="1"/>
  <c r="M72" i="38" s="1"/>
  <c r="N72" i="38" s="1"/>
  <c r="K223" i="38"/>
  <c r="L223" i="38" s="1"/>
  <c r="M223" i="38" s="1"/>
  <c r="N223" i="38" s="1"/>
  <c r="K47" i="38"/>
  <c r="L47" i="38" s="1"/>
  <c r="M47" i="38" s="1"/>
  <c r="N47" i="38" s="1"/>
  <c r="K269" i="38"/>
  <c r="L269" i="38" s="1"/>
  <c r="M269" i="38" s="1"/>
  <c r="N269" i="38" s="1"/>
  <c r="K295" i="38"/>
  <c r="L295" i="38" s="1"/>
  <c r="M295" i="38" s="1"/>
  <c r="N295" i="38" s="1"/>
  <c r="K175" i="38"/>
  <c r="L175" i="38" s="1"/>
  <c r="M175" i="38" s="1"/>
  <c r="N175" i="38" s="1"/>
  <c r="K82" i="38"/>
  <c r="L82" i="38" s="1"/>
  <c r="M82" i="38" s="1"/>
  <c r="N82" i="38" s="1"/>
  <c r="K144" i="38"/>
  <c r="L144" i="38" s="1"/>
  <c r="M144" i="38" s="1"/>
  <c r="N144" i="38" s="1"/>
  <c r="K242" i="38"/>
  <c r="L242" i="38" s="1"/>
  <c r="M242" i="38" s="1"/>
  <c r="N242" i="38" s="1"/>
  <c r="K139" i="38"/>
  <c r="L139" i="38" s="1"/>
  <c r="M139" i="38" s="1"/>
  <c r="N139" i="38" s="1"/>
  <c r="K111" i="38"/>
  <c r="L111" i="38" s="1"/>
  <c r="M111" i="38" s="1"/>
  <c r="N111" i="38" s="1"/>
  <c r="K31" i="38"/>
  <c r="L31" i="38" s="1"/>
  <c r="M31" i="38" s="1"/>
  <c r="N31" i="38" s="1"/>
  <c r="K263" i="38"/>
  <c r="L263" i="38" s="1"/>
  <c r="M263" i="38" s="1"/>
  <c r="N263" i="38" s="1"/>
  <c r="K249" i="38"/>
  <c r="L249" i="38" s="1"/>
  <c r="M249" i="38" s="1"/>
  <c r="N249" i="38" s="1"/>
  <c r="K285" i="38"/>
  <c r="L285" i="38" s="1"/>
  <c r="M285" i="38" s="1"/>
  <c r="N285" i="38" s="1"/>
  <c r="K89" i="38"/>
  <c r="L89" i="38" s="1"/>
  <c r="M89" i="38" s="1"/>
  <c r="N89" i="38" s="1"/>
  <c r="K163" i="38"/>
  <c r="L163" i="38" s="1"/>
  <c r="M163" i="38" s="1"/>
  <c r="N163" i="38" s="1"/>
  <c r="K227" i="38"/>
  <c r="L227" i="38" s="1"/>
  <c r="M227" i="38" s="1"/>
  <c r="N227" i="38" s="1"/>
  <c r="K239" i="38"/>
  <c r="L239" i="38" s="1"/>
  <c r="M239" i="38" s="1"/>
  <c r="N239" i="38" s="1"/>
  <c r="K240" i="38"/>
  <c r="L240" i="38" s="1"/>
  <c r="M240" i="38" s="1"/>
  <c r="N240" i="38" s="1"/>
  <c r="K200" i="38"/>
  <c r="L200" i="38" s="1"/>
  <c r="M200" i="38" s="1"/>
  <c r="N200" i="38" s="1"/>
  <c r="K104" i="38"/>
  <c r="L104" i="38" s="1"/>
  <c r="M104" i="38" s="1"/>
  <c r="N104" i="38" s="1"/>
  <c r="K305" i="38"/>
  <c r="L305" i="38" s="1"/>
  <c r="M305" i="38" s="1"/>
  <c r="N305" i="38" s="1"/>
  <c r="K202" i="38"/>
  <c r="L202" i="38" s="1"/>
  <c r="M202" i="38" s="1"/>
  <c r="N202" i="38" s="1"/>
  <c r="K208" i="38"/>
  <c r="L208" i="38" s="1"/>
  <c r="M208" i="38" s="1"/>
  <c r="N208" i="38" s="1"/>
  <c r="K92" i="38"/>
  <c r="L92" i="38" s="1"/>
  <c r="M92" i="38" s="1"/>
  <c r="N92" i="38" s="1"/>
  <c r="K162" i="38"/>
  <c r="L162" i="38" s="1"/>
  <c r="M162" i="38" s="1"/>
  <c r="N162" i="38" s="1"/>
  <c r="K171" i="38"/>
  <c r="L171" i="38" s="1"/>
  <c r="M171" i="38" s="1"/>
  <c r="N171" i="38" s="1"/>
  <c r="K292" i="38"/>
  <c r="L292" i="38" s="1"/>
  <c r="M292" i="38" s="1"/>
  <c r="N292" i="38" s="1"/>
  <c r="K10" i="38"/>
  <c r="L10" i="38" s="1"/>
  <c r="M10" i="38" s="1"/>
  <c r="N10" i="38" s="1"/>
  <c r="K55" i="38"/>
  <c r="L55" i="38" s="1"/>
  <c r="M55" i="38" s="1"/>
  <c r="N55" i="38" s="1"/>
  <c r="K62" i="38"/>
  <c r="L62" i="38" s="1"/>
  <c r="M62" i="38" s="1"/>
  <c r="N62" i="38" s="1"/>
  <c r="K96" i="38"/>
  <c r="L96" i="38" s="1"/>
  <c r="M96" i="38" s="1"/>
  <c r="N96" i="38" s="1"/>
  <c r="K250" i="38"/>
  <c r="L250" i="38" s="1"/>
  <c r="M250" i="38" s="1"/>
  <c r="N250" i="38" s="1"/>
  <c r="K44" i="38"/>
  <c r="L44" i="38" s="1"/>
  <c r="M44" i="38" s="1"/>
  <c r="N44" i="38" s="1"/>
  <c r="K279" i="38"/>
  <c r="L279" i="38" s="1"/>
  <c r="M279" i="38" s="1"/>
  <c r="N279" i="38" s="1"/>
  <c r="K261" i="38"/>
  <c r="L261" i="38" s="1"/>
  <c r="M261" i="38" s="1"/>
  <c r="N261" i="38" s="1"/>
  <c r="K6" i="38"/>
  <c r="L6" i="38" s="1"/>
  <c r="M6" i="38" s="1"/>
  <c r="N6" i="38" s="1"/>
  <c r="K127" i="38"/>
  <c r="L127" i="38" s="1"/>
  <c r="M127" i="38" s="1"/>
  <c r="N127" i="38" s="1"/>
  <c r="K57" i="38"/>
  <c r="L57" i="38" s="1"/>
  <c r="M57" i="38" s="1"/>
  <c r="N57" i="38" s="1"/>
  <c r="K5" i="38"/>
  <c r="L5" i="38" s="1"/>
  <c r="M5" i="38" s="1"/>
  <c r="N5" i="38" s="1"/>
  <c r="K21" i="38"/>
  <c r="L21" i="38" s="1"/>
  <c r="M21" i="38" s="1"/>
  <c r="N21" i="38" s="1"/>
  <c r="K276" i="38"/>
  <c r="L276" i="38" s="1"/>
  <c r="M276" i="38" s="1"/>
  <c r="N276" i="38" s="1"/>
  <c r="K84" i="38"/>
  <c r="L84" i="38" s="1"/>
  <c r="M84" i="38" s="1"/>
  <c r="N84" i="38" s="1"/>
  <c r="K135" i="38"/>
  <c r="L135" i="38" s="1"/>
  <c r="M135" i="38" s="1"/>
  <c r="N135" i="38" s="1"/>
  <c r="K311" i="38"/>
  <c r="L311" i="38" s="1"/>
  <c r="M311" i="38" s="1"/>
  <c r="N311" i="38" s="1"/>
  <c r="K262" i="38"/>
  <c r="L262" i="38" s="1"/>
  <c r="M262" i="38" s="1"/>
  <c r="N262" i="38" s="1"/>
  <c r="K218" i="38"/>
  <c r="L218" i="38" s="1"/>
  <c r="M218" i="38" s="1"/>
  <c r="N218" i="38" s="1"/>
  <c r="K54" i="38"/>
  <c r="L54" i="38" s="1"/>
  <c r="M54" i="38" s="1"/>
  <c r="N54" i="38" s="1"/>
  <c r="K151" i="38"/>
  <c r="L151" i="38" s="1"/>
  <c r="M151" i="38" s="1"/>
  <c r="N151" i="38" s="1"/>
  <c r="K34" i="38"/>
  <c r="L34" i="38" s="1"/>
  <c r="M34" i="38" s="1"/>
  <c r="N34" i="38" s="1"/>
  <c r="K65" i="38"/>
  <c r="L65" i="38" s="1"/>
  <c r="M65" i="38" s="1"/>
  <c r="N65" i="38" s="1"/>
  <c r="K225" i="38"/>
  <c r="L225" i="38" s="1"/>
  <c r="M225" i="38" s="1"/>
  <c r="N225" i="38" s="1"/>
  <c r="K316" i="38"/>
  <c r="L316" i="38" s="1"/>
  <c r="M316" i="38" s="1"/>
  <c r="N316" i="38" s="1"/>
  <c r="K158" i="38"/>
  <c r="L158" i="38" s="1"/>
  <c r="M158" i="38" s="1"/>
  <c r="N158" i="38" s="1"/>
  <c r="K80" i="38"/>
  <c r="L80" i="38" s="1"/>
  <c r="M80" i="38" s="1"/>
  <c r="N80" i="38" s="1"/>
  <c r="K304" i="38"/>
  <c r="L304" i="38" s="1"/>
  <c r="M304" i="38" s="1"/>
  <c r="N304" i="38" s="1"/>
  <c r="K301" i="38"/>
  <c r="L301" i="38" s="1"/>
  <c r="M301" i="38" s="1"/>
  <c r="N301" i="38" s="1"/>
  <c r="K148" i="38"/>
  <c r="L148" i="38" s="1"/>
  <c r="M148" i="38" s="1"/>
  <c r="N148" i="38" s="1"/>
  <c r="K134" i="38"/>
  <c r="L134" i="38" s="1"/>
  <c r="M134" i="38" s="1"/>
  <c r="N134" i="38" s="1"/>
  <c r="K220" i="38"/>
  <c r="L220" i="38" s="1"/>
  <c r="M220" i="38" s="1"/>
  <c r="N220" i="38" s="1"/>
  <c r="K266" i="38"/>
  <c r="L266" i="38" s="1"/>
  <c r="M266" i="38" s="1"/>
  <c r="N266" i="38" s="1"/>
  <c r="K93" i="38"/>
  <c r="L93" i="38" s="1"/>
  <c r="M93" i="38" s="1"/>
  <c r="N93" i="38" s="1"/>
  <c r="K28" i="38"/>
  <c r="L28" i="38" s="1"/>
  <c r="M28" i="38" s="1"/>
  <c r="N28" i="38" s="1"/>
  <c r="K255" i="38"/>
  <c r="L255" i="38" s="1"/>
  <c r="M255" i="38" s="1"/>
  <c r="N255" i="38" s="1"/>
  <c r="K160" i="38"/>
  <c r="L160" i="38" s="1"/>
  <c r="M160" i="38" s="1"/>
  <c r="N160" i="38" s="1"/>
  <c r="K233" i="38"/>
  <c r="L233" i="38" s="1"/>
  <c r="M233" i="38" s="1"/>
  <c r="N233" i="38" s="1"/>
  <c r="K234" i="38"/>
  <c r="L234" i="38" s="1"/>
  <c r="M234" i="38" s="1"/>
  <c r="N234" i="38" s="1"/>
  <c r="K293" i="38"/>
  <c r="L293" i="38" s="1"/>
  <c r="M293" i="38" s="1"/>
  <c r="N293" i="38" s="1"/>
  <c r="K192" i="38"/>
  <c r="L192" i="38" s="1"/>
  <c r="M192" i="38" s="1"/>
  <c r="N192" i="38" s="1"/>
  <c r="K185" i="38"/>
  <c r="L185" i="38" s="1"/>
  <c r="M185" i="38" s="1"/>
  <c r="N185" i="38" s="1"/>
  <c r="K177" i="38"/>
  <c r="L177" i="38" s="1"/>
  <c r="M177" i="38" s="1"/>
  <c r="N177" i="38" s="1"/>
  <c r="K153" i="38"/>
  <c r="L153" i="38" s="1"/>
  <c r="M153" i="38" s="1"/>
  <c r="N153" i="38" s="1"/>
  <c r="K120" i="38"/>
  <c r="L120" i="38" s="1"/>
  <c r="M120" i="38" s="1"/>
  <c r="N120" i="38" s="1"/>
  <c r="K314" i="38"/>
  <c r="L314" i="38" s="1"/>
  <c r="M314" i="38" s="1"/>
  <c r="N314" i="38" s="1"/>
  <c r="K4" i="38"/>
  <c r="L4" i="38" s="1"/>
  <c r="K302" i="38"/>
  <c r="L302" i="38" s="1"/>
  <c r="M302" i="38" s="1"/>
  <c r="N302" i="38" s="1"/>
  <c r="K119" i="38"/>
  <c r="L119" i="38" s="1"/>
  <c r="M119" i="38" s="1"/>
  <c r="N119" i="38" s="1"/>
  <c r="K209" i="38"/>
  <c r="L209" i="38" s="1"/>
  <c r="M209" i="38" s="1"/>
  <c r="N209" i="38" s="1"/>
  <c r="K61" i="38"/>
  <c r="L61" i="38" s="1"/>
  <c r="M61" i="38" s="1"/>
  <c r="N61" i="38" s="1"/>
  <c r="K26" i="38"/>
  <c r="L26" i="38" s="1"/>
  <c r="M26" i="38" s="1"/>
  <c r="N26" i="38" s="1"/>
  <c r="K179" i="38"/>
  <c r="L179" i="38" s="1"/>
  <c r="M179" i="38" s="1"/>
  <c r="N179" i="38" s="1"/>
  <c r="K18" i="38"/>
  <c r="L18" i="38" s="1"/>
  <c r="M18" i="38" s="1"/>
  <c r="N18" i="38" s="1"/>
  <c r="K172" i="38"/>
  <c r="L172" i="38" s="1"/>
  <c r="M172" i="38" s="1"/>
  <c r="N172" i="38" s="1"/>
  <c r="K186" i="38"/>
  <c r="L186" i="38" s="1"/>
  <c r="M186" i="38" s="1"/>
  <c r="N186" i="38" s="1"/>
  <c r="K15" i="38"/>
  <c r="L15" i="38" s="1"/>
  <c r="M15" i="38" s="1"/>
  <c r="N15" i="38" s="1"/>
  <c r="K27" i="38"/>
  <c r="L27" i="38" s="1"/>
  <c r="M27" i="38" s="1"/>
  <c r="N27" i="38" s="1"/>
  <c r="K130" i="38"/>
  <c r="L130" i="38" s="1"/>
  <c r="M130" i="38" s="1"/>
  <c r="N130" i="38" s="1"/>
  <c r="K238" i="38"/>
  <c r="L238" i="38" s="1"/>
  <c r="M238" i="38" s="1"/>
  <c r="N238" i="38" s="1"/>
  <c r="K136" i="38"/>
  <c r="L136" i="38" s="1"/>
  <c r="M136" i="38" s="1"/>
  <c r="N136" i="38" s="1"/>
  <c r="K191" i="38"/>
  <c r="L191" i="38" s="1"/>
  <c r="M191" i="38" s="1"/>
  <c r="N191" i="38" s="1"/>
  <c r="K204" i="38"/>
  <c r="L204" i="38" s="1"/>
  <c r="M204" i="38" s="1"/>
  <c r="N204" i="38" s="1"/>
  <c r="K48" i="38"/>
  <c r="L48" i="38" s="1"/>
  <c r="M48" i="38" s="1"/>
  <c r="N48" i="38" s="1"/>
  <c r="K259" i="38"/>
  <c r="L259" i="38" s="1"/>
  <c r="M259" i="38" s="1"/>
  <c r="N259" i="38" s="1"/>
  <c r="K267" i="38"/>
  <c r="L267" i="38" s="1"/>
  <c r="M267" i="38" s="1"/>
  <c r="N267" i="38" s="1"/>
  <c r="K215" i="38"/>
  <c r="L215" i="38" s="1"/>
  <c r="M215" i="38" s="1"/>
  <c r="N215" i="38" s="1"/>
  <c r="K86" i="38"/>
  <c r="L86" i="38" s="1"/>
  <c r="M86" i="38" s="1"/>
  <c r="N86" i="38" s="1"/>
  <c r="K64" i="38"/>
  <c r="L64" i="38" s="1"/>
  <c r="M64" i="38" s="1"/>
  <c r="N64" i="38" s="1"/>
  <c r="K152" i="38"/>
  <c r="L152" i="38" s="1"/>
  <c r="M152" i="38" s="1"/>
  <c r="N152" i="38" s="1"/>
  <c r="K318" i="37"/>
  <c r="L318" i="37" s="1"/>
  <c r="M318" i="37" s="1"/>
  <c r="N318" i="37" s="1"/>
  <c r="K317" i="37"/>
  <c r="L317" i="37" s="1"/>
  <c r="M317" i="37" s="1"/>
  <c r="N317" i="37" s="1"/>
  <c r="K318" i="38"/>
  <c r="L318" i="38" s="1"/>
  <c r="M318" i="38" s="1"/>
  <c r="N318" i="38" s="1"/>
  <c r="K317" i="38"/>
  <c r="L317" i="38" s="1"/>
  <c r="M317" i="38" s="1"/>
  <c r="N317" i="38" s="1"/>
  <c r="K254" i="38"/>
  <c r="L254" i="38" s="1"/>
  <c r="M254" i="38" s="1"/>
  <c r="N254" i="38" s="1"/>
  <c r="K33" i="38"/>
  <c r="L33" i="38" s="1"/>
  <c r="M33" i="38" s="1"/>
  <c r="N33" i="38" s="1"/>
  <c r="K264" i="38"/>
  <c r="L264" i="38" s="1"/>
  <c r="M264" i="38" s="1"/>
  <c r="N264" i="38" s="1"/>
  <c r="K201" i="38"/>
  <c r="L201" i="38" s="1"/>
  <c r="M201" i="38" s="1"/>
  <c r="N201" i="38" s="1"/>
  <c r="K76" i="38"/>
  <c r="L76" i="38" s="1"/>
  <c r="M76" i="38" s="1"/>
  <c r="N76" i="38" s="1"/>
  <c r="K161" i="38"/>
  <c r="L161" i="38" s="1"/>
  <c r="M161" i="38" s="1"/>
  <c r="N161" i="38" s="1"/>
  <c r="K117" i="38"/>
  <c r="L117" i="38" s="1"/>
  <c r="M117" i="38" s="1"/>
  <c r="N117" i="38" s="1"/>
  <c r="K131" i="38"/>
  <c r="L131" i="38" s="1"/>
  <c r="M131" i="38" s="1"/>
  <c r="N131" i="38" s="1"/>
  <c r="K273" i="38"/>
  <c r="L273" i="38" s="1"/>
  <c r="M273" i="38" s="1"/>
  <c r="N273" i="38" s="1"/>
  <c r="K99" i="38"/>
  <c r="L99" i="38" s="1"/>
  <c r="M99" i="38" s="1"/>
  <c r="N99" i="38" s="1"/>
  <c r="K214" i="38"/>
  <c r="L214" i="38" s="1"/>
  <c r="M214" i="38" s="1"/>
  <c r="N214" i="38" s="1"/>
  <c r="K176" i="38"/>
  <c r="L176" i="38" s="1"/>
  <c r="M176" i="38" s="1"/>
  <c r="N176" i="38" s="1"/>
  <c r="K212" i="38"/>
  <c r="L212" i="38" s="1"/>
  <c r="M212" i="38" s="1"/>
  <c r="N212" i="38" s="1"/>
  <c r="K123" i="38"/>
  <c r="L123" i="38" s="1"/>
  <c r="M123" i="38" s="1"/>
  <c r="N123" i="38" s="1"/>
  <c r="K49" i="38"/>
  <c r="L49" i="38" s="1"/>
  <c r="M49" i="38" s="1"/>
  <c r="N49" i="38" s="1"/>
  <c r="K35" i="38"/>
  <c r="L35" i="38" s="1"/>
  <c r="M35" i="38" s="1"/>
  <c r="N35" i="38" s="1"/>
  <c r="K42" i="38"/>
  <c r="L42" i="38" s="1"/>
  <c r="M42" i="38" s="1"/>
  <c r="N42" i="38" s="1"/>
  <c r="K290" i="38"/>
  <c r="L290" i="38" s="1"/>
  <c r="M290" i="38" s="1"/>
  <c r="N290" i="38" s="1"/>
  <c r="K155" i="38"/>
  <c r="L155" i="38" s="1"/>
  <c r="M155" i="38" s="1"/>
  <c r="N155" i="38" s="1"/>
  <c r="K13" i="38"/>
  <c r="L13" i="38" s="1"/>
  <c r="M13" i="38" s="1"/>
  <c r="N13" i="38" s="1"/>
  <c r="K300" i="38"/>
  <c r="L300" i="38" s="1"/>
  <c r="M300" i="38" s="1"/>
  <c r="N300" i="38" s="1"/>
  <c r="K272" i="38"/>
  <c r="L272" i="38" s="1"/>
  <c r="M272" i="38" s="1"/>
  <c r="N272" i="38" s="1"/>
  <c r="K232" i="38"/>
  <c r="L232" i="38" s="1"/>
  <c r="M232" i="38" s="1"/>
  <c r="N232" i="38" s="1"/>
  <c r="K60" i="38"/>
  <c r="L60" i="38" s="1"/>
  <c r="M60" i="38" s="1"/>
  <c r="N60" i="38" s="1"/>
  <c r="K12" i="38"/>
  <c r="L12" i="38" s="1"/>
  <c r="M12" i="38" s="1"/>
  <c r="N12" i="38" s="1"/>
  <c r="K275" i="38"/>
  <c r="L275" i="38" s="1"/>
  <c r="M275" i="38" s="1"/>
  <c r="N275" i="38" s="1"/>
  <c r="K217" i="38"/>
  <c r="L217" i="38" s="1"/>
  <c r="M217" i="38" s="1"/>
  <c r="N217" i="38" s="1"/>
  <c r="K247" i="38"/>
  <c r="L247" i="38" s="1"/>
  <c r="M247" i="38" s="1"/>
  <c r="N247" i="38" s="1"/>
  <c r="K74" i="38"/>
  <c r="L74" i="38" s="1"/>
  <c r="M74" i="38" s="1"/>
  <c r="N74" i="38" s="1"/>
  <c r="K8" i="38"/>
  <c r="L8" i="38" s="1"/>
  <c r="M8" i="38" s="1"/>
  <c r="N8" i="38" s="1"/>
  <c r="K101" i="38"/>
  <c r="L101" i="38" s="1"/>
  <c r="M101" i="38" s="1"/>
  <c r="N101" i="38" s="1"/>
  <c r="K66" i="38"/>
  <c r="L66" i="38" s="1"/>
  <c r="M66" i="38" s="1"/>
  <c r="N66" i="38" s="1"/>
  <c r="K20" i="38"/>
  <c r="L20" i="38" s="1"/>
  <c r="M20" i="38" s="1"/>
  <c r="N20" i="38" s="1"/>
  <c r="K38" i="38"/>
  <c r="L38" i="38" s="1"/>
  <c r="M38" i="38" s="1"/>
  <c r="N38" i="38" s="1"/>
  <c r="K222" i="38"/>
  <c r="L222" i="38" s="1"/>
  <c r="M222" i="38" s="1"/>
  <c r="N222" i="38" s="1"/>
  <c r="K173" i="38"/>
  <c r="L173" i="38" s="1"/>
  <c r="M173" i="38" s="1"/>
  <c r="N173" i="38" s="1"/>
  <c r="K110" i="38"/>
  <c r="L110" i="38" s="1"/>
  <c r="M110" i="38" s="1"/>
  <c r="N110" i="38" s="1"/>
  <c r="K196" i="38"/>
  <c r="L196" i="38" s="1"/>
  <c r="M196" i="38" s="1"/>
  <c r="N196" i="38" s="1"/>
  <c r="K193" i="38"/>
  <c r="L193" i="38" s="1"/>
  <c r="M193" i="38" s="1"/>
  <c r="N193" i="38" s="1"/>
  <c r="K37" i="38"/>
  <c r="L37" i="38" s="1"/>
  <c r="M37" i="38" s="1"/>
  <c r="N37" i="38" s="1"/>
  <c r="K159" i="38"/>
  <c r="L159" i="38" s="1"/>
  <c r="M159" i="38" s="1"/>
  <c r="N159" i="38" s="1"/>
  <c r="K210" i="38"/>
  <c r="L210" i="38" s="1"/>
  <c r="M210" i="38" s="1"/>
  <c r="N210" i="38" s="1"/>
  <c r="K252" i="38"/>
  <c r="L252" i="38" s="1"/>
  <c r="M252" i="38" s="1"/>
  <c r="N252" i="38" s="1"/>
  <c r="K206" i="38"/>
  <c r="L206" i="38" s="1"/>
  <c r="M206" i="38" s="1"/>
  <c r="N206" i="38" s="1"/>
  <c r="K14" i="38"/>
  <c r="L14" i="38" s="1"/>
  <c r="M14" i="38" s="1"/>
  <c r="N14" i="38" s="1"/>
  <c r="K315" i="38"/>
  <c r="L315" i="38" s="1"/>
  <c r="M315" i="38" s="1"/>
  <c r="N315" i="38" s="1"/>
  <c r="K219" i="38"/>
  <c r="L219" i="38" s="1"/>
  <c r="M219" i="38" s="1"/>
  <c r="N219" i="38" s="1"/>
  <c r="K114" i="38"/>
  <c r="L114" i="38" s="1"/>
  <c r="M114" i="38" s="1"/>
  <c r="N114" i="38" s="1"/>
  <c r="K69" i="38"/>
  <c r="L69" i="38" s="1"/>
  <c r="M69" i="38" s="1"/>
  <c r="N69" i="38" s="1"/>
  <c r="K141" i="38"/>
  <c r="L141" i="38" s="1"/>
  <c r="M141" i="38" s="1"/>
  <c r="N141" i="38" s="1"/>
  <c r="K105" i="38"/>
  <c r="L105" i="38" s="1"/>
  <c r="M105" i="38" s="1"/>
  <c r="N105" i="38" s="1"/>
  <c r="K133" i="38"/>
  <c r="L133" i="38" s="1"/>
  <c r="M133" i="38" s="1"/>
  <c r="N133" i="38" s="1"/>
  <c r="K244" i="38"/>
  <c r="L244" i="38" s="1"/>
  <c r="M244" i="38" s="1"/>
  <c r="N244" i="38" s="1"/>
  <c r="K216" i="38"/>
  <c r="L216" i="38" s="1"/>
  <c r="M216" i="38" s="1"/>
  <c r="N216" i="38" s="1"/>
  <c r="K122" i="38"/>
  <c r="L122" i="38" s="1"/>
  <c r="M122" i="38" s="1"/>
  <c r="N122" i="38" s="1"/>
  <c r="K246" i="38"/>
  <c r="L246" i="38" s="1"/>
  <c r="M246" i="38" s="1"/>
  <c r="N246" i="38" s="1"/>
  <c r="K19" i="38"/>
  <c r="L19" i="38" s="1"/>
  <c r="M19" i="38" s="1"/>
  <c r="N19" i="38" s="1"/>
  <c r="K106" i="38"/>
  <c r="L106" i="38" s="1"/>
  <c r="M106" i="38" s="1"/>
  <c r="N106" i="38" s="1"/>
  <c r="K77" i="38"/>
  <c r="L77" i="38" s="1"/>
  <c r="M77" i="38" s="1"/>
  <c r="N77" i="38" s="1"/>
  <c r="K230" i="38"/>
  <c r="L230" i="38" s="1"/>
  <c r="M230" i="38" s="1"/>
  <c r="N230" i="38" s="1"/>
  <c r="K67" i="38"/>
  <c r="L67" i="38" s="1"/>
  <c r="M67" i="38" s="1"/>
  <c r="N67" i="38" s="1"/>
  <c r="K87" i="38"/>
  <c r="L87" i="38" s="1"/>
  <c r="M87" i="38" s="1"/>
  <c r="N87" i="38" s="1"/>
  <c r="K81" i="38"/>
  <c r="L81" i="38" s="1"/>
  <c r="M81" i="38" s="1"/>
  <c r="N81" i="38" s="1"/>
  <c r="K291" i="38"/>
  <c r="L291" i="38" s="1"/>
  <c r="M291" i="38" s="1"/>
  <c r="N291" i="38" s="1"/>
  <c r="K280" i="38"/>
  <c r="L280" i="38" s="1"/>
  <c r="M280" i="38" s="1"/>
  <c r="N280" i="38" s="1"/>
  <c r="K113" i="38"/>
  <c r="L113" i="38" s="1"/>
  <c r="M113" i="38" s="1"/>
  <c r="N113" i="38" s="1"/>
  <c r="K184" i="38"/>
  <c r="L184" i="38" s="1"/>
  <c r="M184" i="38" s="1"/>
  <c r="N184" i="38" s="1"/>
  <c r="K39" i="38"/>
  <c r="L39" i="38" s="1"/>
  <c r="M39" i="38" s="1"/>
  <c r="N39" i="38" s="1"/>
  <c r="K23" i="38"/>
  <c r="L23" i="38" s="1"/>
  <c r="M23" i="38" s="1"/>
  <c r="N23" i="38" s="1"/>
  <c r="K306" i="38"/>
  <c r="L306" i="38" s="1"/>
  <c r="M306" i="38" s="1"/>
  <c r="N306" i="38" s="1"/>
  <c r="K91" i="38"/>
  <c r="L91" i="38" s="1"/>
  <c r="M91" i="38" s="1"/>
  <c r="N91" i="38" s="1"/>
  <c r="K157" i="38"/>
  <c r="L157" i="38" s="1"/>
  <c r="M157" i="38" s="1"/>
  <c r="N157" i="38" s="1"/>
  <c r="K231" i="38"/>
  <c r="L231" i="38" s="1"/>
  <c r="M231" i="38" s="1"/>
  <c r="N231" i="38" s="1"/>
  <c r="K71" i="38"/>
  <c r="L71" i="38" s="1"/>
  <c r="M71" i="38" s="1"/>
  <c r="N71" i="38" s="1"/>
  <c r="K221" i="38"/>
  <c r="L221" i="38" s="1"/>
  <c r="M221" i="38" s="1"/>
  <c r="N221" i="38" s="1"/>
  <c r="K147" i="38"/>
  <c r="L147" i="38" s="1"/>
  <c r="M147" i="38" s="1"/>
  <c r="N147" i="38" s="1"/>
  <c r="K43" i="38"/>
  <c r="L43" i="38" s="1"/>
  <c r="M43" i="38" s="1"/>
  <c r="N43" i="38" s="1"/>
  <c r="K199" i="38"/>
  <c r="L199" i="38" s="1"/>
  <c r="M199" i="38" s="1"/>
  <c r="N199" i="38" s="1"/>
  <c r="K98" i="38"/>
  <c r="L98" i="38" s="1"/>
  <c r="M98" i="38" s="1"/>
  <c r="N98" i="38" s="1"/>
  <c r="K58" i="38"/>
  <c r="L58" i="38" s="1"/>
  <c r="M58" i="38" s="1"/>
  <c r="N58" i="38" s="1"/>
  <c r="K143" i="38"/>
  <c r="L143" i="38" s="1"/>
  <c r="M143" i="38" s="1"/>
  <c r="N143" i="38" s="1"/>
  <c r="K100" i="38"/>
  <c r="L100" i="38" s="1"/>
  <c r="M100" i="38" s="1"/>
  <c r="N100" i="38" s="1"/>
  <c r="K45" i="38"/>
  <c r="L45" i="38" s="1"/>
  <c r="M45" i="38" s="1"/>
  <c r="N45" i="38" s="1"/>
  <c r="K265" i="38"/>
  <c r="L265" i="38" s="1"/>
  <c r="M265" i="38" s="1"/>
  <c r="N265" i="38" s="1"/>
  <c r="K52" i="38"/>
  <c r="L52" i="38" s="1"/>
  <c r="M52" i="38" s="1"/>
  <c r="N52" i="38" s="1"/>
  <c r="K94" i="38"/>
  <c r="L94" i="38" s="1"/>
  <c r="M94" i="38" s="1"/>
  <c r="N94" i="38" s="1"/>
  <c r="K75" i="38"/>
  <c r="L75" i="38" s="1"/>
  <c r="M75" i="38" s="1"/>
  <c r="N75" i="38" s="1"/>
  <c r="K137" i="38"/>
  <c r="L137" i="38" s="1"/>
  <c r="M137" i="38" s="1"/>
  <c r="N137" i="38" s="1"/>
  <c r="K24" i="38"/>
  <c r="L24" i="38" s="1"/>
  <c r="M24" i="38" s="1"/>
  <c r="N24" i="38" s="1"/>
  <c r="K121" i="38"/>
  <c r="L121" i="38" s="1"/>
  <c r="M121" i="38" s="1"/>
  <c r="N121" i="38" s="1"/>
  <c r="K189" i="38"/>
  <c r="L189" i="38" s="1"/>
  <c r="M189" i="38" s="1"/>
  <c r="N189" i="38" s="1"/>
  <c r="K309" i="38"/>
  <c r="L309" i="38" s="1"/>
  <c r="M309" i="38" s="1"/>
  <c r="N309" i="38" s="1"/>
  <c r="K78" i="38"/>
  <c r="L78" i="38" s="1"/>
  <c r="M78" i="38" s="1"/>
  <c r="N78" i="38" s="1"/>
  <c r="K270" i="38"/>
  <c r="L270" i="38" s="1"/>
  <c r="M270" i="38" s="1"/>
  <c r="N270" i="38" s="1"/>
  <c r="K207" i="38"/>
  <c r="L207" i="38" s="1"/>
  <c r="M207" i="38" s="1"/>
  <c r="N207" i="38" s="1"/>
  <c r="K235" i="38"/>
  <c r="L235" i="38" s="1"/>
  <c r="M235" i="38" s="1"/>
  <c r="N235" i="38" s="1"/>
  <c r="K307" i="38"/>
  <c r="L307" i="38" s="1"/>
  <c r="M307" i="38" s="1"/>
  <c r="N307" i="38" s="1"/>
  <c r="K150" i="38"/>
  <c r="L150" i="38" s="1"/>
  <c r="M150" i="38" s="1"/>
  <c r="N150" i="38" s="1"/>
  <c r="K118" i="38"/>
  <c r="L118" i="38" s="1"/>
  <c r="M118" i="38" s="1"/>
  <c r="N118" i="38" s="1"/>
  <c r="K97" i="38"/>
  <c r="L97" i="38" s="1"/>
  <c r="M97" i="38" s="1"/>
  <c r="N97" i="38" s="1"/>
  <c r="K236" i="38"/>
  <c r="L236" i="38" s="1"/>
  <c r="M236" i="38" s="1"/>
  <c r="N236" i="38" s="1"/>
  <c r="K211" i="38"/>
  <c r="L211" i="38" s="1"/>
  <c r="M211" i="38" s="1"/>
  <c r="N211" i="38" s="1"/>
  <c r="K296" i="38"/>
  <c r="L296" i="38" s="1"/>
  <c r="M296" i="38" s="1"/>
  <c r="N296" i="38" s="1"/>
  <c r="K102" i="38"/>
  <c r="L102" i="38" s="1"/>
  <c r="M102" i="38" s="1"/>
  <c r="N102" i="38" s="1"/>
  <c r="K41" i="38"/>
  <c r="L41" i="38" s="1"/>
  <c r="M41" i="38" s="1"/>
  <c r="N41" i="38" s="1"/>
  <c r="K90" i="38"/>
  <c r="L90" i="38" s="1"/>
  <c r="M90" i="38" s="1"/>
  <c r="N90" i="38" s="1"/>
  <c r="K181" i="38"/>
  <c r="L181" i="38" s="1"/>
  <c r="M181" i="38" s="1"/>
  <c r="N181" i="38" s="1"/>
  <c r="K284" i="38"/>
  <c r="L284" i="38" s="1"/>
  <c r="M284" i="38" s="1"/>
  <c r="N284" i="38" s="1"/>
  <c r="K70" i="38"/>
  <c r="L70" i="38" s="1"/>
  <c r="M70" i="38" s="1"/>
  <c r="N70" i="38" s="1"/>
  <c r="K243" i="38"/>
  <c r="L243" i="38" s="1"/>
  <c r="M243" i="38" s="1"/>
  <c r="N243" i="38" s="1"/>
  <c r="K168" i="38"/>
  <c r="L168" i="38" s="1"/>
  <c r="M168" i="38" s="1"/>
  <c r="N168" i="38" s="1"/>
  <c r="K278" i="38"/>
  <c r="L278" i="38" s="1"/>
  <c r="M278" i="38" s="1"/>
  <c r="N278" i="38" s="1"/>
  <c r="K140" i="38"/>
  <c r="L140" i="38" s="1"/>
  <c r="M140" i="38" s="1"/>
  <c r="N140" i="38" s="1"/>
  <c r="K59" i="38"/>
  <c r="L59" i="38" s="1"/>
  <c r="M59" i="38" s="1"/>
  <c r="N59" i="38" s="1"/>
  <c r="K174" i="38"/>
  <c r="L174" i="38" s="1"/>
  <c r="M174" i="38" s="1"/>
  <c r="N174" i="38" s="1"/>
  <c r="K260" i="38"/>
  <c r="L260" i="38" s="1"/>
  <c r="M260" i="38" s="1"/>
  <c r="N260" i="38" s="1"/>
  <c r="K25" i="38"/>
  <c r="L25" i="38" s="1"/>
  <c r="M25" i="38" s="1"/>
  <c r="N25" i="38" s="1"/>
  <c r="K288" i="38"/>
  <c r="L288" i="38" s="1"/>
  <c r="M288" i="38" s="1"/>
  <c r="N288" i="38" s="1"/>
  <c r="K287" i="38"/>
  <c r="L287" i="38" s="1"/>
  <c r="M287" i="38" s="1"/>
  <c r="N287" i="38" s="1"/>
  <c r="K282" i="38"/>
  <c r="L282" i="38" s="1"/>
  <c r="M282" i="38" s="1"/>
  <c r="N282" i="38" s="1"/>
  <c r="K95" i="38"/>
  <c r="L95" i="38" s="1"/>
  <c r="M95" i="38" s="1"/>
  <c r="N95" i="38" s="1"/>
  <c r="K126" i="38"/>
  <c r="L126" i="38" s="1"/>
  <c r="M126" i="38" s="1"/>
  <c r="N126" i="38" s="1"/>
  <c r="K116" i="38"/>
  <c r="L116" i="38" s="1"/>
  <c r="M116" i="38" s="1"/>
  <c r="N116" i="38" s="1"/>
  <c r="K129" i="38"/>
  <c r="L129" i="38" s="1"/>
  <c r="M129" i="38" s="1"/>
  <c r="N129" i="38" s="1"/>
  <c r="K195" i="38"/>
  <c r="L195" i="38" s="1"/>
  <c r="M195" i="38" s="1"/>
  <c r="N195" i="38" s="1"/>
  <c r="K40" i="38"/>
  <c r="L40" i="38" s="1"/>
  <c r="M40" i="38" s="1"/>
  <c r="N40" i="38" s="1"/>
  <c r="K125" i="38"/>
  <c r="L125" i="38" s="1"/>
  <c r="M125" i="38" s="1"/>
  <c r="N125" i="38" s="1"/>
  <c r="K268" i="38"/>
  <c r="L268" i="38" s="1"/>
  <c r="M268" i="38" s="1"/>
  <c r="N268" i="38" s="1"/>
  <c r="K224" i="38"/>
  <c r="L224" i="38" s="1"/>
  <c r="M224" i="38" s="1"/>
  <c r="N224" i="38" s="1"/>
  <c r="K228" i="38"/>
  <c r="L228" i="38" s="1"/>
  <c r="M228" i="38" s="1"/>
  <c r="N228" i="38" s="1"/>
  <c r="K112" i="38"/>
  <c r="L112" i="38" s="1"/>
  <c r="M112" i="38" s="1"/>
  <c r="N112" i="38" s="1"/>
  <c r="K182" i="38"/>
  <c r="L182" i="38" s="1"/>
  <c r="M182" i="38" s="1"/>
  <c r="N182" i="38" s="1"/>
  <c r="K138" i="38"/>
  <c r="L138" i="38" s="1"/>
  <c r="M138" i="38" s="1"/>
  <c r="N138" i="38" s="1"/>
  <c r="K4" i="36"/>
  <c r="K4" i="39"/>
  <c r="K309" i="39"/>
  <c r="L309" i="39" s="1"/>
  <c r="M309" i="39" s="1"/>
  <c r="K98" i="39"/>
  <c r="L98" i="39" s="1"/>
  <c r="M98" i="39" s="1"/>
  <c r="K25" i="39"/>
  <c r="L25" i="39" s="1"/>
  <c r="M25" i="39" s="1"/>
  <c r="K229" i="39"/>
  <c r="L229" i="39" s="1"/>
  <c r="M229" i="39" s="1"/>
  <c r="K300" i="39"/>
  <c r="L300" i="39" s="1"/>
  <c r="M300" i="39" s="1"/>
  <c r="K183" i="39"/>
  <c r="L183" i="39" s="1"/>
  <c r="M183" i="39" s="1"/>
  <c r="K165" i="39"/>
  <c r="L165" i="39" s="1"/>
  <c r="M165" i="39" s="1"/>
  <c r="K133" i="39"/>
  <c r="L133" i="39" s="1"/>
  <c r="M133" i="39" s="1"/>
  <c r="K96" i="39"/>
  <c r="L96" i="39" s="1"/>
  <c r="M96" i="39" s="1"/>
  <c r="K245" i="39"/>
  <c r="L245" i="39" s="1"/>
  <c r="M245" i="39" s="1"/>
  <c r="K223" i="39"/>
  <c r="L223" i="39" s="1"/>
  <c r="M223" i="39" s="1"/>
  <c r="K244" i="39"/>
  <c r="L244" i="39" s="1"/>
  <c r="M244" i="39" s="1"/>
  <c r="K19" i="39"/>
  <c r="L19" i="39" s="1"/>
  <c r="M19" i="39" s="1"/>
  <c r="K196" i="39"/>
  <c r="L196" i="39" s="1"/>
  <c r="M196" i="39" s="1"/>
  <c r="K50" i="39"/>
  <c r="L50" i="39" s="1"/>
  <c r="M50" i="39" s="1"/>
  <c r="K163" i="39"/>
  <c r="L163" i="39" s="1"/>
  <c r="M163" i="39" s="1"/>
  <c r="K105" i="39"/>
  <c r="L105" i="39" s="1"/>
  <c r="M105" i="39" s="1"/>
  <c r="K157" i="39"/>
  <c r="L157" i="39" s="1"/>
  <c r="M157" i="39" s="1"/>
  <c r="K297" i="39"/>
  <c r="L297" i="39" s="1"/>
  <c r="M297" i="39" s="1"/>
  <c r="K296" i="39"/>
  <c r="L296" i="39" s="1"/>
  <c r="M296" i="39" s="1"/>
  <c r="K232" i="39"/>
  <c r="L232" i="39" s="1"/>
  <c r="M232" i="39" s="1"/>
  <c r="K301" i="39"/>
  <c r="L301" i="39" s="1"/>
  <c r="M301" i="39" s="1"/>
  <c r="K153" i="39"/>
  <c r="L153" i="39" s="1"/>
  <c r="M153" i="39" s="1"/>
  <c r="K15" i="39"/>
  <c r="L15" i="39" s="1"/>
  <c r="M15" i="39" s="1"/>
  <c r="K79" i="39"/>
  <c r="L79" i="39" s="1"/>
  <c r="M79" i="39" s="1"/>
  <c r="K122" i="39"/>
  <c r="L122" i="39" s="1"/>
  <c r="M122" i="39" s="1"/>
  <c r="K129" i="39"/>
  <c r="L129" i="39" s="1"/>
  <c r="M129" i="39" s="1"/>
  <c r="K261" i="39"/>
  <c r="L261" i="39" s="1"/>
  <c r="M261" i="39" s="1"/>
  <c r="K155" i="39"/>
  <c r="L155" i="39" s="1"/>
  <c r="M155" i="39" s="1"/>
  <c r="K284" i="39"/>
  <c r="L284" i="39" s="1"/>
  <c r="M284" i="39" s="1"/>
  <c r="K177" i="39"/>
  <c r="L177" i="39" s="1"/>
  <c r="M177" i="39" s="1"/>
  <c r="K69" i="39"/>
  <c r="L69" i="39" s="1"/>
  <c r="M69" i="39" s="1"/>
  <c r="K89" i="39"/>
  <c r="L89" i="39" s="1"/>
  <c r="M89" i="39" s="1"/>
  <c r="K11" i="39"/>
  <c r="L11" i="39" s="1"/>
  <c r="M11" i="39" s="1"/>
  <c r="K30" i="39"/>
  <c r="L30" i="39" s="1"/>
  <c r="M30" i="39" s="1"/>
  <c r="K268" i="39"/>
  <c r="L268" i="39" s="1"/>
  <c r="M268" i="39" s="1"/>
  <c r="K142" i="39"/>
  <c r="L142" i="39" s="1"/>
  <c r="M142" i="39" s="1"/>
  <c r="K248" i="39"/>
  <c r="L248" i="39" s="1"/>
  <c r="M248" i="39" s="1"/>
  <c r="K199" i="39"/>
  <c r="L199" i="39" s="1"/>
  <c r="M199" i="39" s="1"/>
  <c r="K240" i="39"/>
  <c r="L240" i="39" s="1"/>
  <c r="M240" i="39" s="1"/>
  <c r="K61" i="39"/>
  <c r="L61" i="39" s="1"/>
  <c r="M61" i="39" s="1"/>
  <c r="K187" i="39"/>
  <c r="L187" i="39" s="1"/>
  <c r="M187" i="39" s="1"/>
  <c r="K260" i="39"/>
  <c r="L260" i="39" s="1"/>
  <c r="M260" i="39" s="1"/>
  <c r="K126" i="39"/>
  <c r="L126" i="39" s="1"/>
  <c r="M126" i="39" s="1"/>
  <c r="K308" i="39"/>
  <c r="L308" i="39" s="1"/>
  <c r="M308" i="39" s="1"/>
  <c r="K56" i="39"/>
  <c r="L56" i="39" s="1"/>
  <c r="M56" i="39" s="1"/>
  <c r="K313" i="39"/>
  <c r="L313" i="39" s="1"/>
  <c r="M313" i="39" s="1"/>
  <c r="K234" i="39"/>
  <c r="L234" i="39" s="1"/>
  <c r="M234" i="39" s="1"/>
  <c r="K293" i="39"/>
  <c r="L293" i="39" s="1"/>
  <c r="M293" i="39" s="1"/>
  <c r="K70" i="39"/>
  <c r="L70" i="39" s="1"/>
  <c r="M70" i="39" s="1"/>
  <c r="K226" i="39"/>
  <c r="L226" i="39" s="1"/>
  <c r="M226" i="39" s="1"/>
  <c r="K218" i="39"/>
  <c r="L218" i="39" s="1"/>
  <c r="M218" i="39" s="1"/>
  <c r="K252" i="39"/>
  <c r="L252" i="39" s="1"/>
  <c r="M252" i="39" s="1"/>
  <c r="K81" i="39"/>
  <c r="L81" i="39" s="1"/>
  <c r="M81" i="39" s="1"/>
  <c r="K257" i="39"/>
  <c r="L257" i="39" s="1"/>
  <c r="M257" i="39" s="1"/>
  <c r="K16" i="39"/>
  <c r="L16" i="39" s="1"/>
  <c r="M16" i="39" s="1"/>
  <c r="K316" i="39"/>
  <c r="L316" i="39" s="1"/>
  <c r="M316" i="39" s="1"/>
  <c r="K207" i="39"/>
  <c r="L207" i="39" s="1"/>
  <c r="M207" i="39" s="1"/>
  <c r="K286" i="39"/>
  <c r="L286" i="39" s="1"/>
  <c r="M286" i="39" s="1"/>
  <c r="K121" i="39"/>
  <c r="L121" i="39" s="1"/>
  <c r="M121" i="39" s="1"/>
  <c r="K137" i="39"/>
  <c r="L137" i="39" s="1"/>
  <c r="M137" i="39" s="1"/>
  <c r="K147" i="39"/>
  <c r="L147" i="39" s="1"/>
  <c r="M147" i="39" s="1"/>
  <c r="K66" i="39"/>
  <c r="L66" i="39" s="1"/>
  <c r="M66" i="39" s="1"/>
  <c r="K42" i="39"/>
  <c r="L42" i="39" s="1"/>
  <c r="M42" i="39" s="1"/>
  <c r="K233" i="39"/>
  <c r="L233" i="39" s="1"/>
  <c r="M233" i="39" s="1"/>
  <c r="K204" i="39"/>
  <c r="L204" i="39" s="1"/>
  <c r="M204" i="39" s="1"/>
  <c r="K49" i="39"/>
  <c r="L49" i="39" s="1"/>
  <c r="M49" i="39" s="1"/>
  <c r="K65" i="39"/>
  <c r="L65" i="39" s="1"/>
  <c r="M65" i="39" s="1"/>
  <c r="K312" i="39"/>
  <c r="L312" i="39" s="1"/>
  <c r="M312" i="39" s="1"/>
  <c r="K58" i="39"/>
  <c r="L58" i="39" s="1"/>
  <c r="M58" i="39" s="1"/>
  <c r="K60" i="39"/>
  <c r="L60" i="39" s="1"/>
  <c r="M60" i="39" s="1"/>
  <c r="K277" i="39"/>
  <c r="L277" i="39" s="1"/>
  <c r="M277" i="39" s="1"/>
  <c r="K77" i="39"/>
  <c r="L77" i="39" s="1"/>
  <c r="M77" i="39" s="1"/>
  <c r="K281" i="39"/>
  <c r="L281" i="39" s="1"/>
  <c r="M281" i="39" s="1"/>
  <c r="K208" i="39"/>
  <c r="L208" i="39" s="1"/>
  <c r="M208" i="39" s="1"/>
  <c r="K141" i="39"/>
  <c r="L141" i="39" s="1"/>
  <c r="M141" i="39" s="1"/>
  <c r="K305" i="39"/>
  <c r="L305" i="39" s="1"/>
  <c r="M305" i="39" s="1"/>
  <c r="K210" i="39"/>
  <c r="L210" i="39" s="1"/>
  <c r="M210" i="39" s="1"/>
  <c r="K57" i="39"/>
  <c r="L57" i="39" s="1"/>
  <c r="M57" i="39" s="1"/>
  <c r="K236" i="39"/>
  <c r="L236" i="39" s="1"/>
  <c r="M236" i="39" s="1"/>
  <c r="K125" i="39"/>
  <c r="L125" i="39" s="1"/>
  <c r="M125" i="39" s="1"/>
  <c r="K214" i="39"/>
  <c r="L214" i="39" s="1"/>
  <c r="M214" i="39" s="1"/>
  <c r="K203" i="39"/>
  <c r="L203" i="39" s="1"/>
  <c r="M203" i="39" s="1"/>
  <c r="K62" i="39"/>
  <c r="L62" i="39" s="1"/>
  <c r="M62" i="39" s="1"/>
  <c r="K173" i="39"/>
  <c r="L173" i="39" s="1"/>
  <c r="M173" i="39" s="1"/>
  <c r="K45" i="39"/>
  <c r="L45" i="39" s="1"/>
  <c r="M45" i="39" s="1"/>
  <c r="K215" i="39"/>
  <c r="L215" i="39" s="1"/>
  <c r="M215" i="39" s="1"/>
  <c r="K275" i="39"/>
  <c r="L275" i="39" s="1"/>
  <c r="M275" i="39" s="1"/>
  <c r="K34" i="39"/>
  <c r="L34" i="39" s="1"/>
  <c r="M34" i="39" s="1"/>
  <c r="K48" i="39"/>
  <c r="L48" i="39" s="1"/>
  <c r="M48" i="39" s="1"/>
  <c r="K73" i="39"/>
  <c r="L73" i="39" s="1"/>
  <c r="M73" i="39" s="1"/>
  <c r="K53" i="39"/>
  <c r="L53" i="39" s="1"/>
  <c r="M53" i="39" s="1"/>
  <c r="K222" i="39"/>
  <c r="L222" i="39" s="1"/>
  <c r="M222" i="39" s="1"/>
  <c r="K195" i="39"/>
  <c r="L195" i="39" s="1"/>
  <c r="M195" i="39" s="1"/>
  <c r="K114" i="39"/>
  <c r="L114" i="39" s="1"/>
  <c r="M114" i="39" s="1"/>
  <c r="K243" i="39"/>
  <c r="L243" i="39" s="1"/>
  <c r="M243" i="39" s="1"/>
  <c r="K85" i="39"/>
  <c r="L85" i="39" s="1"/>
  <c r="M85" i="39" s="1"/>
  <c r="K78" i="39"/>
  <c r="L78" i="39" s="1"/>
  <c r="M78" i="39" s="1"/>
  <c r="K216" i="39"/>
  <c r="L216" i="39" s="1"/>
  <c r="M216" i="39" s="1"/>
  <c r="K238" i="39"/>
  <c r="L238" i="39" s="1"/>
  <c r="M238" i="39" s="1"/>
  <c r="K32" i="39"/>
  <c r="L32" i="39" s="1"/>
  <c r="M32" i="39" s="1"/>
  <c r="K54" i="39"/>
  <c r="L54" i="39" s="1"/>
  <c r="M54" i="39" s="1"/>
  <c r="K94" i="39"/>
  <c r="L94" i="39" s="1"/>
  <c r="M94" i="39" s="1"/>
  <c r="K145" i="39"/>
  <c r="L145" i="39" s="1"/>
  <c r="M145" i="39" s="1"/>
  <c r="K21" i="39"/>
  <c r="L21" i="39" s="1"/>
  <c r="M21" i="39" s="1"/>
  <c r="K181" i="39"/>
  <c r="L181" i="39" s="1"/>
  <c r="M181" i="39" s="1"/>
  <c r="K256" i="39"/>
  <c r="L256" i="39" s="1"/>
  <c r="M256" i="39" s="1"/>
  <c r="K134" i="39"/>
  <c r="L134" i="39" s="1"/>
  <c r="M134" i="39" s="1"/>
  <c r="K7" i="39"/>
  <c r="L7" i="39" s="1"/>
  <c r="M7" i="39" s="1"/>
  <c r="K88" i="39"/>
  <c r="L88" i="39" s="1"/>
  <c r="M88" i="39" s="1"/>
  <c r="K68" i="39"/>
  <c r="L68" i="39" s="1"/>
  <c r="M68" i="39" s="1"/>
  <c r="K111" i="39"/>
  <c r="L111" i="39" s="1"/>
  <c r="M111" i="39" s="1"/>
  <c r="K43" i="39"/>
  <c r="L43" i="39" s="1"/>
  <c r="M43" i="39" s="1"/>
  <c r="K99" i="39"/>
  <c r="L99" i="39" s="1"/>
  <c r="M99" i="39" s="1"/>
  <c r="K136" i="39"/>
  <c r="L136" i="39" s="1"/>
  <c r="M136" i="39" s="1"/>
  <c r="K282" i="39"/>
  <c r="L282" i="39" s="1"/>
  <c r="M282" i="39" s="1"/>
  <c r="K310" i="39"/>
  <c r="L310" i="39" s="1"/>
  <c r="M310" i="39" s="1"/>
  <c r="K118" i="39"/>
  <c r="L118" i="39" s="1"/>
  <c r="M118" i="39" s="1"/>
  <c r="K38" i="39"/>
  <c r="L38" i="39" s="1"/>
  <c r="M38" i="39" s="1"/>
  <c r="K287" i="39"/>
  <c r="L287" i="39" s="1"/>
  <c r="M287" i="39" s="1"/>
  <c r="K140" i="39"/>
  <c r="L140" i="39" s="1"/>
  <c r="M140" i="39" s="1"/>
  <c r="K255" i="39"/>
  <c r="L255" i="39" s="1"/>
  <c r="M255" i="39" s="1"/>
  <c r="K188" i="39"/>
  <c r="L188" i="39" s="1"/>
  <c r="M188" i="39" s="1"/>
  <c r="K22" i="39"/>
  <c r="L22" i="39" s="1"/>
  <c r="M22" i="39" s="1"/>
  <c r="K172" i="39"/>
  <c r="L172" i="39" s="1"/>
  <c r="M172" i="39" s="1"/>
  <c r="K144" i="39"/>
  <c r="L144" i="39" s="1"/>
  <c r="M144" i="39" s="1"/>
  <c r="K151" i="39"/>
  <c r="L151" i="39" s="1"/>
  <c r="M151" i="39" s="1"/>
  <c r="K225" i="39"/>
  <c r="L225" i="39" s="1"/>
  <c r="M225" i="39" s="1"/>
  <c r="K148" i="39"/>
  <c r="L148" i="39" s="1"/>
  <c r="M148" i="39" s="1"/>
  <c r="K162" i="39"/>
  <c r="L162" i="39" s="1"/>
  <c r="M162" i="39" s="1"/>
  <c r="K37" i="39"/>
  <c r="L37" i="39" s="1"/>
  <c r="M37" i="39" s="1"/>
  <c r="K20" i="39"/>
  <c r="L20" i="39" s="1"/>
  <c r="M20" i="39" s="1"/>
  <c r="K303" i="39"/>
  <c r="L303" i="39" s="1"/>
  <c r="M303" i="39" s="1"/>
  <c r="K274" i="39"/>
  <c r="L274" i="39" s="1"/>
  <c r="M274" i="39" s="1"/>
  <c r="K9" i="39"/>
  <c r="L9" i="39" s="1"/>
  <c r="M9" i="39" s="1"/>
  <c r="K8" i="39"/>
  <c r="L8" i="39" s="1"/>
  <c r="M8" i="39" s="1"/>
  <c r="K302" i="39"/>
  <c r="L302" i="39" s="1"/>
  <c r="M302" i="39" s="1"/>
  <c r="K180" i="39"/>
  <c r="L180" i="39" s="1"/>
  <c r="M180" i="39" s="1"/>
  <c r="K311" i="39"/>
  <c r="L311" i="39" s="1"/>
  <c r="M311" i="39" s="1"/>
  <c r="K154" i="39"/>
  <c r="L154" i="39" s="1"/>
  <c r="M154" i="39" s="1"/>
  <c r="K12" i="39"/>
  <c r="L12" i="39" s="1"/>
  <c r="M12" i="39" s="1"/>
  <c r="K250" i="39"/>
  <c r="L250" i="39" s="1"/>
  <c r="M250" i="39" s="1"/>
  <c r="K211" i="39"/>
  <c r="L211" i="39" s="1"/>
  <c r="M211" i="39" s="1"/>
  <c r="K247" i="39"/>
  <c r="L247" i="39" s="1"/>
  <c r="M247" i="39" s="1"/>
  <c r="K90" i="39"/>
  <c r="L90" i="39" s="1"/>
  <c r="M90" i="39" s="1"/>
  <c r="K291" i="39"/>
  <c r="L291" i="39" s="1"/>
  <c r="M291" i="39" s="1"/>
  <c r="K164" i="39"/>
  <c r="L164" i="39" s="1"/>
  <c r="M164" i="39" s="1"/>
  <c r="K213" i="39"/>
  <c r="L213" i="39" s="1"/>
  <c r="M213" i="39" s="1"/>
  <c r="K182" i="39"/>
  <c r="L182" i="39" s="1"/>
  <c r="M182" i="39" s="1"/>
  <c r="K292" i="39"/>
  <c r="L292" i="39" s="1"/>
  <c r="M292" i="39" s="1"/>
  <c r="K106" i="39"/>
  <c r="L106" i="39" s="1"/>
  <c r="M106" i="39" s="1"/>
  <c r="K167" i="39"/>
  <c r="L167" i="39" s="1"/>
  <c r="M167" i="39" s="1"/>
  <c r="K230" i="39"/>
  <c r="L230" i="39" s="1"/>
  <c r="M230" i="39" s="1"/>
  <c r="K270" i="39"/>
  <c r="L270" i="39" s="1"/>
  <c r="M270" i="39" s="1"/>
  <c r="K176" i="39"/>
  <c r="L176" i="39" s="1"/>
  <c r="M176" i="39" s="1"/>
  <c r="K206" i="39"/>
  <c r="L206" i="39" s="1"/>
  <c r="M206" i="39" s="1"/>
  <c r="K239" i="39"/>
  <c r="L239" i="39" s="1"/>
  <c r="M239" i="39" s="1"/>
  <c r="K161" i="39"/>
  <c r="L161" i="39" s="1"/>
  <c r="M161" i="39" s="1"/>
  <c r="K179" i="39"/>
  <c r="L179" i="39" s="1"/>
  <c r="M179" i="39" s="1"/>
  <c r="K285" i="39"/>
  <c r="L285" i="39" s="1"/>
  <c r="M285" i="39" s="1"/>
  <c r="K112" i="39"/>
  <c r="L112" i="39" s="1"/>
  <c r="M112" i="39" s="1"/>
  <c r="K241" i="39"/>
  <c r="L241" i="39" s="1"/>
  <c r="M241" i="39" s="1"/>
  <c r="K29" i="39"/>
  <c r="L29" i="39" s="1"/>
  <c r="M29" i="39" s="1"/>
  <c r="K178" i="39"/>
  <c r="L178" i="39" s="1"/>
  <c r="M178" i="39" s="1"/>
  <c r="K278" i="39"/>
  <c r="L278" i="39" s="1"/>
  <c r="M278" i="39" s="1"/>
  <c r="K266" i="39"/>
  <c r="L266" i="39" s="1"/>
  <c r="M266" i="39" s="1"/>
  <c r="K143" i="39"/>
  <c r="L143" i="39" s="1"/>
  <c r="M143" i="39" s="1"/>
  <c r="K93" i="39"/>
  <c r="L93" i="39" s="1"/>
  <c r="M93" i="39" s="1"/>
  <c r="K194" i="39"/>
  <c r="L194" i="39" s="1"/>
  <c r="M194" i="39" s="1"/>
  <c r="K253" i="39"/>
  <c r="L253" i="39" s="1"/>
  <c r="M253" i="39" s="1"/>
  <c r="K258" i="39"/>
  <c r="L258" i="39" s="1"/>
  <c r="M258" i="39" s="1"/>
  <c r="K221" i="39"/>
  <c r="L221" i="39" s="1"/>
  <c r="M221" i="39" s="1"/>
  <c r="K315" i="39"/>
  <c r="L315" i="39" s="1"/>
  <c r="M315" i="39" s="1"/>
  <c r="K192" i="39"/>
  <c r="L192" i="39" s="1"/>
  <c r="M192" i="39" s="1"/>
  <c r="K219" i="39"/>
  <c r="L219" i="39" s="1"/>
  <c r="M219" i="39" s="1"/>
  <c r="K212" i="39"/>
  <c r="L212" i="39" s="1"/>
  <c r="M212" i="39" s="1"/>
  <c r="K269" i="39"/>
  <c r="L269" i="39" s="1"/>
  <c r="M269" i="39" s="1"/>
  <c r="K131" i="39"/>
  <c r="L131" i="39" s="1"/>
  <c r="M131" i="39" s="1"/>
  <c r="K115" i="39"/>
  <c r="L115" i="39" s="1"/>
  <c r="M115" i="39" s="1"/>
  <c r="K159" i="39"/>
  <c r="L159" i="39" s="1"/>
  <c r="M159" i="39" s="1"/>
  <c r="K283" i="39"/>
  <c r="L283" i="39" s="1"/>
  <c r="M283" i="39" s="1"/>
  <c r="K13" i="39"/>
  <c r="L13" i="39" s="1"/>
  <c r="M13" i="39" s="1"/>
  <c r="K262" i="39"/>
  <c r="L262" i="39" s="1"/>
  <c r="M262" i="39" s="1"/>
  <c r="K267" i="39"/>
  <c r="L267" i="39" s="1"/>
  <c r="M267" i="39" s="1"/>
  <c r="K273" i="39"/>
  <c r="L273" i="39" s="1"/>
  <c r="M273" i="39" s="1"/>
  <c r="K52" i="39"/>
  <c r="L52" i="39" s="1"/>
  <c r="M52" i="39" s="1"/>
  <c r="K139" i="39"/>
  <c r="L139" i="39" s="1"/>
  <c r="M139" i="39" s="1"/>
  <c r="K91" i="39"/>
  <c r="L91" i="39" s="1"/>
  <c r="M91" i="39" s="1"/>
  <c r="K127" i="39"/>
  <c r="L127" i="39" s="1"/>
  <c r="M127" i="39" s="1"/>
  <c r="K227" i="39"/>
  <c r="L227" i="39" s="1"/>
  <c r="M227" i="39" s="1"/>
  <c r="K242" i="39"/>
  <c r="L242" i="39" s="1"/>
  <c r="M242" i="39" s="1"/>
  <c r="K288" i="39"/>
  <c r="L288" i="39" s="1"/>
  <c r="M288" i="39" s="1"/>
  <c r="K107" i="39"/>
  <c r="L107" i="39" s="1"/>
  <c r="M107" i="39" s="1"/>
  <c r="K298" i="39"/>
  <c r="L298" i="39" s="1"/>
  <c r="M298" i="39" s="1"/>
  <c r="K119" i="39"/>
  <c r="L119" i="39" s="1"/>
  <c r="M119" i="39" s="1"/>
  <c r="K205" i="39"/>
  <c r="L205" i="39" s="1"/>
  <c r="M205" i="39" s="1"/>
  <c r="K46" i="39"/>
  <c r="L46" i="39" s="1"/>
  <c r="M46" i="39" s="1"/>
  <c r="K174" i="39"/>
  <c r="L174" i="39" s="1"/>
  <c r="M174" i="39" s="1"/>
  <c r="K6" i="39"/>
  <c r="L6" i="39" s="1"/>
  <c r="M6" i="39" s="1"/>
  <c r="K55" i="39"/>
  <c r="L55" i="39" s="1"/>
  <c r="M55" i="39" s="1"/>
  <c r="K33" i="39"/>
  <c r="L33" i="39" s="1"/>
  <c r="M33" i="39" s="1"/>
  <c r="K80" i="39"/>
  <c r="L80" i="39" s="1"/>
  <c r="M80" i="39" s="1"/>
  <c r="K101" i="39"/>
  <c r="L101" i="39" s="1"/>
  <c r="M101" i="39" s="1"/>
  <c r="K84" i="39"/>
  <c r="L84" i="39" s="1"/>
  <c r="M84" i="39" s="1"/>
  <c r="K185" i="39"/>
  <c r="L185" i="39" s="1"/>
  <c r="M185" i="39" s="1"/>
  <c r="K271" i="39"/>
  <c r="L271" i="39" s="1"/>
  <c r="M271" i="39" s="1"/>
  <c r="K95" i="39"/>
  <c r="L95" i="39" s="1"/>
  <c r="M95" i="39" s="1"/>
  <c r="K189" i="39"/>
  <c r="L189" i="39" s="1"/>
  <c r="M189" i="39" s="1"/>
  <c r="K251" i="39"/>
  <c r="L251" i="39" s="1"/>
  <c r="M251" i="39" s="1"/>
  <c r="K202" i="39"/>
  <c r="L202" i="39" s="1"/>
  <c r="M202" i="39" s="1"/>
  <c r="K235" i="39"/>
  <c r="L235" i="39" s="1"/>
  <c r="M235" i="39" s="1"/>
  <c r="K67" i="39"/>
  <c r="L67" i="39" s="1"/>
  <c r="M67" i="39" s="1"/>
  <c r="K97" i="39"/>
  <c r="L97" i="39" s="1"/>
  <c r="M97" i="39" s="1"/>
  <c r="K175" i="39"/>
  <c r="L175" i="39" s="1"/>
  <c r="M175" i="39" s="1"/>
  <c r="K135" i="39"/>
  <c r="L135" i="39" s="1"/>
  <c r="M135" i="39" s="1"/>
  <c r="K130" i="39"/>
  <c r="L130" i="39" s="1"/>
  <c r="M130" i="39" s="1"/>
  <c r="K24" i="39"/>
  <c r="L24" i="39" s="1"/>
  <c r="M24" i="39" s="1"/>
  <c r="K92" i="39"/>
  <c r="L92" i="39" s="1"/>
  <c r="M92" i="39" s="1"/>
  <c r="K265" i="39"/>
  <c r="L265" i="39" s="1"/>
  <c r="M265" i="39" s="1"/>
  <c r="K44" i="39"/>
  <c r="L44" i="39" s="1"/>
  <c r="M44" i="39" s="1"/>
  <c r="K201" i="39"/>
  <c r="L201" i="39" s="1"/>
  <c r="M201" i="39" s="1"/>
  <c r="K128" i="39"/>
  <c r="L128" i="39" s="1"/>
  <c r="M128" i="39" s="1"/>
  <c r="K35" i="39"/>
  <c r="L35" i="39" s="1"/>
  <c r="M35" i="39" s="1"/>
  <c r="K28" i="39"/>
  <c r="L28" i="39" s="1"/>
  <c r="M28" i="39" s="1"/>
  <c r="K290" i="39"/>
  <c r="L290" i="39" s="1"/>
  <c r="M290" i="39" s="1"/>
  <c r="K23" i="39"/>
  <c r="L23" i="39" s="1"/>
  <c r="M23" i="39" s="1"/>
  <c r="K228" i="39"/>
  <c r="L228" i="39" s="1"/>
  <c r="M228" i="39" s="1"/>
  <c r="K249" i="39"/>
  <c r="L249" i="39" s="1"/>
  <c r="M249" i="39" s="1"/>
  <c r="K307" i="39"/>
  <c r="L307" i="39" s="1"/>
  <c r="M307" i="39" s="1"/>
  <c r="K198" i="39"/>
  <c r="L198" i="39" s="1"/>
  <c r="M198" i="39" s="1"/>
  <c r="K18" i="39"/>
  <c r="L18" i="39" s="1"/>
  <c r="M18" i="39" s="1"/>
  <c r="K149" i="39"/>
  <c r="L149" i="39" s="1"/>
  <c r="M149" i="39" s="1"/>
  <c r="K82" i="39"/>
  <c r="L82" i="39" s="1"/>
  <c r="M82" i="39" s="1"/>
  <c r="K100" i="39"/>
  <c r="L100" i="39" s="1"/>
  <c r="M100" i="39" s="1"/>
  <c r="K259" i="39"/>
  <c r="L259" i="39" s="1"/>
  <c r="M259" i="39" s="1"/>
  <c r="K51" i="39"/>
  <c r="L51" i="39" s="1"/>
  <c r="M51" i="39" s="1"/>
  <c r="K299" i="39"/>
  <c r="L299" i="39" s="1"/>
  <c r="M299" i="39" s="1"/>
  <c r="K113" i="39"/>
  <c r="L113" i="39" s="1"/>
  <c r="M113" i="39" s="1"/>
  <c r="K237" i="39"/>
  <c r="L237" i="39" s="1"/>
  <c r="M237" i="39" s="1"/>
  <c r="K64" i="39"/>
  <c r="L64" i="39" s="1"/>
  <c r="M64" i="39" s="1"/>
  <c r="K306" i="39"/>
  <c r="L306" i="39" s="1"/>
  <c r="M306" i="39" s="1"/>
  <c r="K280" i="39"/>
  <c r="L280" i="39" s="1"/>
  <c r="M280" i="39" s="1"/>
  <c r="K59" i="39"/>
  <c r="L59" i="39" s="1"/>
  <c r="M59" i="39" s="1"/>
  <c r="K138" i="39"/>
  <c r="L138" i="39" s="1"/>
  <c r="M138" i="39" s="1"/>
  <c r="K294" i="39"/>
  <c r="L294" i="39" s="1"/>
  <c r="M294" i="39" s="1"/>
  <c r="K289" i="39"/>
  <c r="L289" i="39" s="1"/>
  <c r="M289" i="39" s="1"/>
  <c r="K71" i="39"/>
  <c r="L71" i="39" s="1"/>
  <c r="M71" i="39" s="1"/>
  <c r="K254" i="39"/>
  <c r="L254" i="39" s="1"/>
  <c r="M254" i="39" s="1"/>
  <c r="K186" i="39"/>
  <c r="L186" i="39" s="1"/>
  <c r="M186" i="39" s="1"/>
  <c r="K314" i="39"/>
  <c r="L314" i="39" s="1"/>
  <c r="M314" i="39" s="1"/>
  <c r="K276" i="39"/>
  <c r="L276" i="39" s="1"/>
  <c r="M276" i="39" s="1"/>
  <c r="K120" i="39"/>
  <c r="L120" i="39" s="1"/>
  <c r="M120" i="39" s="1"/>
  <c r="K169" i="39"/>
  <c r="L169" i="39" s="1"/>
  <c r="M169" i="39" s="1"/>
  <c r="K191" i="39"/>
  <c r="L191" i="39" s="1"/>
  <c r="M191" i="39" s="1"/>
  <c r="K193" i="39"/>
  <c r="L193" i="39" s="1"/>
  <c r="M193" i="39" s="1"/>
  <c r="K102" i="39"/>
  <c r="L102" i="39" s="1"/>
  <c r="M102" i="39" s="1"/>
  <c r="K17" i="39"/>
  <c r="L17" i="39" s="1"/>
  <c r="M17" i="39" s="1"/>
  <c r="K231" i="39"/>
  <c r="L231" i="39" s="1"/>
  <c r="M231" i="39" s="1"/>
  <c r="K160" i="39"/>
  <c r="L160" i="39" s="1"/>
  <c r="M160" i="39" s="1"/>
  <c r="K63" i="39"/>
  <c r="L63" i="39" s="1"/>
  <c r="M63" i="39" s="1"/>
  <c r="K170" i="39"/>
  <c r="L170" i="39" s="1"/>
  <c r="M170" i="39" s="1"/>
  <c r="K272" i="39"/>
  <c r="L272" i="39" s="1"/>
  <c r="M272" i="39" s="1"/>
  <c r="K26" i="39"/>
  <c r="L26" i="39" s="1"/>
  <c r="M26" i="39" s="1"/>
  <c r="K109" i="39"/>
  <c r="L109" i="39" s="1"/>
  <c r="M109" i="39" s="1"/>
  <c r="K76" i="39"/>
  <c r="L76" i="39" s="1"/>
  <c r="M76" i="39" s="1"/>
  <c r="K158" i="39"/>
  <c r="L158" i="39" s="1"/>
  <c r="M158" i="39" s="1"/>
  <c r="K166" i="39"/>
  <c r="L166" i="39" s="1"/>
  <c r="M166" i="39" s="1"/>
  <c r="K263" i="39"/>
  <c r="L263" i="39" s="1"/>
  <c r="M263" i="39" s="1"/>
  <c r="K27" i="39"/>
  <c r="L27" i="39" s="1"/>
  <c r="M27" i="39" s="1"/>
  <c r="K197" i="39"/>
  <c r="L197" i="39" s="1"/>
  <c r="M197" i="39" s="1"/>
  <c r="K304" i="39"/>
  <c r="L304" i="39" s="1"/>
  <c r="M304" i="39" s="1"/>
  <c r="K184" i="39"/>
  <c r="L184" i="39" s="1"/>
  <c r="M184" i="39" s="1"/>
  <c r="K246" i="39"/>
  <c r="L246" i="39" s="1"/>
  <c r="M246" i="39" s="1"/>
  <c r="K295" i="39"/>
  <c r="L295" i="39" s="1"/>
  <c r="M295" i="39" s="1"/>
  <c r="K123" i="39"/>
  <c r="L123" i="39" s="1"/>
  <c r="M123" i="39" s="1"/>
  <c r="K36" i="39"/>
  <c r="L36" i="39" s="1"/>
  <c r="M36" i="39" s="1"/>
  <c r="K14" i="39"/>
  <c r="L14" i="39" s="1"/>
  <c r="M14" i="39" s="1"/>
  <c r="K74" i="39"/>
  <c r="L74" i="39" s="1"/>
  <c r="M74" i="39" s="1"/>
  <c r="K75" i="39"/>
  <c r="L75" i="39" s="1"/>
  <c r="M75" i="39" s="1"/>
  <c r="K47" i="39"/>
  <c r="L47" i="39" s="1"/>
  <c r="M47" i="39" s="1"/>
  <c r="K31" i="39"/>
  <c r="L31" i="39" s="1"/>
  <c r="M31" i="39" s="1"/>
  <c r="K146" i="39"/>
  <c r="L146" i="39" s="1"/>
  <c r="M146" i="39" s="1"/>
  <c r="K224" i="39"/>
  <c r="L224" i="39" s="1"/>
  <c r="M224" i="39" s="1"/>
  <c r="K72" i="39"/>
  <c r="L72" i="39" s="1"/>
  <c r="M72" i="39" s="1"/>
  <c r="K150" i="39"/>
  <c r="L150" i="39" s="1"/>
  <c r="M150" i="39" s="1"/>
  <c r="K168" i="39"/>
  <c r="L168" i="39" s="1"/>
  <c r="M168" i="39" s="1"/>
  <c r="K110" i="39"/>
  <c r="L110" i="39" s="1"/>
  <c r="M110" i="39" s="1"/>
  <c r="K41" i="39"/>
  <c r="L41" i="39" s="1"/>
  <c r="M41" i="39" s="1"/>
  <c r="K83" i="39"/>
  <c r="L83" i="39" s="1"/>
  <c r="M83" i="39" s="1"/>
  <c r="K10" i="39"/>
  <c r="L10" i="39" s="1"/>
  <c r="M10" i="39" s="1"/>
  <c r="K86" i="39"/>
  <c r="L86" i="39" s="1"/>
  <c r="M86" i="39" s="1"/>
  <c r="K108" i="39"/>
  <c r="L108" i="39" s="1"/>
  <c r="M108" i="39" s="1"/>
  <c r="K87" i="39"/>
  <c r="L87" i="39" s="1"/>
  <c r="M87" i="39" s="1"/>
  <c r="K190" i="39"/>
  <c r="L190" i="39" s="1"/>
  <c r="M190" i="39" s="1"/>
  <c r="K117" i="39"/>
  <c r="L117" i="39" s="1"/>
  <c r="M117" i="39" s="1"/>
  <c r="K220" i="39"/>
  <c r="L220" i="39" s="1"/>
  <c r="M220" i="39" s="1"/>
  <c r="K116" i="39"/>
  <c r="L116" i="39" s="1"/>
  <c r="M116" i="39" s="1"/>
  <c r="K217" i="39"/>
  <c r="L217" i="39" s="1"/>
  <c r="M217" i="39" s="1"/>
  <c r="K132" i="39"/>
  <c r="L132" i="39" s="1"/>
  <c r="M132" i="39" s="1"/>
  <c r="K104" i="39"/>
  <c r="L104" i="39" s="1"/>
  <c r="M104" i="39" s="1"/>
  <c r="K152" i="39"/>
  <c r="L152" i="39" s="1"/>
  <c r="M152" i="39" s="1"/>
  <c r="K156" i="39"/>
  <c r="L156" i="39" s="1"/>
  <c r="M156" i="39" s="1"/>
  <c r="K103" i="39"/>
  <c r="L103" i="39" s="1"/>
  <c r="M103" i="39" s="1"/>
  <c r="K39" i="39"/>
  <c r="L39" i="39" s="1"/>
  <c r="M39" i="39" s="1"/>
  <c r="K171" i="39"/>
  <c r="L171" i="39" s="1"/>
  <c r="M171" i="39" s="1"/>
  <c r="K40" i="39"/>
  <c r="L40" i="39" s="1"/>
  <c r="M40" i="39" s="1"/>
  <c r="K200" i="39"/>
  <c r="L200" i="39" s="1"/>
  <c r="M200" i="39" s="1"/>
  <c r="K264" i="39"/>
  <c r="L264" i="39" s="1"/>
  <c r="M264" i="39" s="1"/>
  <c r="K209" i="39"/>
  <c r="L209" i="39" s="1"/>
  <c r="M209" i="39" s="1"/>
  <c r="K124" i="39"/>
  <c r="L124" i="39" s="1"/>
  <c r="M124" i="39" s="1"/>
  <c r="K279" i="39"/>
  <c r="L279" i="39" s="1"/>
  <c r="M279" i="39" s="1"/>
  <c r="K5" i="39"/>
  <c r="L5" i="39" s="1"/>
  <c r="M5" i="39" s="1"/>
  <c r="N271" i="38"/>
  <c r="K262" i="37"/>
  <c r="L262" i="37" s="1"/>
  <c r="M262" i="37" s="1"/>
  <c r="N262" i="37" s="1"/>
  <c r="K290" i="37"/>
  <c r="L290" i="37" s="1"/>
  <c r="M290" i="37" s="1"/>
  <c r="N290" i="37" s="1"/>
  <c r="K157" i="37"/>
  <c r="L157" i="37" s="1"/>
  <c r="M157" i="37" s="1"/>
  <c r="N157" i="37" s="1"/>
  <c r="K152" i="37"/>
  <c r="L152" i="37" s="1"/>
  <c r="M152" i="37" s="1"/>
  <c r="N152" i="37" s="1"/>
  <c r="K13" i="37"/>
  <c r="L13" i="37" s="1"/>
  <c r="M13" i="37" s="1"/>
  <c r="N13" i="37" s="1"/>
  <c r="K9" i="37"/>
  <c r="L9" i="37" s="1"/>
  <c r="M9" i="37" s="1"/>
  <c r="N9" i="37" s="1"/>
  <c r="K42" i="37"/>
  <c r="L42" i="37" s="1"/>
  <c r="M42" i="37" s="1"/>
  <c r="N42" i="37" s="1"/>
  <c r="K173" i="37"/>
  <c r="L173" i="37" s="1"/>
  <c r="M173" i="37" s="1"/>
  <c r="N173" i="37" s="1"/>
  <c r="K300" i="37"/>
  <c r="L300" i="37" s="1"/>
  <c r="M300" i="37" s="1"/>
  <c r="N300" i="37" s="1"/>
  <c r="K79" i="37"/>
  <c r="L79" i="37" s="1"/>
  <c r="M79" i="37" s="1"/>
  <c r="N79" i="37" s="1"/>
  <c r="K219" i="37"/>
  <c r="L219" i="37" s="1"/>
  <c r="M219" i="37" s="1"/>
  <c r="N219" i="37" s="1"/>
  <c r="K244" i="37"/>
  <c r="L244" i="37" s="1"/>
  <c r="M244" i="37" s="1"/>
  <c r="N244" i="37" s="1"/>
  <c r="K195" i="37"/>
  <c r="L195" i="37" s="1"/>
  <c r="M195" i="37" s="1"/>
  <c r="N195" i="37" s="1"/>
  <c r="K293" i="37"/>
  <c r="L293" i="37" s="1"/>
  <c r="M293" i="37" s="1"/>
  <c r="N293" i="37" s="1"/>
  <c r="K160" i="37"/>
  <c r="L160" i="37" s="1"/>
  <c r="M160" i="37" s="1"/>
  <c r="N160" i="37" s="1"/>
  <c r="K280" i="37"/>
  <c r="L280" i="37" s="1"/>
  <c r="M280" i="37" s="1"/>
  <c r="N280" i="37" s="1"/>
  <c r="K286" i="37"/>
  <c r="L286" i="37" s="1"/>
  <c r="M286" i="37" s="1"/>
  <c r="N286" i="37" s="1"/>
  <c r="K161" i="37"/>
  <c r="L161" i="37" s="1"/>
  <c r="M161" i="37" s="1"/>
  <c r="N161" i="37" s="1"/>
  <c r="K288" i="37"/>
  <c r="L288" i="37" s="1"/>
  <c r="M288" i="37" s="1"/>
  <c r="N288" i="37" s="1"/>
  <c r="K28" i="37"/>
  <c r="L28" i="37" s="1"/>
  <c r="M28" i="37" s="1"/>
  <c r="N28" i="37" s="1"/>
  <c r="K251" i="37"/>
  <c r="L251" i="37" s="1"/>
  <c r="M251" i="37" s="1"/>
  <c r="N251" i="37" s="1"/>
  <c r="K134" i="37"/>
  <c r="L134" i="37" s="1"/>
  <c r="M134" i="37" s="1"/>
  <c r="N134" i="37" s="1"/>
  <c r="K313" i="37"/>
  <c r="L313" i="37" s="1"/>
  <c r="M313" i="37" s="1"/>
  <c r="N313" i="37" s="1"/>
  <c r="K249" i="37"/>
  <c r="L249" i="37" s="1"/>
  <c r="M249" i="37" s="1"/>
  <c r="N249" i="37" s="1"/>
  <c r="K119" i="37"/>
  <c r="L119" i="37" s="1"/>
  <c r="M119" i="37" s="1"/>
  <c r="N119" i="37" s="1"/>
  <c r="K204" i="37"/>
  <c r="L204" i="37" s="1"/>
  <c r="M204" i="37" s="1"/>
  <c r="N204" i="37" s="1"/>
  <c r="K259" i="37"/>
  <c r="L259" i="37" s="1"/>
  <c r="M259" i="37" s="1"/>
  <c r="N259" i="37" s="1"/>
  <c r="K86" i="37"/>
  <c r="L86" i="37" s="1"/>
  <c r="M86" i="37" s="1"/>
  <c r="N86" i="37" s="1"/>
  <c r="K32" i="37"/>
  <c r="L32" i="37" s="1"/>
  <c r="M32" i="37" s="1"/>
  <c r="N32" i="37" s="1"/>
  <c r="K108" i="37"/>
  <c r="L108" i="37" s="1"/>
  <c r="M108" i="37" s="1"/>
  <c r="N108" i="37" s="1"/>
  <c r="K276" i="37"/>
  <c r="L276" i="37" s="1"/>
  <c r="M276" i="37" s="1"/>
  <c r="N276" i="37" s="1"/>
  <c r="K151" i="37"/>
  <c r="L151" i="37" s="1"/>
  <c r="M151" i="37" s="1"/>
  <c r="N151" i="37" s="1"/>
  <c r="K242" i="37"/>
  <c r="L242" i="37" s="1"/>
  <c r="M242" i="37" s="1"/>
  <c r="N242" i="37" s="1"/>
  <c r="K301" i="37"/>
  <c r="L301" i="37" s="1"/>
  <c r="M301" i="37" s="1"/>
  <c r="N301" i="37" s="1"/>
  <c r="K269" i="37"/>
  <c r="L269" i="37" s="1"/>
  <c r="M269" i="37" s="1"/>
  <c r="N269" i="37" s="1"/>
  <c r="K215" i="37"/>
  <c r="L215" i="37" s="1"/>
  <c r="M215" i="37" s="1"/>
  <c r="N215" i="37" s="1"/>
  <c r="K179" i="37"/>
  <c r="L179" i="37" s="1"/>
  <c r="M179" i="37" s="1"/>
  <c r="N179" i="37" s="1"/>
  <c r="K147" i="37"/>
  <c r="L147" i="37" s="1"/>
  <c r="M147" i="37" s="1"/>
  <c r="N147" i="37" s="1"/>
  <c r="K63" i="37"/>
  <c r="L63" i="37" s="1"/>
  <c r="M63" i="37" s="1"/>
  <c r="N63" i="37" s="1"/>
  <c r="K263" i="37"/>
  <c r="L263" i="37" s="1"/>
  <c r="M263" i="37" s="1"/>
  <c r="N263" i="37" s="1"/>
  <c r="K309" i="37"/>
  <c r="L309" i="37" s="1"/>
  <c r="M309" i="37" s="1"/>
  <c r="N309" i="37" s="1"/>
  <c r="K246" i="37"/>
  <c r="L246" i="37" s="1"/>
  <c r="M246" i="37" s="1"/>
  <c r="N246" i="37" s="1"/>
  <c r="K297" i="37"/>
  <c r="L297" i="37" s="1"/>
  <c r="M297" i="37" s="1"/>
  <c r="N297" i="37" s="1"/>
  <c r="K256" i="37"/>
  <c r="L256" i="37" s="1"/>
  <c r="M256" i="37" s="1"/>
  <c r="N256" i="37" s="1"/>
  <c r="K308" i="37"/>
  <c r="L308" i="37" s="1"/>
  <c r="M308" i="37" s="1"/>
  <c r="N308" i="37" s="1"/>
  <c r="K273" i="37"/>
  <c r="L273" i="37" s="1"/>
  <c r="M273" i="37" s="1"/>
  <c r="N273" i="37" s="1"/>
  <c r="K255" i="37"/>
  <c r="L255" i="37" s="1"/>
  <c r="M255" i="37" s="1"/>
  <c r="N255" i="37" s="1"/>
  <c r="K64" i="37"/>
  <c r="L64" i="37" s="1"/>
  <c r="M64" i="37" s="1"/>
  <c r="N64" i="37" s="1"/>
  <c r="K248" i="37"/>
  <c r="L248" i="37" s="1"/>
  <c r="M248" i="37" s="1"/>
  <c r="N248" i="37" s="1"/>
  <c r="K68" i="37"/>
  <c r="L68" i="37" s="1"/>
  <c r="M68" i="37" s="1"/>
  <c r="N68" i="37" s="1"/>
  <c r="K52" i="37"/>
  <c r="L52" i="37" s="1"/>
  <c r="M52" i="37" s="1"/>
  <c r="N52" i="37" s="1"/>
  <c r="K156" i="37"/>
  <c r="L156" i="37" s="1"/>
  <c r="M156" i="37" s="1"/>
  <c r="N156" i="37" s="1"/>
  <c r="K253" i="37"/>
  <c r="L253" i="37" s="1"/>
  <c r="M253" i="37" s="1"/>
  <c r="N253" i="37" s="1"/>
  <c r="K258" i="37"/>
  <c r="L258" i="37" s="1"/>
  <c r="M258" i="37" s="1"/>
  <c r="N258" i="37" s="1"/>
  <c r="K257" i="37"/>
  <c r="L257" i="37" s="1"/>
  <c r="M257" i="37" s="1"/>
  <c r="N257" i="37" s="1"/>
  <c r="K305" i="37"/>
  <c r="L305" i="37" s="1"/>
  <c r="M305" i="37" s="1"/>
  <c r="N305" i="37" s="1"/>
  <c r="K135" i="37"/>
  <c r="L135" i="37" s="1"/>
  <c r="M135" i="37" s="1"/>
  <c r="N135" i="37" s="1"/>
  <c r="K56" i="37"/>
  <c r="L56" i="37" s="1"/>
  <c r="M56" i="37" s="1"/>
  <c r="N56" i="37" s="1"/>
  <c r="K5" i="37"/>
  <c r="L5" i="37" s="1"/>
  <c r="M5" i="37" s="1"/>
  <c r="N5" i="37" s="1"/>
  <c r="K181" i="37"/>
  <c r="L181" i="37" s="1"/>
  <c r="M181" i="37" s="1"/>
  <c r="N181" i="37" s="1"/>
  <c r="K279" i="37"/>
  <c r="L279" i="37" s="1"/>
  <c r="M279" i="37" s="1"/>
  <c r="N279" i="37" s="1"/>
  <c r="K150" i="37"/>
  <c r="L150" i="37" s="1"/>
  <c r="M150" i="37" s="1"/>
  <c r="N150" i="37" s="1"/>
  <c r="K136" i="37"/>
  <c r="L136" i="37" s="1"/>
  <c r="M136" i="37" s="1"/>
  <c r="N136" i="37" s="1"/>
  <c r="K284" i="37"/>
  <c r="L284" i="37" s="1"/>
  <c r="M284" i="37" s="1"/>
  <c r="N284" i="37" s="1"/>
  <c r="K76" i="37"/>
  <c r="L76" i="37" s="1"/>
  <c r="M76" i="37" s="1"/>
  <c r="N76" i="37" s="1"/>
  <c r="K50" i="37"/>
  <c r="L50" i="37" s="1"/>
  <c r="M50" i="37" s="1"/>
  <c r="N50" i="37" s="1"/>
  <c r="K189" i="37"/>
  <c r="L189" i="37" s="1"/>
  <c r="M189" i="37" s="1"/>
  <c r="N189" i="37" s="1"/>
  <c r="K7" i="37"/>
  <c r="L7" i="37" s="1"/>
  <c r="M7" i="37" s="1"/>
  <c r="N7" i="37" s="1"/>
  <c r="K224" i="37"/>
  <c r="L224" i="37" s="1"/>
  <c r="M224" i="37" s="1"/>
  <c r="N224" i="37" s="1"/>
  <c r="K70" i="37"/>
  <c r="L70" i="37" s="1"/>
  <c r="M70" i="37" s="1"/>
  <c r="N70" i="37" s="1"/>
  <c r="K62" i="37"/>
  <c r="L62" i="37" s="1"/>
  <c r="M62" i="37" s="1"/>
  <c r="N62" i="37" s="1"/>
  <c r="K212" i="37"/>
  <c r="L212" i="37" s="1"/>
  <c r="M212" i="37" s="1"/>
  <c r="N212" i="37" s="1"/>
  <c r="K67" i="37"/>
  <c r="L67" i="37" s="1"/>
  <c r="M67" i="37" s="1"/>
  <c r="N67" i="37" s="1"/>
  <c r="K91" i="37"/>
  <c r="L91" i="37" s="1"/>
  <c r="M91" i="37" s="1"/>
  <c r="N91" i="37" s="1"/>
  <c r="K210" i="37"/>
  <c r="L210" i="37" s="1"/>
  <c r="M210" i="37" s="1"/>
  <c r="N210" i="37" s="1"/>
  <c r="K132" i="37"/>
  <c r="L132" i="37" s="1"/>
  <c r="M132" i="37" s="1"/>
  <c r="N132" i="37" s="1"/>
  <c r="K126" i="37"/>
  <c r="L126" i="37" s="1"/>
  <c r="M126" i="37" s="1"/>
  <c r="N126" i="37" s="1"/>
  <c r="K254" i="37"/>
  <c r="L254" i="37" s="1"/>
  <c r="M254" i="37" s="1"/>
  <c r="N254" i="37" s="1"/>
  <c r="K20" i="37"/>
  <c r="L20" i="37" s="1"/>
  <c r="M20" i="37" s="1"/>
  <c r="N20" i="37" s="1"/>
  <c r="K25" i="37"/>
  <c r="L25" i="37" s="1"/>
  <c r="M25" i="37" s="1"/>
  <c r="N25" i="37" s="1"/>
  <c r="K128" i="37"/>
  <c r="L128" i="37" s="1"/>
  <c r="M128" i="37" s="1"/>
  <c r="N128" i="37" s="1"/>
  <c r="K37" i="37"/>
  <c r="L37" i="37" s="1"/>
  <c r="M37" i="37" s="1"/>
  <c r="N37" i="37" s="1"/>
  <c r="K89" i="37"/>
  <c r="L89" i="37" s="1"/>
  <c r="M89" i="37" s="1"/>
  <c r="N89" i="37" s="1"/>
  <c r="K172" i="37"/>
  <c r="L172" i="37" s="1"/>
  <c r="M172" i="37" s="1"/>
  <c r="N172" i="37" s="1"/>
  <c r="K144" i="37"/>
  <c r="L144" i="37" s="1"/>
  <c r="M144" i="37" s="1"/>
  <c r="N144" i="37" s="1"/>
  <c r="K165" i="37"/>
  <c r="L165" i="37" s="1"/>
  <c r="M165" i="37" s="1"/>
  <c r="N165" i="37" s="1"/>
  <c r="K112" i="37"/>
  <c r="L112" i="37" s="1"/>
  <c r="M112" i="37" s="1"/>
  <c r="N112" i="37" s="1"/>
  <c r="K60" i="37"/>
  <c r="L60" i="37" s="1"/>
  <c r="M60" i="37" s="1"/>
  <c r="N60" i="37" s="1"/>
  <c r="K140" i="37"/>
  <c r="L140" i="37" s="1"/>
  <c r="M140" i="37" s="1"/>
  <c r="N140" i="37" s="1"/>
  <c r="K177" i="37"/>
  <c r="L177" i="37" s="1"/>
  <c r="M177" i="37" s="1"/>
  <c r="N177" i="37" s="1"/>
  <c r="K261" i="37"/>
  <c r="L261" i="37" s="1"/>
  <c r="M261" i="37" s="1"/>
  <c r="N261" i="37" s="1"/>
  <c r="K188" i="37"/>
  <c r="L188" i="37" s="1"/>
  <c r="M188" i="37" s="1"/>
  <c r="N188" i="37" s="1"/>
  <c r="K35" i="37"/>
  <c r="L35" i="37" s="1"/>
  <c r="M35" i="37" s="1"/>
  <c r="N35" i="37" s="1"/>
  <c r="K74" i="37"/>
  <c r="L74" i="37" s="1"/>
  <c r="M74" i="37" s="1"/>
  <c r="N74" i="37" s="1"/>
  <c r="K272" i="37"/>
  <c r="L272" i="37" s="1"/>
  <c r="M272" i="37" s="1"/>
  <c r="N272" i="37" s="1"/>
  <c r="K24" i="37"/>
  <c r="L24" i="37" s="1"/>
  <c r="M24" i="37" s="1"/>
  <c r="N24" i="37" s="1"/>
  <c r="K92" i="37"/>
  <c r="L92" i="37" s="1"/>
  <c r="M92" i="37" s="1"/>
  <c r="N92" i="37" s="1"/>
  <c r="K66" i="37"/>
  <c r="L66" i="37" s="1"/>
  <c r="M66" i="37" s="1"/>
  <c r="N66" i="37" s="1"/>
  <c r="K11" i="37"/>
  <c r="L11" i="37" s="1"/>
  <c r="M11" i="37" s="1"/>
  <c r="N11" i="37" s="1"/>
  <c r="K8" i="37"/>
  <c r="L8" i="37" s="1"/>
  <c r="M8" i="37" s="1"/>
  <c r="N8" i="37" s="1"/>
  <c r="K168" i="37"/>
  <c r="L168" i="37" s="1"/>
  <c r="M168" i="37" s="1"/>
  <c r="N168" i="37" s="1"/>
  <c r="K59" i="37"/>
  <c r="L59" i="37" s="1"/>
  <c r="M59" i="37" s="1"/>
  <c r="N59" i="37" s="1"/>
  <c r="K265" i="37"/>
  <c r="L265" i="37" s="1"/>
  <c r="M265" i="37" s="1"/>
  <c r="N265" i="37" s="1"/>
  <c r="K80" i="37"/>
  <c r="L80" i="37" s="1"/>
  <c r="M80" i="37" s="1"/>
  <c r="N80" i="37" s="1"/>
  <c r="K47" i="37"/>
  <c r="L47" i="37" s="1"/>
  <c r="M47" i="37" s="1"/>
  <c r="N47" i="37" s="1"/>
  <c r="K208" i="37"/>
  <c r="L208" i="37" s="1"/>
  <c r="M208" i="37" s="1"/>
  <c r="N208" i="37" s="1"/>
  <c r="K169" i="37"/>
  <c r="L169" i="37" s="1"/>
  <c r="M169" i="37" s="1"/>
  <c r="N169" i="37" s="1"/>
  <c r="K148" i="37"/>
  <c r="L148" i="37" s="1"/>
  <c r="M148" i="37" s="1"/>
  <c r="N148" i="37" s="1"/>
  <c r="K12" i="37"/>
  <c r="L12" i="37" s="1"/>
  <c r="M12" i="37" s="1"/>
  <c r="N12" i="37" s="1"/>
  <c r="K23" i="37"/>
  <c r="L23" i="37" s="1"/>
  <c r="M23" i="37" s="1"/>
  <c r="N23" i="37" s="1"/>
  <c r="K170" i="37"/>
  <c r="L170" i="37" s="1"/>
  <c r="M170" i="37" s="1"/>
  <c r="N170" i="37" s="1"/>
  <c r="K193" i="37"/>
  <c r="L193" i="37" s="1"/>
  <c r="M193" i="37" s="1"/>
  <c r="N193" i="37" s="1"/>
  <c r="K197" i="37"/>
  <c r="L197" i="37" s="1"/>
  <c r="M197" i="37" s="1"/>
  <c r="N197" i="37" s="1"/>
  <c r="K16" i="37"/>
  <c r="L16" i="37" s="1"/>
  <c r="M16" i="37" s="1"/>
  <c r="N16" i="37" s="1"/>
  <c r="K19" i="37"/>
  <c r="L19" i="37" s="1"/>
  <c r="M19" i="37" s="1"/>
  <c r="N19" i="37" s="1"/>
  <c r="K104" i="37"/>
  <c r="L104" i="37" s="1"/>
  <c r="M104" i="37" s="1"/>
  <c r="N104" i="37" s="1"/>
  <c r="K281" i="37"/>
  <c r="L281" i="37" s="1"/>
  <c r="M281" i="37" s="1"/>
  <c r="N281" i="37" s="1"/>
  <c r="K15" i="37"/>
  <c r="L15" i="37" s="1"/>
  <c r="M15" i="37" s="1"/>
  <c r="N15" i="37" s="1"/>
  <c r="K252" i="37"/>
  <c r="L252" i="37" s="1"/>
  <c r="M252" i="37" s="1"/>
  <c r="N252" i="37" s="1"/>
  <c r="K234" i="37"/>
  <c r="L234" i="37" s="1"/>
  <c r="M234" i="37" s="1"/>
  <c r="N234" i="37" s="1"/>
  <c r="K75" i="37"/>
  <c r="L75" i="37" s="1"/>
  <c r="M75" i="37" s="1"/>
  <c r="N75" i="37" s="1"/>
  <c r="K142" i="37"/>
  <c r="L142" i="37" s="1"/>
  <c r="M142" i="37" s="1"/>
  <c r="N142" i="37" s="1"/>
  <c r="K71" i="37"/>
  <c r="L71" i="37" s="1"/>
  <c r="M71" i="37" s="1"/>
  <c r="N71" i="37" s="1"/>
  <c r="K129" i="37"/>
  <c r="L129" i="37" s="1"/>
  <c r="M129" i="37" s="1"/>
  <c r="N129" i="37" s="1"/>
  <c r="K26" i="37"/>
  <c r="L26" i="37" s="1"/>
  <c r="M26" i="37" s="1"/>
  <c r="N26" i="37" s="1"/>
  <c r="K283" i="37"/>
  <c r="L283" i="37" s="1"/>
  <c r="M283" i="37" s="1"/>
  <c r="N283" i="37" s="1"/>
  <c r="K58" i="37"/>
  <c r="L58" i="37" s="1"/>
  <c r="M58" i="37" s="1"/>
  <c r="N58" i="37" s="1"/>
  <c r="K81" i="37"/>
  <c r="L81" i="37" s="1"/>
  <c r="M81" i="37" s="1"/>
  <c r="N81" i="37" s="1"/>
  <c r="K36" i="37"/>
  <c r="L36" i="37" s="1"/>
  <c r="M36" i="37" s="1"/>
  <c r="N36" i="37" s="1"/>
  <c r="K96" i="37"/>
  <c r="L96" i="37" s="1"/>
  <c r="M96" i="37" s="1"/>
  <c r="N96" i="37" s="1"/>
  <c r="K232" i="37"/>
  <c r="L232" i="37" s="1"/>
  <c r="M232" i="37" s="1"/>
  <c r="N232" i="37" s="1"/>
  <c r="K93" i="37"/>
  <c r="L93" i="37" s="1"/>
  <c r="M93" i="37" s="1"/>
  <c r="N93" i="37" s="1"/>
  <c r="K267" i="37"/>
  <c r="L267" i="37" s="1"/>
  <c r="M267" i="37" s="1"/>
  <c r="N267" i="37" s="1"/>
  <c r="K217" i="37"/>
  <c r="L217" i="37" s="1"/>
  <c r="M217" i="37" s="1"/>
  <c r="N217" i="37" s="1"/>
  <c r="K133" i="37"/>
  <c r="L133" i="37" s="1"/>
  <c r="M133" i="37" s="1"/>
  <c r="N133" i="37" s="1"/>
  <c r="K216" i="37"/>
  <c r="L216" i="37" s="1"/>
  <c r="M216" i="37" s="1"/>
  <c r="N216" i="37" s="1"/>
  <c r="K186" i="37"/>
  <c r="L186" i="37" s="1"/>
  <c r="M186" i="37" s="1"/>
  <c r="N186" i="37" s="1"/>
  <c r="K77" i="37"/>
  <c r="L77" i="37" s="1"/>
  <c r="M77" i="37" s="1"/>
  <c r="N77" i="37" s="1"/>
  <c r="K228" i="37"/>
  <c r="L228" i="37" s="1"/>
  <c r="M228" i="37" s="1"/>
  <c r="N228" i="37" s="1"/>
  <c r="K236" i="37"/>
  <c r="L236" i="37" s="1"/>
  <c r="M236" i="37" s="1"/>
  <c r="N236" i="37" s="1"/>
  <c r="K316" i="37"/>
  <c r="L316" i="37" s="1"/>
  <c r="M316" i="37" s="1"/>
  <c r="N316" i="37" s="1"/>
  <c r="K311" i="37"/>
  <c r="L311" i="37" s="1"/>
  <c r="M311" i="37" s="1"/>
  <c r="N311" i="37" s="1"/>
  <c r="K213" i="37"/>
  <c r="L213" i="37" s="1"/>
  <c r="M213" i="37" s="1"/>
  <c r="N213" i="37" s="1"/>
  <c r="K99" i="37"/>
  <c r="L99" i="37" s="1"/>
  <c r="M99" i="37" s="1"/>
  <c r="N99" i="37" s="1"/>
  <c r="K194" i="37"/>
  <c r="L194" i="37" s="1"/>
  <c r="M194" i="37" s="1"/>
  <c r="N194" i="37" s="1"/>
  <c r="K196" i="37"/>
  <c r="L196" i="37" s="1"/>
  <c r="M196" i="37" s="1"/>
  <c r="N196" i="37" s="1"/>
  <c r="K65" i="37"/>
  <c r="L65" i="37" s="1"/>
  <c r="M65" i="37" s="1"/>
  <c r="N65" i="37" s="1"/>
  <c r="K158" i="37"/>
  <c r="L158" i="37" s="1"/>
  <c r="M158" i="37" s="1"/>
  <c r="N158" i="37" s="1"/>
  <c r="K29" i="37"/>
  <c r="L29" i="37" s="1"/>
  <c r="M29" i="37" s="1"/>
  <c r="N29" i="37" s="1"/>
  <c r="K247" i="37"/>
  <c r="L247" i="37" s="1"/>
  <c r="M247" i="37" s="1"/>
  <c r="N247" i="37" s="1"/>
  <c r="K174" i="37"/>
  <c r="L174" i="37" s="1"/>
  <c r="M174" i="37" s="1"/>
  <c r="N174" i="37" s="1"/>
  <c r="K164" i="37"/>
  <c r="L164" i="37" s="1"/>
  <c r="M164" i="37" s="1"/>
  <c r="N164" i="37" s="1"/>
  <c r="K237" i="37"/>
  <c r="L237" i="37" s="1"/>
  <c r="M237" i="37" s="1"/>
  <c r="N237" i="37" s="1"/>
  <c r="K278" i="37"/>
  <c r="L278" i="37" s="1"/>
  <c r="M278" i="37" s="1"/>
  <c r="N278" i="37" s="1"/>
  <c r="K239" i="37"/>
  <c r="L239" i="37" s="1"/>
  <c r="M239" i="37" s="1"/>
  <c r="N239" i="37" s="1"/>
  <c r="K175" i="37"/>
  <c r="L175" i="37" s="1"/>
  <c r="M175" i="37" s="1"/>
  <c r="N175" i="37" s="1"/>
  <c r="K120" i="37"/>
  <c r="L120" i="37" s="1"/>
  <c r="M120" i="37" s="1"/>
  <c r="N120" i="37" s="1"/>
  <c r="K226" i="37"/>
  <c r="L226" i="37" s="1"/>
  <c r="M226" i="37" s="1"/>
  <c r="N226" i="37" s="1"/>
  <c r="K199" i="37"/>
  <c r="L199" i="37" s="1"/>
  <c r="M199" i="37" s="1"/>
  <c r="N199" i="37" s="1"/>
  <c r="K139" i="37"/>
  <c r="L139" i="37" s="1"/>
  <c r="M139" i="37" s="1"/>
  <c r="N139" i="37" s="1"/>
  <c r="K130" i="37"/>
  <c r="L130" i="37" s="1"/>
  <c r="M130" i="37" s="1"/>
  <c r="N130" i="37" s="1"/>
  <c r="K203" i="37"/>
  <c r="L203" i="37" s="1"/>
  <c r="M203" i="37" s="1"/>
  <c r="N203" i="37" s="1"/>
  <c r="K22" i="37"/>
  <c r="L22" i="37" s="1"/>
  <c r="M22" i="37" s="1"/>
  <c r="N22" i="37" s="1"/>
  <c r="K220" i="37"/>
  <c r="L220" i="37" s="1"/>
  <c r="M220" i="37" s="1"/>
  <c r="N220" i="37" s="1"/>
  <c r="K159" i="37"/>
  <c r="L159" i="37" s="1"/>
  <c r="M159" i="37" s="1"/>
  <c r="N159" i="37" s="1"/>
  <c r="K34" i="37"/>
  <c r="L34" i="37" s="1"/>
  <c r="M34" i="37" s="1"/>
  <c r="N34" i="37" s="1"/>
  <c r="K198" i="37"/>
  <c r="L198" i="37" s="1"/>
  <c r="M198" i="37" s="1"/>
  <c r="N198" i="37" s="1"/>
  <c r="K117" i="37"/>
  <c r="L117" i="37" s="1"/>
  <c r="M117" i="37" s="1"/>
  <c r="N117" i="37" s="1"/>
  <c r="K110" i="37"/>
  <c r="L110" i="37" s="1"/>
  <c r="M110" i="37" s="1"/>
  <c r="N110" i="37" s="1"/>
  <c r="K102" i="37"/>
  <c r="L102" i="37" s="1"/>
  <c r="M102" i="37" s="1"/>
  <c r="N102" i="37" s="1"/>
  <c r="K84" i="37"/>
  <c r="L84" i="37" s="1"/>
  <c r="M84" i="37" s="1"/>
  <c r="N84" i="37" s="1"/>
  <c r="K115" i="37"/>
  <c r="L115" i="37" s="1"/>
  <c r="M115" i="37" s="1"/>
  <c r="N115" i="37" s="1"/>
  <c r="K260" i="37"/>
  <c r="L260" i="37" s="1"/>
  <c r="M260" i="37" s="1"/>
  <c r="N260" i="37" s="1"/>
  <c r="K121" i="37"/>
  <c r="L121" i="37" s="1"/>
  <c r="M121" i="37" s="1"/>
  <c r="N121" i="37" s="1"/>
  <c r="K162" i="37"/>
  <c r="L162" i="37" s="1"/>
  <c r="M162" i="37" s="1"/>
  <c r="N162" i="37" s="1"/>
  <c r="K53" i="37"/>
  <c r="L53" i="37" s="1"/>
  <c r="M53" i="37" s="1"/>
  <c r="N53" i="37" s="1"/>
  <c r="K30" i="37"/>
  <c r="L30" i="37" s="1"/>
  <c r="M30" i="37" s="1"/>
  <c r="N30" i="37" s="1"/>
  <c r="K4" i="37"/>
  <c r="K17" i="37"/>
  <c r="L17" i="37" s="1"/>
  <c r="M17" i="37" s="1"/>
  <c r="N17" i="37" s="1"/>
  <c r="K87" i="37"/>
  <c r="L87" i="37" s="1"/>
  <c r="M87" i="37" s="1"/>
  <c r="N87" i="37" s="1"/>
  <c r="K138" i="37"/>
  <c r="L138" i="37" s="1"/>
  <c r="M138" i="37" s="1"/>
  <c r="N138" i="37" s="1"/>
  <c r="K245" i="37"/>
  <c r="L245" i="37" s="1"/>
  <c r="M245" i="37" s="1"/>
  <c r="N245" i="37" s="1"/>
  <c r="K229" i="37"/>
  <c r="L229" i="37" s="1"/>
  <c r="M229" i="37" s="1"/>
  <c r="N229" i="37" s="1"/>
  <c r="K201" i="37"/>
  <c r="L201" i="37" s="1"/>
  <c r="M201" i="37" s="1"/>
  <c r="N201" i="37" s="1"/>
  <c r="K268" i="37"/>
  <c r="L268" i="37" s="1"/>
  <c r="M268" i="37" s="1"/>
  <c r="N268" i="37" s="1"/>
  <c r="K94" i="37"/>
  <c r="L94" i="37" s="1"/>
  <c r="M94" i="37" s="1"/>
  <c r="N94" i="37" s="1"/>
  <c r="K180" i="37"/>
  <c r="L180" i="37" s="1"/>
  <c r="M180" i="37" s="1"/>
  <c r="N180" i="37" s="1"/>
  <c r="K40" i="37"/>
  <c r="L40" i="37" s="1"/>
  <c r="M40" i="37" s="1"/>
  <c r="N40" i="37" s="1"/>
  <c r="K270" i="37"/>
  <c r="L270" i="37" s="1"/>
  <c r="M270" i="37" s="1"/>
  <c r="N270" i="37" s="1"/>
  <c r="K85" i="37"/>
  <c r="L85" i="37" s="1"/>
  <c r="M85" i="37" s="1"/>
  <c r="N85" i="37" s="1"/>
  <c r="K187" i="37"/>
  <c r="L187" i="37" s="1"/>
  <c r="M187" i="37" s="1"/>
  <c r="N187" i="37" s="1"/>
  <c r="K230" i="37"/>
  <c r="L230" i="37" s="1"/>
  <c r="M230" i="37" s="1"/>
  <c r="N230" i="37" s="1"/>
  <c r="K190" i="37"/>
  <c r="L190" i="37" s="1"/>
  <c r="M190" i="37" s="1"/>
  <c r="N190" i="37" s="1"/>
  <c r="K111" i="37"/>
  <c r="L111" i="37" s="1"/>
  <c r="M111" i="37" s="1"/>
  <c r="N111" i="37" s="1"/>
  <c r="K61" i="37"/>
  <c r="L61" i="37" s="1"/>
  <c r="M61" i="37" s="1"/>
  <c r="N61" i="37" s="1"/>
  <c r="K98" i="37"/>
  <c r="L98" i="37" s="1"/>
  <c r="M98" i="37" s="1"/>
  <c r="N98" i="37" s="1"/>
  <c r="K141" i="37"/>
  <c r="L141" i="37" s="1"/>
  <c r="M141" i="37" s="1"/>
  <c r="N141" i="37" s="1"/>
  <c r="K51" i="37"/>
  <c r="L51" i="37" s="1"/>
  <c r="M51" i="37" s="1"/>
  <c r="N51" i="37" s="1"/>
  <c r="K176" i="37"/>
  <c r="L176" i="37" s="1"/>
  <c r="M176" i="37" s="1"/>
  <c r="N176" i="37" s="1"/>
  <c r="K221" i="37"/>
  <c r="L221" i="37" s="1"/>
  <c r="M221" i="37" s="1"/>
  <c r="N221" i="37" s="1"/>
  <c r="K184" i="37"/>
  <c r="L184" i="37" s="1"/>
  <c r="M184" i="37" s="1"/>
  <c r="N184" i="37" s="1"/>
  <c r="K73" i="37"/>
  <c r="L73" i="37" s="1"/>
  <c r="M73" i="37" s="1"/>
  <c r="N73" i="37" s="1"/>
  <c r="K78" i="37"/>
  <c r="L78" i="37" s="1"/>
  <c r="M78" i="37" s="1"/>
  <c r="N78" i="37" s="1"/>
  <c r="K125" i="37"/>
  <c r="L125" i="37" s="1"/>
  <c r="M125" i="37" s="1"/>
  <c r="N125" i="37" s="1"/>
  <c r="K233" i="37"/>
  <c r="L233" i="37" s="1"/>
  <c r="M233" i="37" s="1"/>
  <c r="N233" i="37" s="1"/>
  <c r="K146" i="37"/>
  <c r="L146" i="37" s="1"/>
  <c r="M146" i="37" s="1"/>
  <c r="N146" i="37" s="1"/>
  <c r="K100" i="37"/>
  <c r="L100" i="37" s="1"/>
  <c r="M100" i="37" s="1"/>
  <c r="N100" i="37" s="1"/>
  <c r="K55" i="37"/>
  <c r="L55" i="37" s="1"/>
  <c r="M55" i="37" s="1"/>
  <c r="N55" i="37" s="1"/>
  <c r="K310" i="37"/>
  <c r="L310" i="37" s="1"/>
  <c r="M310" i="37" s="1"/>
  <c r="N310" i="37" s="1"/>
  <c r="K33" i="37"/>
  <c r="L33" i="37" s="1"/>
  <c r="M33" i="37" s="1"/>
  <c r="N33" i="37" s="1"/>
  <c r="K72" i="37"/>
  <c r="L72" i="37" s="1"/>
  <c r="M72" i="37" s="1"/>
  <c r="N72" i="37" s="1"/>
  <c r="K274" i="37"/>
  <c r="L274" i="37" s="1"/>
  <c r="M274" i="37" s="1"/>
  <c r="N274" i="37" s="1"/>
  <c r="K109" i="37"/>
  <c r="L109" i="37" s="1"/>
  <c r="M109" i="37" s="1"/>
  <c r="N109" i="37" s="1"/>
  <c r="K123" i="37"/>
  <c r="L123" i="37" s="1"/>
  <c r="M123" i="37" s="1"/>
  <c r="N123" i="37" s="1"/>
  <c r="K191" i="37"/>
  <c r="L191" i="37" s="1"/>
  <c r="M191" i="37" s="1"/>
  <c r="N191" i="37" s="1"/>
  <c r="K43" i="37"/>
  <c r="L43" i="37" s="1"/>
  <c r="M43" i="37" s="1"/>
  <c r="N43" i="37" s="1"/>
  <c r="K107" i="37"/>
  <c r="L107" i="37" s="1"/>
  <c r="M107" i="37" s="1"/>
  <c r="N107" i="37" s="1"/>
  <c r="K122" i="37"/>
  <c r="L122" i="37" s="1"/>
  <c r="M122" i="37" s="1"/>
  <c r="N122" i="37" s="1"/>
  <c r="K206" i="37"/>
  <c r="L206" i="37" s="1"/>
  <c r="M206" i="37" s="1"/>
  <c r="N206" i="37" s="1"/>
  <c r="K31" i="37"/>
  <c r="L31" i="37" s="1"/>
  <c r="M31" i="37" s="1"/>
  <c r="N31" i="37" s="1"/>
  <c r="K266" i="37"/>
  <c r="L266" i="37" s="1"/>
  <c r="M266" i="37" s="1"/>
  <c r="N266" i="37" s="1"/>
  <c r="K41" i="37"/>
  <c r="L41" i="37" s="1"/>
  <c r="M41" i="37" s="1"/>
  <c r="N41" i="37" s="1"/>
  <c r="K211" i="37"/>
  <c r="L211" i="37" s="1"/>
  <c r="M211" i="37" s="1"/>
  <c r="N211" i="37" s="1"/>
  <c r="K207" i="37"/>
  <c r="L207" i="37" s="1"/>
  <c r="M207" i="37" s="1"/>
  <c r="N207" i="37" s="1"/>
  <c r="K143" i="37"/>
  <c r="L143" i="37" s="1"/>
  <c r="M143" i="37" s="1"/>
  <c r="N143" i="37" s="1"/>
  <c r="K14" i="37"/>
  <c r="L14" i="37" s="1"/>
  <c r="M14" i="37" s="1"/>
  <c r="N14" i="37" s="1"/>
  <c r="K124" i="37"/>
  <c r="L124" i="37" s="1"/>
  <c r="M124" i="37" s="1"/>
  <c r="N124" i="37" s="1"/>
  <c r="K106" i="37"/>
  <c r="L106" i="37" s="1"/>
  <c r="M106" i="37" s="1"/>
  <c r="N106" i="37" s="1"/>
  <c r="K185" i="37"/>
  <c r="L185" i="37" s="1"/>
  <c r="M185" i="37" s="1"/>
  <c r="N185" i="37" s="1"/>
  <c r="K183" i="37"/>
  <c r="L183" i="37" s="1"/>
  <c r="M183" i="37" s="1"/>
  <c r="N183" i="37" s="1"/>
  <c r="K155" i="37"/>
  <c r="L155" i="37" s="1"/>
  <c r="M155" i="37" s="1"/>
  <c r="N155" i="37" s="1"/>
  <c r="K243" i="37"/>
  <c r="L243" i="37" s="1"/>
  <c r="M243" i="37" s="1"/>
  <c r="N243" i="37" s="1"/>
  <c r="K21" i="37"/>
  <c r="L21" i="37" s="1"/>
  <c r="M21" i="37" s="1"/>
  <c r="N21" i="37" s="1"/>
  <c r="K202" i="37"/>
  <c r="L202" i="37" s="1"/>
  <c r="M202" i="37" s="1"/>
  <c r="N202" i="37" s="1"/>
  <c r="K114" i="37"/>
  <c r="L114" i="37" s="1"/>
  <c r="M114" i="37" s="1"/>
  <c r="N114" i="37" s="1"/>
  <c r="K182" i="37"/>
  <c r="L182" i="37" s="1"/>
  <c r="M182" i="37" s="1"/>
  <c r="N182" i="37" s="1"/>
  <c r="K292" i="37"/>
  <c r="L292" i="37" s="1"/>
  <c r="M292" i="37" s="1"/>
  <c r="N292" i="37" s="1"/>
  <c r="K113" i="37"/>
  <c r="L113" i="37" s="1"/>
  <c r="M113" i="37" s="1"/>
  <c r="N113" i="37" s="1"/>
  <c r="K306" i="37"/>
  <c r="L306" i="37" s="1"/>
  <c r="M306" i="37" s="1"/>
  <c r="N306" i="37" s="1"/>
  <c r="K227" i="37"/>
  <c r="L227" i="37" s="1"/>
  <c r="M227" i="37" s="1"/>
  <c r="N227" i="37" s="1"/>
  <c r="K314" i="37"/>
  <c r="L314" i="37" s="1"/>
  <c r="M314" i="37" s="1"/>
  <c r="N314" i="37" s="1"/>
  <c r="K18" i="37"/>
  <c r="L18" i="37" s="1"/>
  <c r="M18" i="37" s="1"/>
  <c r="N18" i="37" s="1"/>
  <c r="K235" i="37"/>
  <c r="L235" i="37" s="1"/>
  <c r="M235" i="37" s="1"/>
  <c r="N235" i="37" s="1"/>
  <c r="K97" i="37"/>
  <c r="L97" i="37" s="1"/>
  <c r="M97" i="37" s="1"/>
  <c r="N97" i="37" s="1"/>
  <c r="K154" i="37"/>
  <c r="L154" i="37" s="1"/>
  <c r="M154" i="37" s="1"/>
  <c r="N154" i="37" s="1"/>
  <c r="K131" i="37"/>
  <c r="L131" i="37" s="1"/>
  <c r="M131" i="37" s="1"/>
  <c r="N131" i="37" s="1"/>
  <c r="K118" i="37"/>
  <c r="L118" i="37" s="1"/>
  <c r="M118" i="37" s="1"/>
  <c r="N118" i="37" s="1"/>
  <c r="K271" i="37"/>
  <c r="L271" i="37" s="1"/>
  <c r="M271" i="37" s="1"/>
  <c r="N271" i="37" s="1"/>
  <c r="K222" i="37"/>
  <c r="L222" i="37" s="1"/>
  <c r="M222" i="37" s="1"/>
  <c r="N222" i="37" s="1"/>
  <c r="K289" i="37"/>
  <c r="L289" i="37" s="1"/>
  <c r="M289" i="37" s="1"/>
  <c r="N289" i="37" s="1"/>
  <c r="K44" i="37"/>
  <c r="L44" i="37" s="1"/>
  <c r="M44" i="37" s="1"/>
  <c r="N44" i="37" s="1"/>
  <c r="K218" i="37"/>
  <c r="L218" i="37" s="1"/>
  <c r="M218" i="37" s="1"/>
  <c r="N218" i="37" s="1"/>
  <c r="K149" i="37"/>
  <c r="L149" i="37" s="1"/>
  <c r="M149" i="37" s="1"/>
  <c r="N149" i="37" s="1"/>
  <c r="K295" i="37"/>
  <c r="L295" i="37" s="1"/>
  <c r="M295" i="37" s="1"/>
  <c r="N295" i="37" s="1"/>
  <c r="K145" i="37"/>
  <c r="L145" i="37" s="1"/>
  <c r="M145" i="37" s="1"/>
  <c r="N145" i="37" s="1"/>
  <c r="K282" i="37"/>
  <c r="L282" i="37" s="1"/>
  <c r="M282" i="37" s="1"/>
  <c r="N282" i="37" s="1"/>
  <c r="K302" i="37"/>
  <c r="L302" i="37" s="1"/>
  <c r="M302" i="37" s="1"/>
  <c r="N302" i="37" s="1"/>
  <c r="K171" i="37"/>
  <c r="L171" i="37" s="1"/>
  <c r="M171" i="37" s="1"/>
  <c r="N171" i="37" s="1"/>
  <c r="K39" i="37"/>
  <c r="L39" i="37" s="1"/>
  <c r="M39" i="37" s="1"/>
  <c r="N39" i="37" s="1"/>
  <c r="K240" i="37"/>
  <c r="L240" i="37" s="1"/>
  <c r="M240" i="37" s="1"/>
  <c r="N240" i="37" s="1"/>
  <c r="K299" i="37"/>
  <c r="L299" i="37" s="1"/>
  <c r="M299" i="37" s="1"/>
  <c r="N299" i="37" s="1"/>
  <c r="K103" i="37"/>
  <c r="L103" i="37" s="1"/>
  <c r="M103" i="37" s="1"/>
  <c r="N103" i="37" s="1"/>
  <c r="K238" i="37"/>
  <c r="L238" i="37" s="1"/>
  <c r="M238" i="37" s="1"/>
  <c r="N238" i="37" s="1"/>
  <c r="K275" i="37"/>
  <c r="L275" i="37" s="1"/>
  <c r="M275" i="37" s="1"/>
  <c r="N275" i="37" s="1"/>
  <c r="K303" i="37"/>
  <c r="L303" i="37" s="1"/>
  <c r="M303" i="37" s="1"/>
  <c r="N303" i="37" s="1"/>
  <c r="K167" i="37"/>
  <c r="L167" i="37" s="1"/>
  <c r="M167" i="37" s="1"/>
  <c r="N167" i="37" s="1"/>
  <c r="K95" i="37"/>
  <c r="L95" i="37" s="1"/>
  <c r="M95" i="37" s="1"/>
  <c r="N95" i="37" s="1"/>
  <c r="K48" i="37"/>
  <c r="L48" i="37" s="1"/>
  <c r="M48" i="37" s="1"/>
  <c r="N48" i="37" s="1"/>
  <c r="K178" i="37"/>
  <c r="L178" i="37" s="1"/>
  <c r="M178" i="37" s="1"/>
  <c r="N178" i="37" s="1"/>
  <c r="K214" i="37"/>
  <c r="L214" i="37" s="1"/>
  <c r="M214" i="37" s="1"/>
  <c r="N214" i="37" s="1"/>
  <c r="K38" i="37"/>
  <c r="L38" i="37" s="1"/>
  <c r="M38" i="37" s="1"/>
  <c r="N38" i="37" s="1"/>
  <c r="K192" i="37"/>
  <c r="L192" i="37" s="1"/>
  <c r="M192" i="37" s="1"/>
  <c r="N192" i="37" s="1"/>
  <c r="K101" i="37"/>
  <c r="L101" i="37" s="1"/>
  <c r="M101" i="37" s="1"/>
  <c r="N101" i="37" s="1"/>
  <c r="K209" i="37"/>
  <c r="L209" i="37" s="1"/>
  <c r="M209" i="37" s="1"/>
  <c r="N209" i="37" s="1"/>
  <c r="K166" i="37"/>
  <c r="L166" i="37" s="1"/>
  <c r="M166" i="37" s="1"/>
  <c r="N166" i="37" s="1"/>
  <c r="K69" i="37"/>
  <c r="L69" i="37" s="1"/>
  <c r="M69" i="37" s="1"/>
  <c r="N69" i="37" s="1"/>
  <c r="K304" i="37"/>
  <c r="L304" i="37" s="1"/>
  <c r="M304" i="37" s="1"/>
  <c r="N304" i="37" s="1"/>
  <c r="K90" i="37"/>
  <c r="L90" i="37" s="1"/>
  <c r="M90" i="37" s="1"/>
  <c r="N90" i="37" s="1"/>
  <c r="K127" i="37"/>
  <c r="L127" i="37" s="1"/>
  <c r="M127" i="37" s="1"/>
  <c r="N127" i="37" s="1"/>
  <c r="K241" i="37"/>
  <c r="L241" i="37" s="1"/>
  <c r="M241" i="37" s="1"/>
  <c r="N241" i="37" s="1"/>
  <c r="K223" i="37"/>
  <c r="L223" i="37" s="1"/>
  <c r="M223" i="37" s="1"/>
  <c r="N223" i="37" s="1"/>
  <c r="K83" i="37"/>
  <c r="L83" i="37" s="1"/>
  <c r="M83" i="37" s="1"/>
  <c r="N83" i="37" s="1"/>
  <c r="K27" i="37"/>
  <c r="L27" i="37" s="1"/>
  <c r="M27" i="37" s="1"/>
  <c r="N27" i="37" s="1"/>
  <c r="K88" i="37"/>
  <c r="L88" i="37" s="1"/>
  <c r="M88" i="37" s="1"/>
  <c r="N88" i="37" s="1"/>
  <c r="K250" i="37"/>
  <c r="L250" i="37" s="1"/>
  <c r="M250" i="37" s="1"/>
  <c r="N250" i="37" s="1"/>
  <c r="K163" i="37"/>
  <c r="L163" i="37" s="1"/>
  <c r="M163" i="37" s="1"/>
  <c r="N163" i="37" s="1"/>
  <c r="K116" i="37"/>
  <c r="L116" i="37" s="1"/>
  <c r="M116" i="37" s="1"/>
  <c r="N116" i="37" s="1"/>
  <c r="K45" i="37"/>
  <c r="L45" i="37" s="1"/>
  <c r="M45" i="37" s="1"/>
  <c r="N45" i="37" s="1"/>
  <c r="K294" i="37"/>
  <c r="L294" i="37" s="1"/>
  <c r="M294" i="37" s="1"/>
  <c r="N294" i="37" s="1"/>
  <c r="K153" i="37"/>
  <c r="L153" i="37" s="1"/>
  <c r="M153" i="37" s="1"/>
  <c r="N153" i="37" s="1"/>
  <c r="K277" i="37"/>
  <c r="L277" i="37" s="1"/>
  <c r="M277" i="37" s="1"/>
  <c r="N277" i="37" s="1"/>
  <c r="K82" i="37"/>
  <c r="L82" i="37" s="1"/>
  <c r="M82" i="37" s="1"/>
  <c r="N82" i="37" s="1"/>
  <c r="K298" i="37"/>
  <c r="L298" i="37" s="1"/>
  <c r="M298" i="37" s="1"/>
  <c r="N298" i="37" s="1"/>
  <c r="K46" i="37"/>
  <c r="L46" i="37" s="1"/>
  <c r="M46" i="37" s="1"/>
  <c r="N46" i="37" s="1"/>
  <c r="K225" i="37"/>
  <c r="L225" i="37" s="1"/>
  <c r="M225" i="37" s="1"/>
  <c r="N225" i="37" s="1"/>
  <c r="K205" i="37"/>
  <c r="L205" i="37" s="1"/>
  <c r="M205" i="37" s="1"/>
  <c r="N205" i="37" s="1"/>
  <c r="K307" i="37"/>
  <c r="L307" i="37" s="1"/>
  <c r="M307" i="37" s="1"/>
  <c r="N307" i="37" s="1"/>
  <c r="K54" i="37"/>
  <c r="L54" i="37" s="1"/>
  <c r="M54" i="37" s="1"/>
  <c r="N54" i="37" s="1"/>
  <c r="K57" i="37"/>
  <c r="L57" i="37" s="1"/>
  <c r="M57" i="37" s="1"/>
  <c r="N57" i="37" s="1"/>
  <c r="K49" i="37"/>
  <c r="L49" i="37" s="1"/>
  <c r="M49" i="37" s="1"/>
  <c r="N49" i="37" s="1"/>
  <c r="K287" i="37"/>
  <c r="L287" i="37" s="1"/>
  <c r="M287" i="37" s="1"/>
  <c r="N287" i="37" s="1"/>
  <c r="K296" i="37"/>
  <c r="L296" i="37" s="1"/>
  <c r="M296" i="37" s="1"/>
  <c r="N296" i="37" s="1"/>
  <c r="K231" i="37"/>
  <c r="L231" i="37" s="1"/>
  <c r="M231" i="37" s="1"/>
  <c r="N231" i="37" s="1"/>
  <c r="K312" i="37"/>
  <c r="L312" i="37" s="1"/>
  <c r="M312" i="37" s="1"/>
  <c r="N312" i="37" s="1"/>
  <c r="K285" i="37"/>
  <c r="L285" i="37" s="1"/>
  <c r="M285" i="37" s="1"/>
  <c r="N285" i="37" s="1"/>
  <c r="K315" i="37"/>
  <c r="L315" i="37" s="1"/>
  <c r="M315" i="37" s="1"/>
  <c r="N315" i="37" s="1"/>
  <c r="K264" i="37"/>
  <c r="L264" i="37" s="1"/>
  <c r="M264" i="37" s="1"/>
  <c r="N264" i="37" s="1"/>
  <c r="K200" i="37"/>
  <c r="L200" i="37" s="1"/>
  <c r="M200" i="37" s="1"/>
  <c r="N200" i="37" s="1"/>
  <c r="K105" i="37"/>
  <c r="L105" i="37" s="1"/>
  <c r="M105" i="37" s="1"/>
  <c r="N105" i="37" s="1"/>
  <c r="K137" i="37"/>
  <c r="L137" i="37" s="1"/>
  <c r="M137" i="37" s="1"/>
  <c r="N137" i="37" s="1"/>
  <c r="K291" i="37"/>
  <c r="L291" i="37" s="1"/>
  <c r="M291" i="37" s="1"/>
  <c r="N291" i="37" s="1"/>
  <c r="K10" i="37"/>
  <c r="L10" i="37" s="1"/>
  <c r="M10" i="37" s="1"/>
  <c r="N10" i="37" s="1"/>
  <c r="K6" i="37"/>
  <c r="L6" i="37" s="1"/>
  <c r="M6" i="37" s="1"/>
  <c r="N6" i="37" s="1"/>
  <c r="K237" i="36"/>
  <c r="L237" i="36" s="1"/>
  <c r="M237" i="36" s="1"/>
  <c r="K22" i="36"/>
  <c r="L22" i="36" s="1"/>
  <c r="M22" i="36" s="1"/>
  <c r="K6" i="36"/>
  <c r="L6" i="36" s="1"/>
  <c r="M6" i="36" s="1"/>
  <c r="K232" i="36"/>
  <c r="L232" i="36" s="1"/>
  <c r="M232" i="36" s="1"/>
  <c r="K69" i="36"/>
  <c r="L69" i="36" s="1"/>
  <c r="M69" i="36" s="1"/>
  <c r="K186" i="36"/>
  <c r="L186" i="36" s="1"/>
  <c r="M186" i="36" s="1"/>
  <c r="K259" i="36"/>
  <c r="L259" i="36" s="1"/>
  <c r="M259" i="36" s="1"/>
  <c r="K43" i="36"/>
  <c r="L43" i="36" s="1"/>
  <c r="M43" i="36" s="1"/>
  <c r="K64" i="36"/>
  <c r="L64" i="36" s="1"/>
  <c r="M64" i="36" s="1"/>
  <c r="K238" i="36"/>
  <c r="L238" i="36" s="1"/>
  <c r="M238" i="36" s="1"/>
  <c r="K294" i="36"/>
  <c r="L294" i="36" s="1"/>
  <c r="M294" i="36" s="1"/>
  <c r="K26" i="36"/>
  <c r="L26" i="36" s="1"/>
  <c r="M26" i="36" s="1"/>
  <c r="K230" i="36"/>
  <c r="L230" i="36" s="1"/>
  <c r="M230" i="36" s="1"/>
  <c r="K216" i="36"/>
  <c r="L216" i="36" s="1"/>
  <c r="M216" i="36" s="1"/>
  <c r="K67" i="36"/>
  <c r="L67" i="36" s="1"/>
  <c r="M67" i="36" s="1"/>
  <c r="K185" i="36"/>
  <c r="L185" i="36" s="1"/>
  <c r="M185" i="36" s="1"/>
  <c r="K111" i="36"/>
  <c r="L111" i="36" s="1"/>
  <c r="M111" i="36" s="1"/>
  <c r="K246" i="36"/>
  <c r="L246" i="36" s="1"/>
  <c r="M246" i="36" s="1"/>
  <c r="K159" i="36"/>
  <c r="L159" i="36" s="1"/>
  <c r="M159" i="36" s="1"/>
  <c r="K210" i="36"/>
  <c r="L210" i="36" s="1"/>
  <c r="M210" i="36" s="1"/>
  <c r="K269" i="36"/>
  <c r="L269" i="36" s="1"/>
  <c r="M269" i="36" s="1"/>
  <c r="K249" i="36"/>
  <c r="L249" i="36" s="1"/>
  <c r="M249" i="36" s="1"/>
  <c r="K182" i="36"/>
  <c r="L182" i="36" s="1"/>
  <c r="M182" i="36" s="1"/>
  <c r="K51" i="36"/>
  <c r="L51" i="36" s="1"/>
  <c r="M51" i="36" s="1"/>
  <c r="K155" i="36"/>
  <c r="L155" i="36" s="1"/>
  <c r="M155" i="36" s="1"/>
  <c r="K83" i="36"/>
  <c r="L83" i="36" s="1"/>
  <c r="M83" i="36" s="1"/>
  <c r="K250" i="36"/>
  <c r="L250" i="36" s="1"/>
  <c r="M250" i="36" s="1"/>
  <c r="K115" i="36"/>
  <c r="L115" i="36" s="1"/>
  <c r="M115" i="36" s="1"/>
  <c r="K177" i="36"/>
  <c r="L177" i="36" s="1"/>
  <c r="M177" i="36" s="1"/>
  <c r="K262" i="36"/>
  <c r="L262" i="36" s="1"/>
  <c r="M262" i="36" s="1"/>
  <c r="K168" i="36"/>
  <c r="L168" i="36" s="1"/>
  <c r="M168" i="36" s="1"/>
  <c r="K240" i="36"/>
  <c r="L240" i="36" s="1"/>
  <c r="M240" i="36" s="1"/>
  <c r="K11" i="36"/>
  <c r="L11" i="36" s="1"/>
  <c r="M11" i="36" s="1"/>
  <c r="K71" i="36"/>
  <c r="L71" i="36" s="1"/>
  <c r="M71" i="36" s="1"/>
  <c r="K236" i="36"/>
  <c r="L236" i="36" s="1"/>
  <c r="M236" i="36" s="1"/>
  <c r="K138" i="36"/>
  <c r="L138" i="36" s="1"/>
  <c r="M138" i="36" s="1"/>
  <c r="K136" i="36"/>
  <c r="L136" i="36" s="1"/>
  <c r="M136" i="36" s="1"/>
  <c r="K193" i="36"/>
  <c r="L193" i="36" s="1"/>
  <c r="M193" i="36" s="1"/>
  <c r="K90" i="36"/>
  <c r="L90" i="36" s="1"/>
  <c r="M90" i="36" s="1"/>
  <c r="K203" i="36"/>
  <c r="L203" i="36" s="1"/>
  <c r="M203" i="36" s="1"/>
  <c r="K5" i="36"/>
  <c r="L5" i="36" s="1"/>
  <c r="M5" i="36" s="1"/>
  <c r="K25" i="36"/>
  <c r="L25" i="36" s="1"/>
  <c r="M25" i="36" s="1"/>
  <c r="K21" i="36"/>
  <c r="L21" i="36" s="1"/>
  <c r="M21" i="36" s="1"/>
  <c r="K214" i="36"/>
  <c r="L214" i="36" s="1"/>
  <c r="M214" i="36" s="1"/>
  <c r="K158" i="36"/>
  <c r="L158" i="36" s="1"/>
  <c r="M158" i="36" s="1"/>
  <c r="K42" i="36"/>
  <c r="L42" i="36" s="1"/>
  <c r="M42" i="36" s="1"/>
  <c r="K109" i="36"/>
  <c r="L109" i="36" s="1"/>
  <c r="M109" i="36" s="1"/>
  <c r="K295" i="36"/>
  <c r="L295" i="36" s="1"/>
  <c r="M295" i="36" s="1"/>
  <c r="K278" i="36"/>
  <c r="L278" i="36" s="1"/>
  <c r="M278" i="36" s="1"/>
  <c r="K311" i="36"/>
  <c r="L311" i="36" s="1"/>
  <c r="M311" i="36" s="1"/>
  <c r="K170" i="36"/>
  <c r="L170" i="36" s="1"/>
  <c r="M170" i="36" s="1"/>
  <c r="K14" i="36"/>
  <c r="L14" i="36" s="1"/>
  <c r="M14" i="36" s="1"/>
  <c r="K315" i="36"/>
  <c r="L315" i="36" s="1"/>
  <c r="M315" i="36" s="1"/>
  <c r="K13" i="36"/>
  <c r="L13" i="36" s="1"/>
  <c r="M13" i="36" s="1"/>
  <c r="K303" i="36"/>
  <c r="L303" i="36" s="1"/>
  <c r="M303" i="36" s="1"/>
  <c r="K79" i="36"/>
  <c r="L79" i="36" s="1"/>
  <c r="M79" i="36" s="1"/>
  <c r="K265" i="36"/>
  <c r="L265" i="36" s="1"/>
  <c r="M265" i="36" s="1"/>
  <c r="K209" i="36"/>
  <c r="L209" i="36" s="1"/>
  <c r="M209" i="36" s="1"/>
  <c r="K254" i="36"/>
  <c r="L254" i="36" s="1"/>
  <c r="M254" i="36" s="1"/>
  <c r="K194" i="36"/>
  <c r="L194" i="36" s="1"/>
  <c r="M194" i="36" s="1"/>
  <c r="K10" i="36"/>
  <c r="L10" i="36" s="1"/>
  <c r="M10" i="36" s="1"/>
  <c r="K260" i="36"/>
  <c r="L260" i="36" s="1"/>
  <c r="M260" i="36" s="1"/>
  <c r="K15" i="36"/>
  <c r="L15" i="36" s="1"/>
  <c r="M15" i="36" s="1"/>
  <c r="K310" i="36"/>
  <c r="L310" i="36" s="1"/>
  <c r="M310" i="36" s="1"/>
  <c r="K27" i="36"/>
  <c r="L27" i="36" s="1"/>
  <c r="M27" i="36" s="1"/>
  <c r="K73" i="36"/>
  <c r="L73" i="36" s="1"/>
  <c r="M73" i="36" s="1"/>
  <c r="K298" i="36"/>
  <c r="L298" i="36" s="1"/>
  <c r="M298" i="36" s="1"/>
  <c r="K34" i="36"/>
  <c r="L34" i="36" s="1"/>
  <c r="M34" i="36" s="1"/>
  <c r="K306" i="36"/>
  <c r="L306" i="36" s="1"/>
  <c r="M306" i="36" s="1"/>
  <c r="K181" i="36"/>
  <c r="L181" i="36" s="1"/>
  <c r="M181" i="36" s="1"/>
  <c r="K221" i="36"/>
  <c r="L221" i="36" s="1"/>
  <c r="M221" i="36" s="1"/>
  <c r="K241" i="36"/>
  <c r="L241" i="36" s="1"/>
  <c r="M241" i="36" s="1"/>
  <c r="K201" i="36"/>
  <c r="L201" i="36" s="1"/>
  <c r="M201" i="36" s="1"/>
  <c r="K302" i="36"/>
  <c r="L302" i="36" s="1"/>
  <c r="M302" i="36" s="1"/>
  <c r="K299" i="36"/>
  <c r="L299" i="36" s="1"/>
  <c r="M299" i="36" s="1"/>
  <c r="K17" i="36"/>
  <c r="L17" i="36" s="1"/>
  <c r="M17" i="36" s="1"/>
  <c r="K314" i="36"/>
  <c r="L314" i="36" s="1"/>
  <c r="M314" i="36" s="1"/>
  <c r="K99" i="36"/>
  <c r="L99" i="36" s="1"/>
  <c r="M99" i="36" s="1"/>
  <c r="K198" i="36"/>
  <c r="L198" i="36" s="1"/>
  <c r="M198" i="36" s="1"/>
  <c r="K300" i="36"/>
  <c r="L300" i="36" s="1"/>
  <c r="M300" i="36" s="1"/>
  <c r="K282" i="36"/>
  <c r="L282" i="36" s="1"/>
  <c r="M282" i="36" s="1"/>
  <c r="K7" i="36"/>
  <c r="L7" i="36" s="1"/>
  <c r="M7" i="36" s="1"/>
  <c r="K23" i="36"/>
  <c r="L23" i="36" s="1"/>
  <c r="M23" i="36" s="1"/>
  <c r="K59" i="36"/>
  <c r="L59" i="36" s="1"/>
  <c r="M59" i="36" s="1"/>
  <c r="K233" i="36"/>
  <c r="L233" i="36" s="1"/>
  <c r="M233" i="36" s="1"/>
  <c r="K205" i="36"/>
  <c r="L205" i="36" s="1"/>
  <c r="M205" i="36" s="1"/>
  <c r="K256" i="36"/>
  <c r="L256" i="36" s="1"/>
  <c r="M256" i="36" s="1"/>
  <c r="K287" i="36"/>
  <c r="L287" i="36" s="1"/>
  <c r="M287" i="36" s="1"/>
  <c r="K55" i="36"/>
  <c r="L55" i="36" s="1"/>
  <c r="M55" i="36" s="1"/>
  <c r="K189" i="36"/>
  <c r="L189" i="36" s="1"/>
  <c r="M189" i="36" s="1"/>
  <c r="K263" i="36"/>
  <c r="L263" i="36" s="1"/>
  <c r="M263" i="36" s="1"/>
  <c r="K18" i="36"/>
  <c r="L18" i="36" s="1"/>
  <c r="M18" i="36" s="1"/>
  <c r="K197" i="36"/>
  <c r="L197" i="36" s="1"/>
  <c r="M197" i="36" s="1"/>
  <c r="K222" i="36"/>
  <c r="L222" i="36" s="1"/>
  <c r="M222" i="36" s="1"/>
  <c r="K258" i="36"/>
  <c r="L258" i="36" s="1"/>
  <c r="M258" i="36" s="1"/>
  <c r="K47" i="36"/>
  <c r="L47" i="36" s="1"/>
  <c r="M47" i="36" s="1"/>
  <c r="K147" i="36"/>
  <c r="L147" i="36" s="1"/>
  <c r="M147" i="36" s="1"/>
  <c r="K75" i="36"/>
  <c r="L75" i="36" s="1"/>
  <c r="M75" i="36" s="1"/>
  <c r="K89" i="36"/>
  <c r="L89" i="36" s="1"/>
  <c r="M89" i="36" s="1"/>
  <c r="K169" i="36"/>
  <c r="L169" i="36" s="1"/>
  <c r="M169" i="36" s="1"/>
  <c r="K245" i="36"/>
  <c r="L245" i="36" s="1"/>
  <c r="M245" i="36" s="1"/>
  <c r="K228" i="36"/>
  <c r="L228" i="36" s="1"/>
  <c r="M228" i="36" s="1"/>
  <c r="K174" i="36"/>
  <c r="L174" i="36" s="1"/>
  <c r="M174" i="36" s="1"/>
  <c r="K148" i="36"/>
  <c r="L148" i="36" s="1"/>
  <c r="M148" i="36" s="1"/>
  <c r="K77" i="36"/>
  <c r="L77" i="36" s="1"/>
  <c r="M77" i="36" s="1"/>
  <c r="K106" i="36"/>
  <c r="L106" i="36" s="1"/>
  <c r="M106" i="36" s="1"/>
  <c r="K35" i="36"/>
  <c r="L35" i="36" s="1"/>
  <c r="M35" i="36" s="1"/>
  <c r="K229" i="36"/>
  <c r="L229" i="36" s="1"/>
  <c r="M229" i="36" s="1"/>
  <c r="K154" i="36"/>
  <c r="L154" i="36" s="1"/>
  <c r="M154" i="36" s="1"/>
  <c r="K9" i="36"/>
  <c r="L9" i="36" s="1"/>
  <c r="M9" i="36" s="1"/>
  <c r="K118" i="36"/>
  <c r="L118" i="36" s="1"/>
  <c r="M118" i="36" s="1"/>
  <c r="K223" i="36"/>
  <c r="L223" i="36" s="1"/>
  <c r="M223" i="36" s="1"/>
  <c r="K8" i="36"/>
  <c r="L8" i="36" s="1"/>
  <c r="M8" i="36" s="1"/>
  <c r="K224" i="36"/>
  <c r="L224" i="36" s="1"/>
  <c r="M224" i="36" s="1"/>
  <c r="K124" i="36"/>
  <c r="L124" i="36" s="1"/>
  <c r="M124" i="36" s="1"/>
  <c r="K120" i="36"/>
  <c r="L120" i="36" s="1"/>
  <c r="M120" i="36" s="1"/>
  <c r="K63" i="36"/>
  <c r="L63" i="36" s="1"/>
  <c r="M63" i="36" s="1"/>
  <c r="K105" i="36"/>
  <c r="L105" i="36" s="1"/>
  <c r="M105" i="36" s="1"/>
  <c r="K255" i="36"/>
  <c r="L255" i="36" s="1"/>
  <c r="M255" i="36" s="1"/>
  <c r="K95" i="36"/>
  <c r="L95" i="36" s="1"/>
  <c r="M95" i="36" s="1"/>
  <c r="K56" i="36"/>
  <c r="L56" i="36" s="1"/>
  <c r="M56" i="36" s="1"/>
  <c r="K175" i="36"/>
  <c r="L175" i="36" s="1"/>
  <c r="M175" i="36" s="1"/>
  <c r="K78" i="36"/>
  <c r="L78" i="36" s="1"/>
  <c r="M78" i="36" s="1"/>
  <c r="K211" i="36"/>
  <c r="L211" i="36" s="1"/>
  <c r="M211" i="36" s="1"/>
  <c r="K165" i="36"/>
  <c r="L165" i="36" s="1"/>
  <c r="M165" i="36" s="1"/>
  <c r="K37" i="36"/>
  <c r="L37" i="36" s="1"/>
  <c r="M37" i="36" s="1"/>
  <c r="K100" i="36"/>
  <c r="L100" i="36" s="1"/>
  <c r="M100" i="36" s="1"/>
  <c r="K12" i="36"/>
  <c r="L12" i="36" s="1"/>
  <c r="M12" i="36" s="1"/>
  <c r="K192" i="36"/>
  <c r="L192" i="36" s="1"/>
  <c r="M192" i="36" s="1"/>
  <c r="K97" i="36"/>
  <c r="L97" i="36" s="1"/>
  <c r="M97" i="36" s="1"/>
  <c r="K270" i="36"/>
  <c r="L270" i="36" s="1"/>
  <c r="M270" i="36" s="1"/>
  <c r="K292" i="36"/>
  <c r="L292" i="36" s="1"/>
  <c r="M292" i="36" s="1"/>
  <c r="K44" i="36"/>
  <c r="L44" i="36" s="1"/>
  <c r="M44" i="36" s="1"/>
  <c r="K29" i="36"/>
  <c r="L29" i="36" s="1"/>
  <c r="M29" i="36" s="1"/>
  <c r="K235" i="36"/>
  <c r="L235" i="36" s="1"/>
  <c r="M235" i="36" s="1"/>
  <c r="K134" i="36"/>
  <c r="L134" i="36" s="1"/>
  <c r="M134" i="36" s="1"/>
  <c r="K80" i="36"/>
  <c r="L80" i="36" s="1"/>
  <c r="M80" i="36" s="1"/>
  <c r="K195" i="36"/>
  <c r="L195" i="36" s="1"/>
  <c r="M195" i="36" s="1"/>
  <c r="K86" i="36"/>
  <c r="L86" i="36" s="1"/>
  <c r="M86" i="36" s="1"/>
  <c r="K178" i="36"/>
  <c r="L178" i="36" s="1"/>
  <c r="M178" i="36" s="1"/>
  <c r="K225" i="36"/>
  <c r="L225" i="36" s="1"/>
  <c r="M225" i="36" s="1"/>
  <c r="K253" i="36"/>
  <c r="L253" i="36" s="1"/>
  <c r="M253" i="36" s="1"/>
  <c r="K286" i="36"/>
  <c r="L286" i="36" s="1"/>
  <c r="M286" i="36" s="1"/>
  <c r="K176" i="36"/>
  <c r="L176" i="36" s="1"/>
  <c r="M176" i="36" s="1"/>
  <c r="K143" i="36"/>
  <c r="L143" i="36" s="1"/>
  <c r="M143" i="36" s="1"/>
  <c r="K98" i="36"/>
  <c r="L98" i="36" s="1"/>
  <c r="M98" i="36" s="1"/>
  <c r="K172" i="36"/>
  <c r="L172" i="36" s="1"/>
  <c r="M172" i="36" s="1"/>
  <c r="K242" i="36"/>
  <c r="L242" i="36" s="1"/>
  <c r="M242" i="36" s="1"/>
  <c r="K139" i="36"/>
  <c r="L139" i="36" s="1"/>
  <c r="M139" i="36" s="1"/>
  <c r="K133" i="36"/>
  <c r="L133" i="36" s="1"/>
  <c r="M133" i="36" s="1"/>
  <c r="K62" i="36"/>
  <c r="L62" i="36" s="1"/>
  <c r="M62" i="36" s="1"/>
  <c r="K188" i="36"/>
  <c r="L188" i="36" s="1"/>
  <c r="M188" i="36" s="1"/>
  <c r="K127" i="36"/>
  <c r="L127" i="36" s="1"/>
  <c r="M127" i="36" s="1"/>
  <c r="K140" i="36"/>
  <c r="L140" i="36" s="1"/>
  <c r="M140" i="36" s="1"/>
  <c r="K276" i="36"/>
  <c r="L276" i="36" s="1"/>
  <c r="M276" i="36" s="1"/>
  <c r="K33" i="36"/>
  <c r="L33" i="36" s="1"/>
  <c r="M33" i="36" s="1"/>
  <c r="K74" i="36"/>
  <c r="L74" i="36" s="1"/>
  <c r="M74" i="36" s="1"/>
  <c r="K76" i="36"/>
  <c r="L76" i="36" s="1"/>
  <c r="M76" i="36" s="1"/>
  <c r="K122" i="36"/>
  <c r="L122" i="36" s="1"/>
  <c r="M122" i="36" s="1"/>
  <c r="K248" i="36"/>
  <c r="L248" i="36" s="1"/>
  <c r="M248" i="36" s="1"/>
  <c r="K312" i="36"/>
  <c r="L312" i="36" s="1"/>
  <c r="M312" i="36" s="1"/>
  <c r="K234" i="36"/>
  <c r="L234" i="36" s="1"/>
  <c r="M234" i="36" s="1"/>
  <c r="K82" i="36"/>
  <c r="L82" i="36" s="1"/>
  <c r="M82" i="36" s="1"/>
  <c r="K156" i="36"/>
  <c r="L156" i="36" s="1"/>
  <c r="M156" i="36" s="1"/>
  <c r="K267" i="36"/>
  <c r="L267" i="36" s="1"/>
  <c r="M267" i="36" s="1"/>
  <c r="K243" i="36"/>
  <c r="L243" i="36" s="1"/>
  <c r="M243" i="36" s="1"/>
  <c r="K126" i="36"/>
  <c r="L126" i="36" s="1"/>
  <c r="M126" i="36" s="1"/>
  <c r="K157" i="36"/>
  <c r="L157" i="36" s="1"/>
  <c r="M157" i="36" s="1"/>
  <c r="K293" i="36"/>
  <c r="L293" i="36" s="1"/>
  <c r="M293" i="36" s="1"/>
  <c r="K204" i="36"/>
  <c r="L204" i="36" s="1"/>
  <c r="M204" i="36" s="1"/>
  <c r="K247" i="36"/>
  <c r="L247" i="36" s="1"/>
  <c r="M247" i="36" s="1"/>
  <c r="K273" i="36"/>
  <c r="L273" i="36" s="1"/>
  <c r="M273" i="36" s="1"/>
  <c r="K261" i="36"/>
  <c r="L261" i="36" s="1"/>
  <c r="M261" i="36" s="1"/>
  <c r="K297" i="36"/>
  <c r="L297" i="36" s="1"/>
  <c r="M297" i="36" s="1"/>
  <c r="K166" i="36"/>
  <c r="L166" i="36" s="1"/>
  <c r="M166" i="36" s="1"/>
  <c r="K162" i="36"/>
  <c r="L162" i="36" s="1"/>
  <c r="M162" i="36" s="1"/>
  <c r="K38" i="36"/>
  <c r="L38" i="36" s="1"/>
  <c r="M38" i="36" s="1"/>
  <c r="K57" i="36"/>
  <c r="L57" i="36" s="1"/>
  <c r="M57" i="36" s="1"/>
  <c r="K173" i="36"/>
  <c r="L173" i="36" s="1"/>
  <c r="M173" i="36" s="1"/>
  <c r="K288" i="36"/>
  <c r="L288" i="36" s="1"/>
  <c r="M288" i="36" s="1"/>
  <c r="K128" i="36"/>
  <c r="L128" i="36" s="1"/>
  <c r="M128" i="36" s="1"/>
  <c r="K20" i="36"/>
  <c r="L20" i="36" s="1"/>
  <c r="M20" i="36" s="1"/>
  <c r="K164" i="36"/>
  <c r="L164" i="36" s="1"/>
  <c r="M164" i="36" s="1"/>
  <c r="K200" i="36"/>
  <c r="L200" i="36" s="1"/>
  <c r="M200" i="36" s="1"/>
  <c r="K239" i="36"/>
  <c r="L239" i="36" s="1"/>
  <c r="M239" i="36" s="1"/>
  <c r="K220" i="36"/>
  <c r="L220" i="36" s="1"/>
  <c r="M220" i="36" s="1"/>
  <c r="K45" i="36"/>
  <c r="L45" i="36" s="1"/>
  <c r="M45" i="36" s="1"/>
  <c r="K283" i="36"/>
  <c r="L283" i="36" s="1"/>
  <c r="M283" i="36" s="1"/>
  <c r="K281" i="36"/>
  <c r="L281" i="36" s="1"/>
  <c r="M281" i="36" s="1"/>
  <c r="K280" i="36"/>
  <c r="L280" i="36" s="1"/>
  <c r="M280" i="36" s="1"/>
  <c r="K117" i="36"/>
  <c r="L117" i="36" s="1"/>
  <c r="M117" i="36" s="1"/>
  <c r="K208" i="36"/>
  <c r="L208" i="36" s="1"/>
  <c r="M208" i="36" s="1"/>
  <c r="K46" i="36"/>
  <c r="L46" i="36" s="1"/>
  <c r="M46" i="36" s="1"/>
  <c r="K150" i="36"/>
  <c r="L150" i="36" s="1"/>
  <c r="M150" i="36" s="1"/>
  <c r="K104" i="36"/>
  <c r="L104" i="36" s="1"/>
  <c r="M104" i="36" s="1"/>
  <c r="K187" i="36"/>
  <c r="L187" i="36" s="1"/>
  <c r="M187" i="36" s="1"/>
  <c r="K93" i="36"/>
  <c r="L93" i="36" s="1"/>
  <c r="M93" i="36" s="1"/>
  <c r="K218" i="36"/>
  <c r="L218" i="36" s="1"/>
  <c r="M218" i="36" s="1"/>
  <c r="K171" i="36"/>
  <c r="L171" i="36" s="1"/>
  <c r="M171" i="36" s="1"/>
  <c r="K207" i="36"/>
  <c r="L207" i="36" s="1"/>
  <c r="M207" i="36" s="1"/>
  <c r="K65" i="36"/>
  <c r="L65" i="36" s="1"/>
  <c r="M65" i="36" s="1"/>
  <c r="K41" i="36"/>
  <c r="L41" i="36" s="1"/>
  <c r="M41" i="36" s="1"/>
  <c r="K217" i="36"/>
  <c r="L217" i="36" s="1"/>
  <c r="M217" i="36" s="1"/>
  <c r="K149" i="36"/>
  <c r="L149" i="36" s="1"/>
  <c r="M149" i="36" s="1"/>
  <c r="K251" i="36"/>
  <c r="L251" i="36" s="1"/>
  <c r="M251" i="36" s="1"/>
  <c r="K309" i="36"/>
  <c r="L309" i="36" s="1"/>
  <c r="M309" i="36" s="1"/>
  <c r="K271" i="36"/>
  <c r="L271" i="36" s="1"/>
  <c r="M271" i="36" s="1"/>
  <c r="K206" i="36"/>
  <c r="L206" i="36" s="1"/>
  <c r="M206" i="36" s="1"/>
  <c r="K141" i="36"/>
  <c r="L141" i="36" s="1"/>
  <c r="M141" i="36" s="1"/>
  <c r="K125" i="36"/>
  <c r="L125" i="36" s="1"/>
  <c r="M125" i="36" s="1"/>
  <c r="K202" i="36"/>
  <c r="L202" i="36" s="1"/>
  <c r="M202" i="36" s="1"/>
  <c r="K121" i="36"/>
  <c r="L121" i="36" s="1"/>
  <c r="M121" i="36" s="1"/>
  <c r="K279" i="36"/>
  <c r="L279" i="36" s="1"/>
  <c r="M279" i="36" s="1"/>
  <c r="K252" i="36"/>
  <c r="L252" i="36" s="1"/>
  <c r="M252" i="36" s="1"/>
  <c r="K226" i="36"/>
  <c r="L226" i="36" s="1"/>
  <c r="M226" i="36" s="1"/>
  <c r="K48" i="36"/>
  <c r="L48" i="36" s="1"/>
  <c r="M48" i="36" s="1"/>
  <c r="K39" i="36"/>
  <c r="L39" i="36" s="1"/>
  <c r="M39" i="36" s="1"/>
  <c r="K112" i="36"/>
  <c r="L112" i="36" s="1"/>
  <c r="M112" i="36" s="1"/>
  <c r="K163" i="36"/>
  <c r="L163" i="36" s="1"/>
  <c r="M163" i="36" s="1"/>
  <c r="K129" i="36"/>
  <c r="L129" i="36" s="1"/>
  <c r="M129" i="36" s="1"/>
  <c r="K108" i="36"/>
  <c r="L108" i="36" s="1"/>
  <c r="M108" i="36" s="1"/>
  <c r="K16" i="36"/>
  <c r="L16" i="36" s="1"/>
  <c r="M16" i="36" s="1"/>
  <c r="K114" i="36"/>
  <c r="L114" i="36" s="1"/>
  <c r="M114" i="36" s="1"/>
  <c r="K190" i="36"/>
  <c r="L190" i="36" s="1"/>
  <c r="M190" i="36" s="1"/>
  <c r="K49" i="36"/>
  <c r="L49" i="36" s="1"/>
  <c r="M49" i="36" s="1"/>
  <c r="K183" i="36"/>
  <c r="L183" i="36" s="1"/>
  <c r="M183" i="36" s="1"/>
  <c r="K152" i="36"/>
  <c r="L152" i="36" s="1"/>
  <c r="M152" i="36" s="1"/>
  <c r="K94" i="36"/>
  <c r="L94" i="36" s="1"/>
  <c r="M94" i="36" s="1"/>
  <c r="K275" i="36"/>
  <c r="L275" i="36" s="1"/>
  <c r="M275" i="36" s="1"/>
  <c r="K144" i="36"/>
  <c r="L144" i="36" s="1"/>
  <c r="M144" i="36" s="1"/>
  <c r="K145" i="36"/>
  <c r="L145" i="36" s="1"/>
  <c r="M145" i="36" s="1"/>
  <c r="K28" i="36"/>
  <c r="L28" i="36" s="1"/>
  <c r="M28" i="36" s="1"/>
  <c r="K68" i="36"/>
  <c r="L68" i="36" s="1"/>
  <c r="M68" i="36" s="1"/>
  <c r="K116" i="36"/>
  <c r="L116" i="36" s="1"/>
  <c r="M116" i="36" s="1"/>
  <c r="K101" i="36"/>
  <c r="L101" i="36" s="1"/>
  <c r="M101" i="36" s="1"/>
  <c r="K227" i="36"/>
  <c r="L227" i="36" s="1"/>
  <c r="M227" i="36" s="1"/>
  <c r="K196" i="36"/>
  <c r="L196" i="36" s="1"/>
  <c r="M196" i="36" s="1"/>
  <c r="K191" i="36"/>
  <c r="L191" i="36" s="1"/>
  <c r="M191" i="36" s="1"/>
  <c r="K272" i="36"/>
  <c r="L272" i="36" s="1"/>
  <c r="M272" i="36" s="1"/>
  <c r="K268" i="36"/>
  <c r="L268" i="36" s="1"/>
  <c r="M268" i="36" s="1"/>
  <c r="K88" i="36"/>
  <c r="L88" i="36" s="1"/>
  <c r="M88" i="36" s="1"/>
  <c r="K19" i="36"/>
  <c r="L19" i="36" s="1"/>
  <c r="M19" i="36" s="1"/>
  <c r="K61" i="36"/>
  <c r="L61" i="36" s="1"/>
  <c r="M61" i="36" s="1"/>
  <c r="K289" i="36"/>
  <c r="L289" i="36" s="1"/>
  <c r="M289" i="36" s="1"/>
  <c r="K199" i="36"/>
  <c r="L199" i="36" s="1"/>
  <c r="M199" i="36" s="1"/>
  <c r="K184" i="36"/>
  <c r="L184" i="36" s="1"/>
  <c r="M184" i="36" s="1"/>
  <c r="K24" i="36"/>
  <c r="L24" i="36" s="1"/>
  <c r="M24" i="36" s="1"/>
  <c r="K146" i="36"/>
  <c r="L146" i="36" s="1"/>
  <c r="M146" i="36" s="1"/>
  <c r="K85" i="36"/>
  <c r="L85" i="36" s="1"/>
  <c r="M85" i="36" s="1"/>
  <c r="K285" i="36"/>
  <c r="L285" i="36" s="1"/>
  <c r="M285" i="36" s="1"/>
  <c r="K50" i="36"/>
  <c r="L50" i="36" s="1"/>
  <c r="M50" i="36" s="1"/>
  <c r="K131" i="36"/>
  <c r="L131" i="36" s="1"/>
  <c r="M131" i="36" s="1"/>
  <c r="K304" i="36"/>
  <c r="L304" i="36" s="1"/>
  <c r="M304" i="36" s="1"/>
  <c r="K264" i="36"/>
  <c r="L264" i="36" s="1"/>
  <c r="M264" i="36" s="1"/>
  <c r="K53" i="36"/>
  <c r="L53" i="36" s="1"/>
  <c r="M53" i="36" s="1"/>
  <c r="K132" i="36"/>
  <c r="L132" i="36" s="1"/>
  <c r="M132" i="36" s="1"/>
  <c r="K113" i="36"/>
  <c r="L113" i="36" s="1"/>
  <c r="M113" i="36" s="1"/>
  <c r="K296" i="36"/>
  <c r="L296" i="36" s="1"/>
  <c r="M296" i="36" s="1"/>
  <c r="K307" i="36"/>
  <c r="L307" i="36" s="1"/>
  <c r="M307" i="36" s="1"/>
  <c r="K30" i="36"/>
  <c r="L30" i="36" s="1"/>
  <c r="M30" i="36" s="1"/>
  <c r="K70" i="36"/>
  <c r="L70" i="36" s="1"/>
  <c r="M70" i="36" s="1"/>
  <c r="K284" i="36"/>
  <c r="L284" i="36" s="1"/>
  <c r="M284" i="36" s="1"/>
  <c r="K103" i="36"/>
  <c r="L103" i="36" s="1"/>
  <c r="M103" i="36" s="1"/>
  <c r="K52" i="36"/>
  <c r="L52" i="36" s="1"/>
  <c r="M52" i="36" s="1"/>
  <c r="K137" i="36"/>
  <c r="L137" i="36" s="1"/>
  <c r="M137" i="36" s="1"/>
  <c r="K32" i="36"/>
  <c r="L32" i="36" s="1"/>
  <c r="M32" i="36" s="1"/>
  <c r="K274" i="36"/>
  <c r="L274" i="36" s="1"/>
  <c r="M274" i="36" s="1"/>
  <c r="K130" i="36"/>
  <c r="L130" i="36" s="1"/>
  <c r="M130" i="36" s="1"/>
  <c r="K313" i="36"/>
  <c r="L313" i="36" s="1"/>
  <c r="M313" i="36" s="1"/>
  <c r="K277" i="36"/>
  <c r="L277" i="36" s="1"/>
  <c r="M277" i="36" s="1"/>
  <c r="K305" i="36"/>
  <c r="L305" i="36" s="1"/>
  <c r="M305" i="36" s="1"/>
  <c r="K180" i="36"/>
  <c r="L180" i="36" s="1"/>
  <c r="M180" i="36" s="1"/>
  <c r="K107" i="36"/>
  <c r="L107" i="36" s="1"/>
  <c r="M107" i="36" s="1"/>
  <c r="K316" i="36"/>
  <c r="L316" i="36" s="1"/>
  <c r="M316" i="36" s="1"/>
  <c r="K213" i="36"/>
  <c r="L213" i="36" s="1"/>
  <c r="M213" i="36" s="1"/>
  <c r="K212" i="36"/>
  <c r="L212" i="36" s="1"/>
  <c r="M212" i="36" s="1"/>
  <c r="K153" i="36"/>
  <c r="L153" i="36" s="1"/>
  <c r="M153" i="36" s="1"/>
  <c r="K308" i="36"/>
  <c r="L308" i="36" s="1"/>
  <c r="M308" i="36" s="1"/>
  <c r="K96" i="36"/>
  <c r="L96" i="36" s="1"/>
  <c r="M96" i="36" s="1"/>
  <c r="K161" i="36"/>
  <c r="L161" i="36" s="1"/>
  <c r="M161" i="36" s="1"/>
  <c r="K110" i="36"/>
  <c r="L110" i="36" s="1"/>
  <c r="M110" i="36" s="1"/>
  <c r="K72" i="36"/>
  <c r="L72" i="36" s="1"/>
  <c r="M72" i="36" s="1"/>
  <c r="K91" i="36"/>
  <c r="L91" i="36" s="1"/>
  <c r="M91" i="36" s="1"/>
  <c r="K102" i="36"/>
  <c r="L102" i="36" s="1"/>
  <c r="M102" i="36" s="1"/>
  <c r="K81" i="36"/>
  <c r="L81" i="36" s="1"/>
  <c r="M81" i="36" s="1"/>
  <c r="K58" i="36"/>
  <c r="L58" i="36" s="1"/>
  <c r="M58" i="36" s="1"/>
  <c r="K119" i="36"/>
  <c r="L119" i="36" s="1"/>
  <c r="M119" i="36" s="1"/>
  <c r="K60" i="36"/>
  <c r="L60" i="36" s="1"/>
  <c r="M60" i="36" s="1"/>
  <c r="K135" i="36"/>
  <c r="L135" i="36" s="1"/>
  <c r="M135" i="36" s="1"/>
  <c r="K151" i="36"/>
  <c r="L151" i="36" s="1"/>
  <c r="M151" i="36" s="1"/>
  <c r="K160" i="36"/>
  <c r="L160" i="36" s="1"/>
  <c r="M160" i="36" s="1"/>
  <c r="K167" i="36"/>
  <c r="L167" i="36" s="1"/>
  <c r="M167" i="36" s="1"/>
  <c r="K257" i="36"/>
  <c r="L257" i="36" s="1"/>
  <c r="M257" i="36" s="1"/>
  <c r="K290" i="36"/>
  <c r="L290" i="36" s="1"/>
  <c r="M290" i="36" s="1"/>
  <c r="K36" i="36"/>
  <c r="L36" i="36" s="1"/>
  <c r="M36" i="36" s="1"/>
  <c r="K244" i="36"/>
  <c r="L244" i="36" s="1"/>
  <c r="M244" i="36" s="1"/>
  <c r="K142" i="36"/>
  <c r="L142" i="36" s="1"/>
  <c r="M142" i="36" s="1"/>
  <c r="K54" i="36"/>
  <c r="L54" i="36" s="1"/>
  <c r="M54" i="36" s="1"/>
  <c r="K291" i="36"/>
  <c r="L291" i="36" s="1"/>
  <c r="M291" i="36" s="1"/>
  <c r="K87" i="36"/>
  <c r="L87" i="36" s="1"/>
  <c r="M87" i="36" s="1"/>
  <c r="K179" i="36"/>
  <c r="L179" i="36" s="1"/>
  <c r="M179" i="36" s="1"/>
  <c r="K301" i="36"/>
  <c r="L301" i="36" s="1"/>
  <c r="M301" i="36" s="1"/>
  <c r="K123" i="36"/>
  <c r="L123" i="36" s="1"/>
  <c r="M123" i="36" s="1"/>
  <c r="K215" i="36"/>
  <c r="L215" i="36" s="1"/>
  <c r="M215" i="36" s="1"/>
  <c r="K266" i="36"/>
  <c r="L266" i="36" s="1"/>
  <c r="M266" i="36" s="1"/>
  <c r="K31" i="36"/>
  <c r="L31" i="36" s="1"/>
  <c r="M31" i="36" s="1"/>
  <c r="K66" i="36"/>
  <c r="L66" i="36" s="1"/>
  <c r="M66" i="36" s="1"/>
  <c r="K84" i="36"/>
  <c r="L84" i="36" s="1"/>
  <c r="M84" i="36" s="1"/>
  <c r="K219" i="36"/>
  <c r="L219" i="36" s="1"/>
  <c r="M219" i="36" s="1"/>
  <c r="K40" i="36"/>
  <c r="L40" i="36" s="1"/>
  <c r="M40" i="36" s="1"/>
  <c r="K231" i="36"/>
  <c r="L231" i="36" s="1"/>
  <c r="M231" i="36" s="1"/>
  <c r="K92" i="36"/>
  <c r="L92" i="36" s="1"/>
  <c r="M92" i="36" s="1"/>
  <c r="L3" i="38" l="1" a="1"/>
  <c r="L3" i="38" s="1"/>
  <c r="K3" i="37" a="1"/>
  <c r="K3" i="37" s="1"/>
  <c r="K3" i="39" a="1"/>
  <c r="K3" i="39" s="1"/>
  <c r="L4" i="36"/>
  <c r="L3" i="36" s="1" a="1"/>
  <c r="L3" i="36" s="1"/>
  <c r="K3" i="36" a="1"/>
  <c r="K3" i="36" s="1"/>
  <c r="K3" i="38" a="1"/>
  <c r="K3" i="38" s="1"/>
  <c r="L4" i="39"/>
  <c r="L3" i="39" s="1" a="1"/>
  <c r="L3" i="39" s="1"/>
  <c r="N40" i="39"/>
  <c r="N295" i="39"/>
  <c r="N228" i="39"/>
  <c r="N101" i="39"/>
  <c r="N258" i="39"/>
  <c r="N37" i="39"/>
  <c r="N256" i="39"/>
  <c r="N203" i="39"/>
  <c r="N218" i="39"/>
  <c r="N268" i="39"/>
  <c r="N232" i="39"/>
  <c r="N31" i="39"/>
  <c r="N186" i="39"/>
  <c r="N92" i="39"/>
  <c r="N52" i="39"/>
  <c r="N253" i="39"/>
  <c r="N241" i="39"/>
  <c r="N270" i="39"/>
  <c r="N291" i="39"/>
  <c r="N180" i="39"/>
  <c r="N181" i="39"/>
  <c r="N78" i="39"/>
  <c r="N48" i="39"/>
  <c r="N214" i="39"/>
  <c r="N281" i="39"/>
  <c r="N49" i="39"/>
  <c r="N286" i="39"/>
  <c r="N226" i="39"/>
  <c r="N260" i="39"/>
  <c r="N30" i="39"/>
  <c r="N261" i="39"/>
  <c r="N296" i="39"/>
  <c r="N244" i="39"/>
  <c r="N300" i="39"/>
  <c r="N217" i="39"/>
  <c r="N158" i="39"/>
  <c r="N259" i="39"/>
  <c r="N119" i="39"/>
  <c r="N29" i="39"/>
  <c r="N188" i="39"/>
  <c r="N216" i="39"/>
  <c r="N208" i="39"/>
  <c r="N121" i="39"/>
  <c r="N126" i="39"/>
  <c r="N19" i="39"/>
  <c r="N116" i="39"/>
  <c r="N76" i="39"/>
  <c r="N280" i="39"/>
  <c r="N80" i="39"/>
  <c r="N255" i="39"/>
  <c r="N5" i="39"/>
  <c r="N41" i="39"/>
  <c r="N109" i="39"/>
  <c r="N102" i="39"/>
  <c r="N82" i="39"/>
  <c r="N251" i="39"/>
  <c r="N273" i="39"/>
  <c r="N112" i="39"/>
  <c r="N90" i="39"/>
  <c r="N43" i="39"/>
  <c r="N34" i="39"/>
  <c r="N204" i="39"/>
  <c r="N297" i="39"/>
  <c r="N103" i="39"/>
  <c r="N75" i="39"/>
  <c r="N304" i="39"/>
  <c r="N71" i="39"/>
  <c r="N28" i="39"/>
  <c r="N55" i="39"/>
  <c r="N212" i="39"/>
  <c r="N285" i="39"/>
  <c r="N225" i="39"/>
  <c r="N145" i="39"/>
  <c r="N236" i="39"/>
  <c r="N316" i="39"/>
  <c r="N61" i="39"/>
  <c r="N157" i="39"/>
  <c r="N124" i="39"/>
  <c r="N156" i="39"/>
  <c r="N190" i="39"/>
  <c r="N168" i="39"/>
  <c r="N74" i="39"/>
  <c r="N197" i="39"/>
  <c r="N272" i="39"/>
  <c r="N191" i="39"/>
  <c r="N289" i="39"/>
  <c r="N237" i="39"/>
  <c r="N18" i="39"/>
  <c r="N35" i="39"/>
  <c r="N135" i="39"/>
  <c r="N95" i="39"/>
  <c r="N6" i="39"/>
  <c r="N242" i="39"/>
  <c r="N262" i="39"/>
  <c r="N219" i="39"/>
  <c r="N143" i="39"/>
  <c r="N179" i="39"/>
  <c r="N106" i="39"/>
  <c r="N211" i="39"/>
  <c r="N9" i="39"/>
  <c r="N151" i="39"/>
  <c r="N38" i="39"/>
  <c r="N68" i="39"/>
  <c r="N94" i="39"/>
  <c r="N114" i="39"/>
  <c r="N215" i="39"/>
  <c r="N57" i="39"/>
  <c r="N60" i="39"/>
  <c r="N42" i="39"/>
  <c r="N16" i="39"/>
  <c r="N234" i="39"/>
  <c r="N240" i="39"/>
  <c r="N69" i="39"/>
  <c r="N79" i="39"/>
  <c r="N105" i="39"/>
  <c r="N96" i="39"/>
  <c r="N98" i="39"/>
  <c r="N146" i="39"/>
  <c r="N314" i="39"/>
  <c r="N265" i="39"/>
  <c r="N139" i="39"/>
  <c r="N164" i="39"/>
  <c r="N155" i="39"/>
  <c r="N246" i="39"/>
  <c r="N100" i="39"/>
  <c r="N162" i="39"/>
  <c r="N39" i="39"/>
  <c r="N47" i="39"/>
  <c r="N306" i="39"/>
  <c r="N24" i="39"/>
  <c r="N107" i="39"/>
  <c r="N194" i="39"/>
  <c r="N302" i="39"/>
  <c r="N21" i="39"/>
  <c r="N125" i="39"/>
  <c r="N207" i="39"/>
  <c r="N11" i="39"/>
  <c r="N223" i="39"/>
  <c r="N117" i="39"/>
  <c r="N193" i="39"/>
  <c r="N149" i="39"/>
  <c r="N189" i="39"/>
  <c r="N267" i="39"/>
  <c r="N247" i="39"/>
  <c r="N287" i="39"/>
  <c r="N243" i="39"/>
  <c r="N233" i="39"/>
  <c r="N245" i="39"/>
  <c r="N209" i="39"/>
  <c r="N152" i="39"/>
  <c r="N87" i="39"/>
  <c r="N150" i="39"/>
  <c r="N14" i="39"/>
  <c r="N27" i="39"/>
  <c r="N170" i="39"/>
  <c r="N169" i="39"/>
  <c r="N294" i="39"/>
  <c r="N113" i="39"/>
  <c r="N198" i="39"/>
  <c r="N128" i="39"/>
  <c r="N175" i="39"/>
  <c r="N271" i="39"/>
  <c r="N174" i="39"/>
  <c r="N227" i="39"/>
  <c r="N13" i="39"/>
  <c r="N192" i="39"/>
  <c r="N266" i="39"/>
  <c r="N161" i="39"/>
  <c r="N292" i="39"/>
  <c r="N250" i="39"/>
  <c r="N274" i="39"/>
  <c r="N144" i="39"/>
  <c r="N118" i="39"/>
  <c r="N88" i="39"/>
  <c r="N54" i="39"/>
  <c r="N195" i="39"/>
  <c r="N45" i="39"/>
  <c r="N210" i="39"/>
  <c r="N58" i="39"/>
  <c r="N66" i="39"/>
  <c r="N257" i="39"/>
  <c r="N313" i="39"/>
  <c r="N199" i="39"/>
  <c r="N177" i="39"/>
  <c r="N15" i="39"/>
  <c r="N163" i="39"/>
  <c r="N133" i="39"/>
  <c r="N309" i="39"/>
  <c r="N264" i="39"/>
  <c r="N104" i="39"/>
  <c r="N108" i="39"/>
  <c r="N72" i="39"/>
  <c r="N36" i="39"/>
  <c r="N263" i="39"/>
  <c r="N63" i="39"/>
  <c r="N120" i="39"/>
  <c r="N138" i="39"/>
  <c r="N299" i="39"/>
  <c r="N307" i="39"/>
  <c r="N201" i="39"/>
  <c r="N97" i="39"/>
  <c r="N185" i="39"/>
  <c r="N46" i="39"/>
  <c r="N127" i="39"/>
  <c r="N283" i="39"/>
  <c r="N315" i="39"/>
  <c r="N278" i="39"/>
  <c r="N239" i="39"/>
  <c r="N182" i="39"/>
  <c r="N12" i="39"/>
  <c r="N303" i="39"/>
  <c r="N172" i="39"/>
  <c r="N310" i="39"/>
  <c r="N7" i="39"/>
  <c r="N32" i="39"/>
  <c r="N222" i="39"/>
  <c r="N173" i="39"/>
  <c r="N305" i="39"/>
  <c r="N312" i="39"/>
  <c r="N147" i="39"/>
  <c r="N81" i="39"/>
  <c r="N56" i="39"/>
  <c r="N248" i="39"/>
  <c r="N284" i="39"/>
  <c r="N153" i="39"/>
  <c r="N50" i="39"/>
  <c r="N10" i="39"/>
  <c r="N231" i="39"/>
  <c r="N59" i="39"/>
  <c r="N235" i="39"/>
  <c r="N115" i="39"/>
  <c r="N176" i="39"/>
  <c r="N311" i="39"/>
  <c r="N136" i="39"/>
  <c r="N73" i="39"/>
  <c r="N65" i="39"/>
  <c r="N183" i="39"/>
  <c r="N171" i="39"/>
  <c r="N83" i="39"/>
  <c r="N17" i="39"/>
  <c r="N23" i="39"/>
  <c r="N202" i="39"/>
  <c r="N298" i="39"/>
  <c r="N131" i="39"/>
  <c r="N99" i="39"/>
  <c r="N220" i="39"/>
  <c r="N184" i="39"/>
  <c r="N254" i="39"/>
  <c r="N290" i="39"/>
  <c r="N33" i="39"/>
  <c r="N269" i="39"/>
  <c r="N230" i="39"/>
  <c r="N148" i="39"/>
  <c r="N140" i="39"/>
  <c r="N85" i="39"/>
  <c r="N77" i="39"/>
  <c r="N70" i="39"/>
  <c r="N187" i="39"/>
  <c r="N129" i="39"/>
  <c r="N229" i="39"/>
  <c r="N279" i="39"/>
  <c r="N110" i="39"/>
  <c r="N26" i="39"/>
  <c r="N64" i="39"/>
  <c r="N130" i="39"/>
  <c r="N288" i="39"/>
  <c r="N93" i="39"/>
  <c r="N167" i="39"/>
  <c r="N8" i="39"/>
  <c r="N111" i="39"/>
  <c r="N275" i="39"/>
  <c r="N277" i="39"/>
  <c r="N293" i="39"/>
  <c r="N89" i="39"/>
  <c r="N122" i="39"/>
  <c r="N25" i="39"/>
  <c r="N200" i="39"/>
  <c r="N132" i="39"/>
  <c r="N86" i="39"/>
  <c r="N224" i="39"/>
  <c r="N123" i="39"/>
  <c r="N166" i="39"/>
  <c r="N160" i="39"/>
  <c r="N276" i="39"/>
  <c r="N51" i="39"/>
  <c r="N249" i="39"/>
  <c r="N44" i="39"/>
  <c r="N67" i="39"/>
  <c r="N84" i="39"/>
  <c r="N205" i="39"/>
  <c r="N91" i="39"/>
  <c r="N159" i="39"/>
  <c r="N221" i="39"/>
  <c r="N178" i="39"/>
  <c r="N206" i="39"/>
  <c r="N213" i="39"/>
  <c r="N154" i="39"/>
  <c r="N20" i="39"/>
  <c r="N22" i="39"/>
  <c r="N282" i="39"/>
  <c r="N134" i="39"/>
  <c r="N238" i="39"/>
  <c r="N53" i="39"/>
  <c r="N62" i="39"/>
  <c r="N141" i="39"/>
  <c r="N137" i="39"/>
  <c r="N252" i="39"/>
  <c r="N308" i="39"/>
  <c r="N142" i="39"/>
  <c r="N301" i="39"/>
  <c r="N196" i="39"/>
  <c r="N165" i="39"/>
  <c r="M4" i="38"/>
  <c r="M3" i="38" s="1" a="1"/>
  <c r="M3" i="38" s="1"/>
  <c r="L4" i="37"/>
  <c r="L3" i="37" s="1" a="1"/>
  <c r="L3" i="37" s="1"/>
  <c r="N54" i="36"/>
  <c r="N274" i="36"/>
  <c r="N307" i="36"/>
  <c r="N50" i="36"/>
  <c r="N227" i="36"/>
  <c r="N129" i="36"/>
  <c r="N121" i="36"/>
  <c r="N149" i="36"/>
  <c r="N283" i="36"/>
  <c r="N156" i="36"/>
  <c r="N33" i="36"/>
  <c r="N242" i="36"/>
  <c r="N178" i="36"/>
  <c r="N292" i="36"/>
  <c r="N211" i="36"/>
  <c r="N120" i="36"/>
  <c r="N229" i="36"/>
  <c r="N169" i="36"/>
  <c r="N18" i="36"/>
  <c r="N59" i="36"/>
  <c r="N17" i="36"/>
  <c r="N34" i="36"/>
  <c r="N10" i="36"/>
  <c r="N315" i="36"/>
  <c r="N158" i="36"/>
  <c r="N136" i="36"/>
  <c r="N177" i="36"/>
  <c r="N269" i="36"/>
  <c r="N230" i="36"/>
  <c r="N186" i="36"/>
  <c r="N266" i="36"/>
  <c r="N142" i="36"/>
  <c r="N135" i="36"/>
  <c r="N110" i="36"/>
  <c r="N316" i="36"/>
  <c r="N32" i="36"/>
  <c r="N296" i="36"/>
  <c r="N285" i="36"/>
  <c r="N61" i="36"/>
  <c r="N101" i="36"/>
  <c r="N152" i="36"/>
  <c r="N163" i="36"/>
  <c r="N202" i="36"/>
  <c r="N217" i="36"/>
  <c r="N104" i="36"/>
  <c r="N45" i="36"/>
  <c r="N173" i="36"/>
  <c r="N247" i="36"/>
  <c r="N82" i="36"/>
  <c r="N276" i="36"/>
  <c r="N172" i="36"/>
  <c r="N86" i="36"/>
  <c r="N270" i="36"/>
  <c r="N78" i="36"/>
  <c r="N124" i="36"/>
  <c r="N35" i="36"/>
  <c r="N89" i="36"/>
  <c r="N263" i="36"/>
  <c r="N23" i="36"/>
  <c r="N299" i="36"/>
  <c r="N298" i="36"/>
  <c r="N194" i="36"/>
  <c r="N14" i="36"/>
  <c r="N214" i="36"/>
  <c r="N138" i="36"/>
  <c r="N115" i="36"/>
  <c r="N210" i="36"/>
  <c r="N26" i="36"/>
  <c r="N69" i="36"/>
  <c r="N92" i="36"/>
  <c r="N137" i="36"/>
  <c r="N41" i="36"/>
  <c r="N232" i="36"/>
  <c r="N231" i="36"/>
  <c r="N123" i="36"/>
  <c r="N36" i="36"/>
  <c r="N119" i="36"/>
  <c r="N96" i="36"/>
  <c r="N180" i="36"/>
  <c r="N52" i="36"/>
  <c r="N132" i="36"/>
  <c r="N146" i="36"/>
  <c r="N88" i="36"/>
  <c r="N68" i="36"/>
  <c r="N49" i="36"/>
  <c r="N39" i="36"/>
  <c r="N141" i="36"/>
  <c r="N65" i="36"/>
  <c r="N46" i="36"/>
  <c r="N239" i="36"/>
  <c r="N38" i="36"/>
  <c r="N293" i="36"/>
  <c r="N312" i="36"/>
  <c r="N127" i="36"/>
  <c r="N143" i="36"/>
  <c r="N80" i="36"/>
  <c r="N192" i="36"/>
  <c r="N56" i="36"/>
  <c r="N8" i="36"/>
  <c r="N77" i="36"/>
  <c r="N147" i="36"/>
  <c r="N55" i="36"/>
  <c r="N282" i="36"/>
  <c r="N201" i="36"/>
  <c r="N209" i="36"/>
  <c r="N311" i="36"/>
  <c r="N25" i="36"/>
  <c r="N71" i="36"/>
  <c r="N83" i="36"/>
  <c r="N246" i="36"/>
  <c r="N238" i="36"/>
  <c r="N6" i="36"/>
  <c r="N151" i="36"/>
  <c r="N187" i="36"/>
  <c r="N161" i="36"/>
  <c r="N19" i="36"/>
  <c r="N125" i="36"/>
  <c r="N204" i="36"/>
  <c r="N98" i="36"/>
  <c r="N175" i="36"/>
  <c r="N75" i="36"/>
  <c r="N302" i="36"/>
  <c r="N159" i="36"/>
  <c r="N40" i="36"/>
  <c r="N301" i="36"/>
  <c r="N290" i="36"/>
  <c r="N58" i="36"/>
  <c r="N308" i="36"/>
  <c r="N305" i="36"/>
  <c r="N103" i="36"/>
  <c r="N53" i="36"/>
  <c r="N24" i="36"/>
  <c r="N268" i="36"/>
  <c r="N28" i="36"/>
  <c r="N190" i="36"/>
  <c r="N48" i="36"/>
  <c r="N206" i="36"/>
  <c r="N207" i="36"/>
  <c r="N208" i="36"/>
  <c r="N200" i="36"/>
  <c r="N162" i="36"/>
  <c r="N157" i="36"/>
  <c r="N248" i="36"/>
  <c r="N188" i="36"/>
  <c r="N176" i="36"/>
  <c r="N134" i="36"/>
  <c r="N12" i="36"/>
  <c r="N95" i="36"/>
  <c r="N223" i="36"/>
  <c r="N148" i="36"/>
  <c r="N47" i="36"/>
  <c r="N287" i="36"/>
  <c r="N300" i="36"/>
  <c r="N241" i="36"/>
  <c r="N27" i="36"/>
  <c r="N265" i="36"/>
  <c r="N278" i="36"/>
  <c r="N5" i="36"/>
  <c r="N11" i="36"/>
  <c r="N155" i="36"/>
  <c r="N111" i="36"/>
  <c r="N22" i="36"/>
  <c r="N94" i="36"/>
  <c r="N60" i="36"/>
  <c r="N85" i="36"/>
  <c r="N150" i="36"/>
  <c r="N250" i="36"/>
  <c r="N219" i="36"/>
  <c r="N179" i="36"/>
  <c r="N257" i="36"/>
  <c r="N81" i="36"/>
  <c r="N153" i="36"/>
  <c r="N277" i="36"/>
  <c r="N284" i="36"/>
  <c r="N264" i="36"/>
  <c r="N184" i="36"/>
  <c r="N272" i="36"/>
  <c r="N145" i="36"/>
  <c r="N114" i="36"/>
  <c r="N226" i="36"/>
  <c r="N271" i="36"/>
  <c r="N171" i="36"/>
  <c r="N117" i="36"/>
  <c r="N164" i="36"/>
  <c r="N166" i="36"/>
  <c r="N126" i="36"/>
  <c r="N122" i="36"/>
  <c r="N62" i="36"/>
  <c r="N286" i="36"/>
  <c r="N235" i="36"/>
  <c r="N100" i="36"/>
  <c r="N255" i="36"/>
  <c r="N118" i="36"/>
  <c r="N174" i="36"/>
  <c r="N258" i="36"/>
  <c r="N256" i="36"/>
  <c r="N198" i="36"/>
  <c r="N221" i="36"/>
  <c r="N310" i="36"/>
  <c r="N79" i="36"/>
  <c r="N295" i="36"/>
  <c r="N203" i="36"/>
  <c r="N240" i="36"/>
  <c r="N51" i="36"/>
  <c r="N185" i="36"/>
  <c r="N64" i="36"/>
  <c r="N237" i="36"/>
  <c r="N31" i="36"/>
  <c r="N72" i="36"/>
  <c r="N288" i="36"/>
  <c r="N244" i="36"/>
  <c r="N113" i="36"/>
  <c r="N183" i="36"/>
  <c r="N57" i="36"/>
  <c r="N140" i="36"/>
  <c r="N97" i="36"/>
  <c r="N106" i="36"/>
  <c r="N7" i="36"/>
  <c r="N254" i="36"/>
  <c r="N21" i="36"/>
  <c r="N294" i="36"/>
  <c r="N84" i="36"/>
  <c r="N87" i="36"/>
  <c r="N167" i="36"/>
  <c r="N102" i="36"/>
  <c r="N313" i="36"/>
  <c r="N70" i="36"/>
  <c r="N304" i="36"/>
  <c r="N199" i="36"/>
  <c r="N191" i="36"/>
  <c r="N144" i="36"/>
  <c r="N16" i="36"/>
  <c r="N252" i="36"/>
  <c r="N309" i="36"/>
  <c r="N218" i="36"/>
  <c r="N280" i="36"/>
  <c r="N20" i="36"/>
  <c r="N297" i="36"/>
  <c r="N243" i="36"/>
  <c r="N76" i="36"/>
  <c r="N133" i="36"/>
  <c r="N253" i="36"/>
  <c r="N29" i="36"/>
  <c r="N37" i="36"/>
  <c r="N105" i="36"/>
  <c r="N9" i="36"/>
  <c r="N228" i="36"/>
  <c r="N222" i="36"/>
  <c r="N205" i="36"/>
  <c r="N99" i="36"/>
  <c r="N181" i="36"/>
  <c r="N15" i="36"/>
  <c r="N303" i="36"/>
  <c r="N109" i="36"/>
  <c r="N90" i="36"/>
  <c r="N168" i="36"/>
  <c r="N182" i="36"/>
  <c r="N67" i="36"/>
  <c r="N43" i="36"/>
  <c r="N213" i="36"/>
  <c r="N273" i="36"/>
  <c r="N215" i="36"/>
  <c r="N107" i="36"/>
  <c r="N116" i="36"/>
  <c r="N112" i="36"/>
  <c r="N220" i="36"/>
  <c r="N234" i="36"/>
  <c r="N195" i="36"/>
  <c r="N224" i="36"/>
  <c r="N189" i="36"/>
  <c r="N73" i="36"/>
  <c r="N170" i="36"/>
  <c r="N236" i="36"/>
  <c r="N66" i="36"/>
  <c r="N291" i="36"/>
  <c r="N160" i="36"/>
  <c r="N91" i="36"/>
  <c r="N212" i="36"/>
  <c r="N130" i="36"/>
  <c r="N30" i="36"/>
  <c r="N131" i="36"/>
  <c r="N289" i="36"/>
  <c r="N196" i="36"/>
  <c r="N275" i="36"/>
  <c r="N108" i="36"/>
  <c r="N279" i="36"/>
  <c r="N251" i="36"/>
  <c r="N93" i="36"/>
  <c r="N281" i="36"/>
  <c r="N128" i="36"/>
  <c r="N261" i="36"/>
  <c r="N267" i="36"/>
  <c r="N74" i="36"/>
  <c r="N139" i="36"/>
  <c r="N225" i="36"/>
  <c r="N44" i="36"/>
  <c r="N165" i="36"/>
  <c r="N63" i="36"/>
  <c r="N154" i="36"/>
  <c r="N245" i="36"/>
  <c r="N197" i="36"/>
  <c r="N233" i="36"/>
  <c r="N314" i="36"/>
  <c r="N306" i="36"/>
  <c r="N260" i="36"/>
  <c r="N13" i="36"/>
  <c r="N42" i="36"/>
  <c r="N193" i="36"/>
  <c r="N262" i="36"/>
  <c r="N249" i="36"/>
  <c r="N216" i="36"/>
  <c r="N259" i="36"/>
  <c r="M4" i="36" l="1"/>
  <c r="N4" i="36" s="1"/>
  <c r="N3" i="36" s="1" a="1"/>
  <c r="N3" i="36" s="1"/>
  <c r="M4" i="39"/>
  <c r="M3" i="39" s="1" a="1"/>
  <c r="M3" i="39" s="1"/>
  <c r="N4" i="38"/>
  <c r="N3" i="38" s="1" a="1"/>
  <c r="N3" i="38" s="1"/>
  <c r="M4" i="37"/>
  <c r="M3" i="36" l="1" a="1"/>
  <c r="M3" i="36" s="1"/>
  <c r="N4" i="37"/>
  <c r="N3" i="37" s="1" a="1"/>
  <c r="N3" i="37" s="1"/>
  <c r="M3" i="37" a="1"/>
  <c r="M3" i="37" s="1"/>
  <c r="O317" i="38"/>
  <c r="P317" i="38" s="1"/>
  <c r="Q317" i="38" s="1"/>
  <c r="O318" i="38"/>
  <c r="P318" i="38" s="1"/>
  <c r="Q318" i="38" s="1"/>
  <c r="N4" i="39"/>
  <c r="N3" i="39" s="1" a="1"/>
  <c r="N3" i="39" s="1"/>
  <c r="O318" i="37" l="1"/>
  <c r="P318" i="37" s="1"/>
  <c r="Q318" i="37" s="1"/>
  <c r="R318" i="37" s="1"/>
  <c r="O318" i="36"/>
  <c r="P318" i="36" s="1"/>
  <c r="Q318" i="36" s="1"/>
  <c r="O317" i="36"/>
  <c r="P317" i="36" s="1"/>
  <c r="Q317" i="36" s="1"/>
  <c r="O317" i="37"/>
  <c r="P317" i="37" s="1"/>
  <c r="Q317" i="37" s="1"/>
  <c r="R318" i="38"/>
  <c r="R317" i="38"/>
  <c r="O317" i="39"/>
  <c r="P317" i="39" s="1"/>
  <c r="Q317" i="39" s="1"/>
  <c r="O318" i="39"/>
  <c r="P318" i="39" s="1"/>
  <c r="Q318" i="39" s="1"/>
  <c r="O4" i="36"/>
  <c r="O33" i="39"/>
  <c r="P33" i="39" s="1"/>
  <c r="Q33" i="39" s="1"/>
  <c r="O268" i="39"/>
  <c r="P268" i="39" s="1"/>
  <c r="Q268" i="39" s="1"/>
  <c r="O44" i="39"/>
  <c r="P44" i="39" s="1"/>
  <c r="Q44" i="39" s="1"/>
  <c r="O253" i="39"/>
  <c r="P253" i="39" s="1"/>
  <c r="Q253" i="39" s="1"/>
  <c r="O308" i="39"/>
  <c r="P308" i="39" s="1"/>
  <c r="Q308" i="39" s="1"/>
  <c r="O87" i="39"/>
  <c r="P87" i="39" s="1"/>
  <c r="Q87" i="39" s="1"/>
  <c r="O316" i="39"/>
  <c r="P316" i="39" s="1"/>
  <c r="Q316" i="39" s="1"/>
  <c r="O209" i="39"/>
  <c r="P209" i="39" s="1"/>
  <c r="Q209" i="39" s="1"/>
  <c r="O282" i="39"/>
  <c r="P282" i="39" s="1"/>
  <c r="Q282" i="39" s="1"/>
  <c r="O148" i="39"/>
  <c r="P148" i="39" s="1"/>
  <c r="Q148" i="39" s="1"/>
  <c r="O108" i="39"/>
  <c r="P108" i="39" s="1"/>
  <c r="Q108" i="39" s="1"/>
  <c r="O105" i="39"/>
  <c r="P105" i="39" s="1"/>
  <c r="Q105" i="39" s="1"/>
  <c r="O297" i="39"/>
  <c r="P297" i="39" s="1"/>
  <c r="Q297" i="39" s="1"/>
  <c r="O96" i="39"/>
  <c r="P96" i="39" s="1"/>
  <c r="Q96" i="39" s="1"/>
  <c r="O58" i="39"/>
  <c r="P58" i="39" s="1"/>
  <c r="Q58" i="39" s="1"/>
  <c r="O159" i="39"/>
  <c r="P159" i="39" s="1"/>
  <c r="Q159" i="39" s="1"/>
  <c r="O254" i="39"/>
  <c r="P254" i="39" s="1"/>
  <c r="Q254" i="39" s="1"/>
  <c r="O239" i="39"/>
  <c r="P239" i="39" s="1"/>
  <c r="Q239" i="39" s="1"/>
  <c r="O292" i="39"/>
  <c r="P292" i="39" s="1"/>
  <c r="Q292" i="39" s="1"/>
  <c r="O212" i="39"/>
  <c r="P212" i="39" s="1"/>
  <c r="Q212" i="39" s="1"/>
  <c r="O260" i="39"/>
  <c r="P260" i="39" s="1"/>
  <c r="Q260" i="39" s="1"/>
  <c r="O234" i="39"/>
  <c r="P234" i="39" s="1"/>
  <c r="Q234" i="39" s="1"/>
  <c r="O157" i="39"/>
  <c r="P157" i="39" s="1"/>
  <c r="Q157" i="39" s="1"/>
  <c r="O140" i="39"/>
  <c r="P140" i="39" s="1"/>
  <c r="Q140" i="39" s="1"/>
  <c r="O15" i="39"/>
  <c r="P15" i="39" s="1"/>
  <c r="Q15" i="39" s="1"/>
  <c r="O215" i="39"/>
  <c r="P215" i="39" s="1"/>
  <c r="Q215" i="39" s="1"/>
  <c r="O102" i="39"/>
  <c r="P102" i="39" s="1"/>
  <c r="Q102" i="39" s="1"/>
  <c r="O183" i="39"/>
  <c r="P183" i="39" s="1"/>
  <c r="Q183" i="39" s="1"/>
  <c r="O249" i="39"/>
  <c r="P249" i="39" s="1"/>
  <c r="Q249" i="39" s="1"/>
  <c r="O311" i="39"/>
  <c r="P311" i="39" s="1"/>
  <c r="Q311" i="39" s="1"/>
  <c r="O46" i="39"/>
  <c r="P46" i="39" s="1"/>
  <c r="Q46" i="39" s="1"/>
  <c r="O192" i="39"/>
  <c r="P192" i="39" s="1"/>
  <c r="Q192" i="39" s="1"/>
  <c r="O107" i="39"/>
  <c r="P107" i="39" s="1"/>
  <c r="Q107" i="39" s="1"/>
  <c r="O156" i="39"/>
  <c r="P156" i="39" s="1"/>
  <c r="Q156" i="39" s="1"/>
  <c r="O188" i="39"/>
  <c r="P188" i="39" s="1"/>
  <c r="Q188" i="39" s="1"/>
  <c r="O301" i="39"/>
  <c r="P301" i="39" s="1"/>
  <c r="Q301" i="39" s="1"/>
  <c r="O303" i="39"/>
  <c r="P303" i="39" s="1"/>
  <c r="Q303" i="39" s="1"/>
  <c r="O152" i="39"/>
  <c r="P152" i="39" s="1"/>
  <c r="Q152" i="39" s="1"/>
  <c r="O314" i="39"/>
  <c r="P314" i="39" s="1"/>
  <c r="Q314" i="39" s="1"/>
  <c r="O37" i="39"/>
  <c r="P37" i="39" s="1"/>
  <c r="Q37" i="39" s="1"/>
  <c r="O232" i="39"/>
  <c r="P232" i="39" s="1"/>
  <c r="Q232" i="39" s="1"/>
  <c r="O248" i="39"/>
  <c r="P248" i="39" s="1"/>
  <c r="Q248" i="39" s="1"/>
  <c r="O235" i="39"/>
  <c r="P235" i="39" s="1"/>
  <c r="Q235" i="39" s="1"/>
  <c r="O143" i="39"/>
  <c r="P143" i="39" s="1"/>
  <c r="Q143" i="39" s="1"/>
  <c r="O203" i="39"/>
  <c r="P203" i="39" s="1"/>
  <c r="Q203" i="39" s="1"/>
  <c r="O147" i="39"/>
  <c r="P147" i="39" s="1"/>
  <c r="Q147" i="39" s="1"/>
  <c r="O35" i="39"/>
  <c r="P35" i="39" s="1"/>
  <c r="Q35" i="39" s="1"/>
  <c r="O158" i="39"/>
  <c r="P158" i="39" s="1"/>
  <c r="Q158" i="39" s="1"/>
  <c r="O136" i="39"/>
  <c r="P136" i="39" s="1"/>
  <c r="Q136" i="39" s="1"/>
  <c r="O78" i="39"/>
  <c r="P78" i="39" s="1"/>
  <c r="Q78" i="39" s="1"/>
  <c r="O81" i="39"/>
  <c r="P81" i="39" s="1"/>
  <c r="Q81" i="39" s="1"/>
  <c r="O244" i="39"/>
  <c r="P244" i="39" s="1"/>
  <c r="Q244" i="39" s="1"/>
  <c r="O122" i="39"/>
  <c r="P122" i="39" s="1"/>
  <c r="Q122" i="39" s="1"/>
  <c r="O36" i="39"/>
  <c r="P36" i="39" s="1"/>
  <c r="Q36" i="39" s="1"/>
  <c r="O294" i="39"/>
  <c r="P294" i="39" s="1"/>
  <c r="Q294" i="39" s="1"/>
  <c r="O49" i="39"/>
  <c r="P49" i="39" s="1"/>
  <c r="Q49" i="39" s="1"/>
  <c r="O8" i="39"/>
  <c r="P8" i="39" s="1"/>
  <c r="Q8" i="39" s="1"/>
  <c r="O133" i="39"/>
  <c r="P133" i="39" s="1"/>
  <c r="Q133" i="39" s="1"/>
  <c r="O135" i="39"/>
  <c r="P135" i="39" s="1"/>
  <c r="Q135" i="39" s="1"/>
  <c r="O288" i="39"/>
  <c r="P288" i="39" s="1"/>
  <c r="Q288" i="39" s="1"/>
  <c r="O72" i="39"/>
  <c r="P72" i="39" s="1"/>
  <c r="Q72" i="39" s="1"/>
  <c r="O12" i="39"/>
  <c r="P12" i="39" s="1"/>
  <c r="Q12" i="39" s="1"/>
  <c r="O236" i="39"/>
  <c r="P236" i="39" s="1"/>
  <c r="Q236" i="39" s="1"/>
  <c r="O186" i="39"/>
  <c r="P186" i="39" s="1"/>
  <c r="Q186" i="39" s="1"/>
  <c r="O290" i="39"/>
  <c r="P290" i="39" s="1"/>
  <c r="Q290" i="39" s="1"/>
  <c r="O199" i="39"/>
  <c r="P199" i="39" s="1"/>
  <c r="Q199" i="39" s="1"/>
  <c r="O243" i="39"/>
  <c r="P243" i="39" s="1"/>
  <c r="Q243" i="39" s="1"/>
  <c r="O92" i="39"/>
  <c r="P92" i="39" s="1"/>
  <c r="Q92" i="39" s="1"/>
  <c r="O118" i="39"/>
  <c r="P118" i="39" s="1"/>
  <c r="Q118" i="39" s="1"/>
  <c r="O304" i="39"/>
  <c r="P304" i="39" s="1"/>
  <c r="Q304" i="39" s="1"/>
  <c r="O141" i="39"/>
  <c r="P141" i="39" s="1"/>
  <c r="Q141" i="39" s="1"/>
  <c r="O211" i="39"/>
  <c r="P211" i="39" s="1"/>
  <c r="Q211" i="39" s="1"/>
  <c r="O38" i="39"/>
  <c r="P38" i="39" s="1"/>
  <c r="Q38" i="39" s="1"/>
  <c r="O64" i="39"/>
  <c r="P64" i="39" s="1"/>
  <c r="Q64" i="39" s="1"/>
  <c r="O55" i="39"/>
  <c r="P55" i="39" s="1"/>
  <c r="Q55" i="39" s="1"/>
  <c r="O275" i="39"/>
  <c r="P275" i="39" s="1"/>
  <c r="Q275" i="39" s="1"/>
  <c r="O172" i="39"/>
  <c r="P172" i="39" s="1"/>
  <c r="Q172" i="39" s="1"/>
  <c r="O208" i="39"/>
  <c r="P208" i="39" s="1"/>
  <c r="Q208" i="39" s="1"/>
  <c r="O274" i="39"/>
  <c r="P274" i="39" s="1"/>
  <c r="Q274" i="39" s="1"/>
  <c r="O201" i="39"/>
  <c r="P201" i="39" s="1"/>
  <c r="Q201" i="39" s="1"/>
  <c r="O34" i="39"/>
  <c r="P34" i="39" s="1"/>
  <c r="Q34" i="39" s="1"/>
  <c r="O20" i="39"/>
  <c r="P20" i="39" s="1"/>
  <c r="Q20" i="39" s="1"/>
  <c r="O313" i="39"/>
  <c r="P313" i="39" s="1"/>
  <c r="Q313" i="39" s="1"/>
  <c r="O144" i="39"/>
  <c r="P144" i="39" s="1"/>
  <c r="Q144" i="39" s="1"/>
  <c r="O286" i="39"/>
  <c r="P286" i="39" s="1"/>
  <c r="Q286" i="39" s="1"/>
  <c r="O91" i="39"/>
  <c r="P91" i="39" s="1"/>
  <c r="Q91" i="39" s="1"/>
  <c r="O307" i="39"/>
  <c r="P307" i="39" s="1"/>
  <c r="Q307" i="39" s="1"/>
  <c r="O40" i="39"/>
  <c r="P40" i="39" s="1"/>
  <c r="Q40" i="39" s="1"/>
  <c r="O246" i="39"/>
  <c r="P246" i="39" s="1"/>
  <c r="Q246" i="39" s="1"/>
  <c r="O221" i="39"/>
  <c r="P221" i="39" s="1"/>
  <c r="Q221" i="39" s="1"/>
  <c r="O225" i="39"/>
  <c r="P225" i="39" s="1"/>
  <c r="Q225" i="39" s="1"/>
  <c r="O146" i="39"/>
  <c r="P146" i="39" s="1"/>
  <c r="Q146" i="39" s="1"/>
  <c r="O273" i="39"/>
  <c r="P273" i="39" s="1"/>
  <c r="Q273" i="39" s="1"/>
  <c r="O171" i="39"/>
  <c r="P171" i="39" s="1"/>
  <c r="Q171" i="39" s="1"/>
  <c r="O168" i="39"/>
  <c r="P168" i="39" s="1"/>
  <c r="Q168" i="39" s="1"/>
  <c r="O165" i="39"/>
  <c r="P165" i="39" s="1"/>
  <c r="Q165" i="39" s="1"/>
  <c r="O39" i="39"/>
  <c r="P39" i="39" s="1"/>
  <c r="Q39" i="39" s="1"/>
  <c r="O83" i="39"/>
  <c r="P83" i="39" s="1"/>
  <c r="Q83" i="39" s="1"/>
  <c r="O166" i="39"/>
  <c r="P166" i="39" s="1"/>
  <c r="Q166" i="39" s="1"/>
  <c r="O73" i="39"/>
  <c r="P73" i="39" s="1"/>
  <c r="Q73" i="39" s="1"/>
  <c r="O178" i="39"/>
  <c r="P178" i="39" s="1"/>
  <c r="Q178" i="39" s="1"/>
  <c r="O164" i="39"/>
  <c r="P164" i="39" s="1"/>
  <c r="Q164" i="39" s="1"/>
  <c r="O28" i="39"/>
  <c r="P28" i="39" s="1"/>
  <c r="Q28" i="39" s="1"/>
  <c r="O139" i="39"/>
  <c r="P139" i="39" s="1"/>
  <c r="Q139" i="39" s="1"/>
  <c r="O213" i="39"/>
  <c r="P213" i="39" s="1"/>
  <c r="Q213" i="39" s="1"/>
  <c r="O230" i="39"/>
  <c r="P230" i="39" s="1"/>
  <c r="Q230" i="39" s="1"/>
  <c r="O45" i="39"/>
  <c r="P45" i="39" s="1"/>
  <c r="Q45" i="39" s="1"/>
  <c r="O179" i="39"/>
  <c r="P179" i="39" s="1"/>
  <c r="Q179" i="39" s="1"/>
  <c r="O82" i="39"/>
  <c r="P82" i="39" s="1"/>
  <c r="Q82" i="39" s="1"/>
  <c r="O61" i="39"/>
  <c r="P61" i="39" s="1"/>
  <c r="Q61" i="39" s="1"/>
  <c r="O227" i="39"/>
  <c r="P227" i="39" s="1"/>
  <c r="Q227" i="39" s="1"/>
  <c r="O84" i="39"/>
  <c r="P84" i="39" s="1"/>
  <c r="Q84" i="39" s="1"/>
  <c r="O99" i="39"/>
  <c r="P99" i="39" s="1"/>
  <c r="Q99" i="39" s="1"/>
  <c r="O315" i="39"/>
  <c r="P315" i="39" s="1"/>
  <c r="Q315" i="39" s="1"/>
  <c r="O271" i="39"/>
  <c r="P271" i="39" s="1"/>
  <c r="Q271" i="39" s="1"/>
  <c r="O75" i="39"/>
  <c r="P75" i="39" s="1"/>
  <c r="Q75" i="39" s="1"/>
  <c r="O281" i="39"/>
  <c r="P281" i="39" s="1"/>
  <c r="Q281" i="39" s="1"/>
  <c r="O190" i="39"/>
  <c r="P190" i="39" s="1"/>
  <c r="Q190" i="39" s="1"/>
  <c r="O251" i="39"/>
  <c r="P251" i="39" s="1"/>
  <c r="Q251" i="39" s="1"/>
  <c r="O17" i="39"/>
  <c r="P17" i="39" s="1"/>
  <c r="Q17" i="39" s="1"/>
  <c r="O250" i="39"/>
  <c r="P250" i="39" s="1"/>
  <c r="Q250" i="39" s="1"/>
  <c r="O114" i="39"/>
  <c r="P114" i="39" s="1"/>
  <c r="Q114" i="39" s="1"/>
  <c r="O126" i="39"/>
  <c r="P126" i="39" s="1"/>
  <c r="Q126" i="39" s="1"/>
  <c r="O177" i="39"/>
  <c r="P177" i="39" s="1"/>
  <c r="Q177" i="39" s="1"/>
  <c r="O51" i="39"/>
  <c r="P51" i="39" s="1"/>
  <c r="Q51" i="39" s="1"/>
  <c r="O115" i="39"/>
  <c r="P115" i="39" s="1"/>
  <c r="Q115" i="39" s="1"/>
  <c r="O185" i="39"/>
  <c r="P185" i="39" s="1"/>
  <c r="Q185" i="39" s="1"/>
  <c r="O174" i="39"/>
  <c r="P174" i="39" s="1"/>
  <c r="Q174" i="39" s="1"/>
  <c r="O155" i="39"/>
  <c r="P155" i="39" s="1"/>
  <c r="Q155" i="39" s="1"/>
  <c r="O145" i="39"/>
  <c r="P145" i="39" s="1"/>
  <c r="Q145" i="39" s="1"/>
  <c r="O31" i="39"/>
  <c r="P31" i="39" s="1"/>
  <c r="Q31" i="39" s="1"/>
  <c r="O205" i="39"/>
  <c r="P205" i="39" s="1"/>
  <c r="Q205" i="39" s="1"/>
  <c r="O283" i="39"/>
  <c r="P283" i="39" s="1"/>
  <c r="Q283" i="39" s="1"/>
  <c r="O287" i="39"/>
  <c r="P287" i="39" s="1"/>
  <c r="Q287" i="39" s="1"/>
  <c r="O98" i="39"/>
  <c r="P98" i="39" s="1"/>
  <c r="Q98" i="39" s="1"/>
  <c r="O228" i="39"/>
  <c r="P228" i="39" s="1"/>
  <c r="Q228" i="39" s="1"/>
  <c r="O266" i="39"/>
  <c r="P266" i="39" s="1"/>
  <c r="Q266" i="39" s="1"/>
  <c r="O71" i="39"/>
  <c r="P71" i="39" s="1"/>
  <c r="Q71" i="39" s="1"/>
  <c r="O150" i="39"/>
  <c r="P150" i="39" s="1"/>
  <c r="Q150" i="39" s="1"/>
  <c r="O47" i="39"/>
  <c r="P47" i="39" s="1"/>
  <c r="Q47" i="39" s="1"/>
  <c r="O306" i="39"/>
  <c r="P306" i="39" s="1"/>
  <c r="Q306" i="39" s="1"/>
  <c r="O280" i="39"/>
  <c r="P280" i="39" s="1"/>
  <c r="Q280" i="39" s="1"/>
  <c r="O204" i="39"/>
  <c r="P204" i="39" s="1"/>
  <c r="Q204" i="39" s="1"/>
  <c r="O86" i="39"/>
  <c r="P86" i="39" s="1"/>
  <c r="Q86" i="39" s="1"/>
  <c r="O56" i="39"/>
  <c r="P56" i="39" s="1"/>
  <c r="Q56" i="39" s="1"/>
  <c r="O116" i="39"/>
  <c r="P116" i="39" s="1"/>
  <c r="Q116" i="39" s="1"/>
  <c r="O131" i="39"/>
  <c r="P131" i="39" s="1"/>
  <c r="Q131" i="39" s="1"/>
  <c r="O68" i="39"/>
  <c r="P68" i="39" s="1"/>
  <c r="Q68" i="39" s="1"/>
  <c r="O255" i="39"/>
  <c r="P255" i="39" s="1"/>
  <c r="Q255" i="39" s="1"/>
  <c r="O57" i="39"/>
  <c r="P57" i="39" s="1"/>
  <c r="Q57" i="39" s="1"/>
  <c r="O59" i="39"/>
  <c r="P59" i="39" s="1"/>
  <c r="Q59" i="39" s="1"/>
  <c r="O13" i="39"/>
  <c r="P13" i="39" s="1"/>
  <c r="Q13" i="39" s="1"/>
  <c r="O6" i="39"/>
  <c r="P6" i="39" s="1"/>
  <c r="Q6" i="39" s="1"/>
  <c r="O121" i="39"/>
  <c r="P121" i="39" s="1"/>
  <c r="Q121" i="39" s="1"/>
  <c r="O285" i="39"/>
  <c r="P285" i="39" s="1"/>
  <c r="Q285" i="39" s="1"/>
  <c r="O169" i="39"/>
  <c r="P169" i="39" s="1"/>
  <c r="Q169" i="39" s="1"/>
  <c r="O67" i="39"/>
  <c r="P67" i="39" s="1"/>
  <c r="Q67" i="39" s="1"/>
  <c r="O202" i="39"/>
  <c r="P202" i="39" s="1"/>
  <c r="Q202" i="39" s="1"/>
  <c r="O138" i="39"/>
  <c r="P138" i="39" s="1"/>
  <c r="Q138" i="39" s="1"/>
  <c r="O302" i="39"/>
  <c r="P302" i="39" s="1"/>
  <c r="Q302" i="39" s="1"/>
  <c r="O112" i="39"/>
  <c r="P112" i="39" s="1"/>
  <c r="Q112" i="39" s="1"/>
  <c r="O214" i="39"/>
  <c r="P214" i="39" s="1"/>
  <c r="Q214" i="39" s="1"/>
  <c r="O43" i="39"/>
  <c r="P43" i="39" s="1"/>
  <c r="Q43" i="39" s="1"/>
  <c r="O252" i="39"/>
  <c r="P252" i="39" s="1"/>
  <c r="Q252" i="39" s="1"/>
  <c r="O231" i="39"/>
  <c r="P231" i="39" s="1"/>
  <c r="Q231" i="39" s="1"/>
  <c r="O284" i="39"/>
  <c r="P284" i="39" s="1"/>
  <c r="Q284" i="39" s="1"/>
  <c r="O175" i="39"/>
  <c r="P175" i="39" s="1"/>
  <c r="Q175" i="39" s="1"/>
  <c r="O94" i="39"/>
  <c r="P94" i="39" s="1"/>
  <c r="Q94" i="39" s="1"/>
  <c r="O216" i="39"/>
  <c r="P216" i="39" s="1"/>
  <c r="Q216" i="39" s="1"/>
  <c r="O258" i="39"/>
  <c r="P258" i="39" s="1"/>
  <c r="Q258" i="39" s="1"/>
  <c r="O123" i="39"/>
  <c r="P123" i="39" s="1"/>
  <c r="Q123" i="39" s="1"/>
  <c r="O10" i="39"/>
  <c r="P10" i="39" s="1"/>
  <c r="Q10" i="39" s="1"/>
  <c r="O299" i="39"/>
  <c r="P299" i="39" s="1"/>
  <c r="Q299" i="39" s="1"/>
  <c r="O198" i="39"/>
  <c r="P198" i="39" s="1"/>
  <c r="Q198" i="39" s="1"/>
  <c r="O69" i="39"/>
  <c r="P69" i="39" s="1"/>
  <c r="Q69" i="39" s="1"/>
  <c r="O217" i="39"/>
  <c r="P217" i="39" s="1"/>
  <c r="Q217" i="39" s="1"/>
  <c r="O77" i="39"/>
  <c r="P77" i="39" s="1"/>
  <c r="Q77" i="39" s="1"/>
  <c r="O89" i="39"/>
  <c r="P89" i="39" s="1"/>
  <c r="Q89" i="39" s="1"/>
  <c r="O264" i="39"/>
  <c r="P264" i="39" s="1"/>
  <c r="Q264" i="39" s="1"/>
  <c r="O267" i="39"/>
  <c r="P267" i="39" s="1"/>
  <c r="Q267" i="39" s="1"/>
  <c r="O219" i="39"/>
  <c r="P219" i="39" s="1"/>
  <c r="Q219" i="39" s="1"/>
  <c r="O295" i="39"/>
  <c r="P295" i="39" s="1"/>
  <c r="Q295" i="39" s="1"/>
  <c r="O245" i="39"/>
  <c r="P245" i="39" s="1"/>
  <c r="Q245" i="39" s="1"/>
  <c r="O276" i="39"/>
  <c r="P276" i="39" s="1"/>
  <c r="Q276" i="39" s="1"/>
  <c r="O259" i="39"/>
  <c r="P259" i="39" s="1"/>
  <c r="Q259" i="39" s="1"/>
  <c r="O132" i="39"/>
  <c r="P132" i="39" s="1"/>
  <c r="Q132" i="39" s="1"/>
  <c r="O120" i="39"/>
  <c r="P120" i="39" s="1"/>
  <c r="Q120" i="39" s="1"/>
  <c r="O109" i="39"/>
  <c r="P109" i="39" s="1"/>
  <c r="Q109" i="39" s="1"/>
  <c r="O137" i="39"/>
  <c r="P137" i="39" s="1"/>
  <c r="Q137" i="39" s="1"/>
  <c r="O223" i="39"/>
  <c r="P223" i="39" s="1"/>
  <c r="Q223" i="39" s="1"/>
  <c r="O242" i="39"/>
  <c r="P242" i="39" s="1"/>
  <c r="Q242" i="39" s="1"/>
  <c r="O62" i="39"/>
  <c r="P62" i="39" s="1"/>
  <c r="Q62" i="39" s="1"/>
  <c r="O153" i="39"/>
  <c r="P153" i="39" s="1"/>
  <c r="Q153" i="39" s="1"/>
  <c r="O16" i="39"/>
  <c r="P16" i="39" s="1"/>
  <c r="Q16" i="39" s="1"/>
  <c r="O128" i="39"/>
  <c r="P128" i="39" s="1"/>
  <c r="Q128" i="39" s="1"/>
  <c r="O189" i="39"/>
  <c r="P189" i="39" s="1"/>
  <c r="Q189" i="39" s="1"/>
  <c r="O310" i="39"/>
  <c r="P310" i="39" s="1"/>
  <c r="Q310" i="39" s="1"/>
  <c r="O111" i="39"/>
  <c r="P111" i="39" s="1"/>
  <c r="Q111" i="39" s="1"/>
  <c r="O265" i="39"/>
  <c r="P265" i="39" s="1"/>
  <c r="Q265" i="39" s="1"/>
  <c r="O134" i="39"/>
  <c r="P134" i="39" s="1"/>
  <c r="Q134" i="39" s="1"/>
  <c r="O173" i="39"/>
  <c r="P173" i="39" s="1"/>
  <c r="Q173" i="39" s="1"/>
  <c r="O262" i="39"/>
  <c r="P262" i="39" s="1"/>
  <c r="Q262" i="39" s="1"/>
  <c r="O269" i="39"/>
  <c r="P269" i="39" s="1"/>
  <c r="Q269" i="39" s="1"/>
  <c r="O21" i="39"/>
  <c r="P21" i="39" s="1"/>
  <c r="Q21" i="39" s="1"/>
  <c r="O170" i="39"/>
  <c r="P170" i="39" s="1"/>
  <c r="Q170" i="39" s="1"/>
  <c r="O23" i="39"/>
  <c r="P23" i="39" s="1"/>
  <c r="Q23" i="39" s="1"/>
  <c r="O125" i="39"/>
  <c r="P125" i="39" s="1"/>
  <c r="Q125" i="39" s="1"/>
  <c r="O53" i="39"/>
  <c r="P53" i="39" s="1"/>
  <c r="Q53" i="39" s="1"/>
  <c r="O18" i="39"/>
  <c r="P18" i="39" s="1"/>
  <c r="Q18" i="39" s="1"/>
  <c r="O130" i="39"/>
  <c r="P130" i="39" s="1"/>
  <c r="Q130" i="39" s="1"/>
  <c r="O79" i="39"/>
  <c r="P79" i="39" s="1"/>
  <c r="Q79" i="39" s="1"/>
  <c r="O184" i="39"/>
  <c r="P184" i="39" s="1"/>
  <c r="Q184" i="39" s="1"/>
  <c r="O237" i="39"/>
  <c r="P237" i="39" s="1"/>
  <c r="Q237" i="39" s="1"/>
  <c r="O113" i="39"/>
  <c r="P113" i="39" s="1"/>
  <c r="Q113" i="39" s="1"/>
  <c r="O41" i="39"/>
  <c r="P41" i="39" s="1"/>
  <c r="Q41" i="39" s="1"/>
  <c r="O300" i="39"/>
  <c r="P300" i="39" s="1"/>
  <c r="Q300" i="39" s="1"/>
  <c r="O176" i="39"/>
  <c r="P176" i="39" s="1"/>
  <c r="Q176" i="39" s="1"/>
  <c r="O63" i="39"/>
  <c r="P63" i="39" s="1"/>
  <c r="Q63" i="39" s="1"/>
  <c r="O103" i="39"/>
  <c r="P103" i="39" s="1"/>
  <c r="Q103" i="39" s="1"/>
  <c r="O65" i="39"/>
  <c r="P65" i="39" s="1"/>
  <c r="Q65" i="39" s="1"/>
  <c r="O182" i="39"/>
  <c r="P182" i="39" s="1"/>
  <c r="Q182" i="39" s="1"/>
  <c r="O30" i="39"/>
  <c r="P30" i="39" s="1"/>
  <c r="Q30" i="39" s="1"/>
  <c r="O279" i="39"/>
  <c r="P279" i="39" s="1"/>
  <c r="Q279" i="39" s="1"/>
  <c r="O240" i="39"/>
  <c r="P240" i="39" s="1"/>
  <c r="Q240" i="39" s="1"/>
  <c r="O154" i="39"/>
  <c r="P154" i="39" s="1"/>
  <c r="Q154" i="39" s="1"/>
  <c r="O210" i="39"/>
  <c r="P210" i="39" s="1"/>
  <c r="Q210" i="39" s="1"/>
  <c r="O50" i="39"/>
  <c r="P50" i="39" s="1"/>
  <c r="Q50" i="39" s="1"/>
  <c r="O22" i="39"/>
  <c r="P22" i="39" s="1"/>
  <c r="Q22" i="39" s="1"/>
  <c r="O101" i="39"/>
  <c r="P101" i="39" s="1"/>
  <c r="Q101" i="39" s="1"/>
  <c r="O106" i="39"/>
  <c r="P106" i="39" s="1"/>
  <c r="Q106" i="39" s="1"/>
  <c r="O142" i="39"/>
  <c r="P142" i="39" s="1"/>
  <c r="Q142" i="39" s="1"/>
  <c r="O194" i="39"/>
  <c r="P194" i="39" s="1"/>
  <c r="Q194" i="39" s="1"/>
  <c r="O95" i="39"/>
  <c r="P95" i="39" s="1"/>
  <c r="Q95" i="39" s="1"/>
  <c r="O224" i="39"/>
  <c r="P224" i="39" s="1"/>
  <c r="Q224" i="39" s="1"/>
  <c r="O90" i="39"/>
  <c r="P90" i="39" s="1"/>
  <c r="Q90" i="39" s="1"/>
  <c r="O160" i="39"/>
  <c r="P160" i="39" s="1"/>
  <c r="Q160" i="39" s="1"/>
  <c r="O32" i="39"/>
  <c r="P32" i="39" s="1"/>
  <c r="Q32" i="39" s="1"/>
  <c r="O247" i="39"/>
  <c r="P247" i="39" s="1"/>
  <c r="Q247" i="39" s="1"/>
  <c r="O191" i="39"/>
  <c r="P191" i="39" s="1"/>
  <c r="Q191" i="39" s="1"/>
  <c r="O261" i="39"/>
  <c r="P261" i="39" s="1"/>
  <c r="Q261" i="39" s="1"/>
  <c r="O272" i="39"/>
  <c r="P272" i="39" s="1"/>
  <c r="Q272" i="39" s="1"/>
  <c r="O167" i="39"/>
  <c r="P167" i="39" s="1"/>
  <c r="Q167" i="39" s="1"/>
  <c r="O222" i="39"/>
  <c r="P222" i="39" s="1"/>
  <c r="Q222" i="39" s="1"/>
  <c r="O257" i="39"/>
  <c r="P257" i="39" s="1"/>
  <c r="Q257" i="39" s="1"/>
  <c r="O162" i="39"/>
  <c r="P162" i="39" s="1"/>
  <c r="Q162" i="39" s="1"/>
  <c r="O80" i="39"/>
  <c r="P80" i="39" s="1"/>
  <c r="Q80" i="39" s="1"/>
  <c r="O181" i="39"/>
  <c r="P181" i="39" s="1"/>
  <c r="Q181" i="39" s="1"/>
  <c r="O200" i="39"/>
  <c r="P200" i="39" s="1"/>
  <c r="Q200" i="39" s="1"/>
  <c r="O293" i="39"/>
  <c r="P293" i="39" s="1"/>
  <c r="Q293" i="39" s="1"/>
  <c r="O305" i="39"/>
  <c r="P305" i="39" s="1"/>
  <c r="Q305" i="39" s="1"/>
  <c r="O100" i="39"/>
  <c r="P100" i="39" s="1"/>
  <c r="Q100" i="39" s="1"/>
  <c r="O124" i="39"/>
  <c r="P124" i="39" s="1"/>
  <c r="Q124" i="39" s="1"/>
  <c r="O270" i="39"/>
  <c r="P270" i="39" s="1"/>
  <c r="Q270" i="39" s="1"/>
  <c r="O238" i="39"/>
  <c r="P238" i="39" s="1"/>
  <c r="Q238" i="39" s="1"/>
  <c r="O85" i="39"/>
  <c r="P85" i="39" s="1"/>
  <c r="Q85" i="39" s="1"/>
  <c r="O312" i="39"/>
  <c r="P312" i="39" s="1"/>
  <c r="Q312" i="39" s="1"/>
  <c r="O104" i="39"/>
  <c r="P104" i="39" s="1"/>
  <c r="Q104" i="39" s="1"/>
  <c r="O233" i="39"/>
  <c r="P233" i="39" s="1"/>
  <c r="Q233" i="39" s="1"/>
  <c r="O42" i="39"/>
  <c r="P42" i="39" s="1"/>
  <c r="Q42" i="39" s="1"/>
  <c r="O241" i="39"/>
  <c r="P241" i="39" s="1"/>
  <c r="Q241" i="39" s="1"/>
  <c r="O14" i="39"/>
  <c r="P14" i="39" s="1"/>
  <c r="Q14" i="39" s="1"/>
  <c r="O187" i="39"/>
  <c r="P187" i="39" s="1"/>
  <c r="Q187" i="39" s="1"/>
  <c r="O54" i="39"/>
  <c r="P54" i="39" s="1"/>
  <c r="Q54" i="39" s="1"/>
  <c r="O149" i="39"/>
  <c r="P149" i="39" s="1"/>
  <c r="Q149" i="39" s="1"/>
  <c r="O289" i="39"/>
  <c r="P289" i="39" s="1"/>
  <c r="Q289" i="39" s="1"/>
  <c r="O26" i="39"/>
  <c r="P26" i="39" s="1"/>
  <c r="Q26" i="39" s="1"/>
  <c r="O196" i="39"/>
  <c r="P196" i="39" s="1"/>
  <c r="Q196" i="39" s="1"/>
  <c r="O29" i="39"/>
  <c r="P29" i="39" s="1"/>
  <c r="Q29" i="39" s="1"/>
  <c r="O161" i="39"/>
  <c r="P161" i="39" s="1"/>
  <c r="Q161" i="39" s="1"/>
  <c r="O119" i="39"/>
  <c r="P119" i="39" s="1"/>
  <c r="Q119" i="39" s="1"/>
  <c r="O298" i="39"/>
  <c r="P298" i="39" s="1"/>
  <c r="Q298" i="39" s="1"/>
  <c r="O277" i="39"/>
  <c r="P277" i="39" s="1"/>
  <c r="Q277" i="39" s="1"/>
  <c r="O180" i="39"/>
  <c r="P180" i="39" s="1"/>
  <c r="Q180" i="39" s="1"/>
  <c r="O93" i="39"/>
  <c r="P93" i="39" s="1"/>
  <c r="Q93" i="39" s="1"/>
  <c r="O127" i="39"/>
  <c r="P127" i="39" s="1"/>
  <c r="Q127" i="39" s="1"/>
  <c r="O207" i="39"/>
  <c r="P207" i="39" s="1"/>
  <c r="Q207" i="39" s="1"/>
  <c r="O197" i="39"/>
  <c r="P197" i="39" s="1"/>
  <c r="Q197" i="39" s="1"/>
  <c r="O226" i="39"/>
  <c r="P226" i="39" s="1"/>
  <c r="Q226" i="39" s="1"/>
  <c r="O25" i="39"/>
  <c r="P25" i="39" s="1"/>
  <c r="Q25" i="39" s="1"/>
  <c r="O76" i="39"/>
  <c r="P76" i="39" s="1"/>
  <c r="Q76" i="39" s="1"/>
  <c r="O66" i="39"/>
  <c r="P66" i="39" s="1"/>
  <c r="Q66" i="39" s="1"/>
  <c r="O60" i="39"/>
  <c r="P60" i="39" s="1"/>
  <c r="Q60" i="39" s="1"/>
  <c r="O19" i="39"/>
  <c r="P19" i="39" s="1"/>
  <c r="Q19" i="39" s="1"/>
  <c r="O218" i="39"/>
  <c r="P218" i="39" s="1"/>
  <c r="Q218" i="39" s="1"/>
  <c r="O193" i="39"/>
  <c r="P193" i="39" s="1"/>
  <c r="Q193" i="39" s="1"/>
  <c r="O220" i="39"/>
  <c r="P220" i="39" s="1"/>
  <c r="Q220" i="39" s="1"/>
  <c r="O296" i="39"/>
  <c r="P296" i="39" s="1"/>
  <c r="Q296" i="39" s="1"/>
  <c r="O52" i="39"/>
  <c r="P52" i="39" s="1"/>
  <c r="Q52" i="39" s="1"/>
  <c r="O97" i="39"/>
  <c r="P97" i="39" s="1"/>
  <c r="Q97" i="39" s="1"/>
  <c r="O48" i="39"/>
  <c r="P48" i="39" s="1"/>
  <c r="Q48" i="39" s="1"/>
  <c r="O110" i="39"/>
  <c r="P110" i="39" s="1"/>
  <c r="Q110" i="39" s="1"/>
  <c r="O195" i="39"/>
  <c r="P195" i="39" s="1"/>
  <c r="Q195" i="39" s="1"/>
  <c r="O263" i="39"/>
  <c r="P263" i="39" s="1"/>
  <c r="Q263" i="39" s="1"/>
  <c r="O206" i="39"/>
  <c r="P206" i="39" s="1"/>
  <c r="Q206" i="39" s="1"/>
  <c r="O7" i="39"/>
  <c r="P7" i="39" s="1"/>
  <c r="Q7" i="39" s="1"/>
  <c r="O117" i="39"/>
  <c r="P117" i="39" s="1"/>
  <c r="Q117" i="39" s="1"/>
  <c r="O151" i="39"/>
  <c r="P151" i="39" s="1"/>
  <c r="Q151" i="39" s="1"/>
  <c r="O24" i="39"/>
  <c r="P24" i="39" s="1"/>
  <c r="Q24" i="39" s="1"/>
  <c r="O5" i="39"/>
  <c r="P5" i="39" s="1"/>
  <c r="Q5" i="39" s="1"/>
  <c r="O309" i="39"/>
  <c r="P309" i="39" s="1"/>
  <c r="Q309" i="39" s="1"/>
  <c r="O70" i="39"/>
  <c r="P70" i="39" s="1"/>
  <c r="Q70" i="39" s="1"/>
  <c r="O256" i="39"/>
  <c r="P256" i="39" s="1"/>
  <c r="Q256" i="39" s="1"/>
  <c r="O229" i="39"/>
  <c r="P229" i="39" s="1"/>
  <c r="Q229" i="39" s="1"/>
  <c r="O88" i="39"/>
  <c r="P88" i="39" s="1"/>
  <c r="Q88" i="39" s="1"/>
  <c r="O9" i="39"/>
  <c r="P9" i="39" s="1"/>
  <c r="Q9" i="39" s="1"/>
  <c r="O163" i="39"/>
  <c r="P163" i="39" s="1"/>
  <c r="Q163" i="39" s="1"/>
  <c r="O129" i="39"/>
  <c r="P129" i="39" s="1"/>
  <c r="Q129" i="39" s="1"/>
  <c r="O278" i="39"/>
  <c r="P278" i="39" s="1"/>
  <c r="Q278" i="39" s="1"/>
  <c r="O11" i="39"/>
  <c r="P11" i="39" s="1"/>
  <c r="Q11" i="39" s="1"/>
  <c r="O74" i="39"/>
  <c r="P74" i="39" s="1"/>
  <c r="Q74" i="39" s="1"/>
  <c r="O27" i="39"/>
  <c r="P27" i="39" s="1"/>
  <c r="Q27" i="39" s="1"/>
  <c r="O291" i="39"/>
  <c r="P291" i="39" s="1"/>
  <c r="Q291" i="39" s="1"/>
  <c r="O4" i="39"/>
  <c r="O45" i="38"/>
  <c r="P45" i="38" s="1"/>
  <c r="Q45" i="38" s="1"/>
  <c r="O102" i="38"/>
  <c r="P102" i="38" s="1"/>
  <c r="Q102" i="38" s="1"/>
  <c r="O108" i="38"/>
  <c r="P108" i="38" s="1"/>
  <c r="Q108" i="38" s="1"/>
  <c r="O28" i="38"/>
  <c r="P28" i="38" s="1"/>
  <c r="Q28" i="38" s="1"/>
  <c r="O36" i="38"/>
  <c r="P36" i="38" s="1"/>
  <c r="Q36" i="38" s="1"/>
  <c r="O280" i="38"/>
  <c r="P280" i="38" s="1"/>
  <c r="Q280" i="38" s="1"/>
  <c r="O274" i="38"/>
  <c r="P274" i="38" s="1"/>
  <c r="Q274" i="38" s="1"/>
  <c r="O40" i="38"/>
  <c r="P40" i="38" s="1"/>
  <c r="Q40" i="38" s="1"/>
  <c r="O239" i="38"/>
  <c r="P239" i="38" s="1"/>
  <c r="Q239" i="38" s="1"/>
  <c r="O174" i="38"/>
  <c r="P174" i="38" s="1"/>
  <c r="Q174" i="38" s="1"/>
  <c r="O304" i="38"/>
  <c r="P304" i="38" s="1"/>
  <c r="Q304" i="38" s="1"/>
  <c r="O46" i="38"/>
  <c r="P46" i="38" s="1"/>
  <c r="Q46" i="38" s="1"/>
  <c r="O252" i="38"/>
  <c r="P252" i="38" s="1"/>
  <c r="Q252" i="38" s="1"/>
  <c r="O123" i="38"/>
  <c r="P123" i="38" s="1"/>
  <c r="Q123" i="38" s="1"/>
  <c r="O69" i="38"/>
  <c r="P69" i="38" s="1"/>
  <c r="Q69" i="38" s="1"/>
  <c r="O111" i="38"/>
  <c r="P111" i="38" s="1"/>
  <c r="Q111" i="38" s="1"/>
  <c r="O137" i="38"/>
  <c r="P137" i="38" s="1"/>
  <c r="Q137" i="38" s="1"/>
  <c r="O79" i="38"/>
  <c r="P79" i="38" s="1"/>
  <c r="Q79" i="38" s="1"/>
  <c r="O181" i="38"/>
  <c r="P181" i="38" s="1"/>
  <c r="Q181" i="38" s="1"/>
  <c r="O165" i="38"/>
  <c r="P165" i="38" s="1"/>
  <c r="Q165" i="38" s="1"/>
  <c r="O7" i="38"/>
  <c r="P7" i="38" s="1"/>
  <c r="Q7" i="38" s="1"/>
  <c r="O29" i="38"/>
  <c r="P29" i="38" s="1"/>
  <c r="Q29" i="38" s="1"/>
  <c r="O219" i="38"/>
  <c r="P219" i="38" s="1"/>
  <c r="Q219" i="38" s="1"/>
  <c r="O43" i="38"/>
  <c r="P43" i="38" s="1"/>
  <c r="Q43" i="38" s="1"/>
  <c r="O125" i="38"/>
  <c r="P125" i="38" s="1"/>
  <c r="Q125" i="38" s="1"/>
  <c r="O147" i="38"/>
  <c r="P147" i="38" s="1"/>
  <c r="Q147" i="38" s="1"/>
  <c r="O140" i="38"/>
  <c r="P140" i="38" s="1"/>
  <c r="Q140" i="38" s="1"/>
  <c r="O182" i="38"/>
  <c r="P182" i="38" s="1"/>
  <c r="Q182" i="38" s="1"/>
  <c r="O81" i="38"/>
  <c r="P81" i="38" s="1"/>
  <c r="Q81" i="38" s="1"/>
  <c r="O201" i="38"/>
  <c r="P201" i="38" s="1"/>
  <c r="Q201" i="38" s="1"/>
  <c r="O313" i="38"/>
  <c r="P313" i="38" s="1"/>
  <c r="Q313" i="38" s="1"/>
  <c r="O120" i="38"/>
  <c r="P120" i="38" s="1"/>
  <c r="Q120" i="38" s="1"/>
  <c r="O5" i="38"/>
  <c r="P5" i="38" s="1"/>
  <c r="Q5" i="38" s="1"/>
  <c r="O196" i="38"/>
  <c r="P196" i="38" s="1"/>
  <c r="Q196" i="38" s="1"/>
  <c r="O142" i="38"/>
  <c r="P142" i="38" s="1"/>
  <c r="Q142" i="38" s="1"/>
  <c r="O218" i="38"/>
  <c r="P218" i="38" s="1"/>
  <c r="Q218" i="38" s="1"/>
  <c r="O245" i="38"/>
  <c r="P245" i="38" s="1"/>
  <c r="Q245" i="38" s="1"/>
  <c r="O9" i="38"/>
  <c r="P9" i="38" s="1"/>
  <c r="Q9" i="38" s="1"/>
  <c r="O71" i="38"/>
  <c r="P71" i="38" s="1"/>
  <c r="Q71" i="38" s="1"/>
  <c r="O149" i="38"/>
  <c r="P149" i="38" s="1"/>
  <c r="Q149" i="38" s="1"/>
  <c r="O31" i="38"/>
  <c r="P31" i="38" s="1"/>
  <c r="Q31" i="38" s="1"/>
  <c r="O114" i="38"/>
  <c r="P114" i="38" s="1"/>
  <c r="Q114" i="38" s="1"/>
  <c r="O127" i="38"/>
  <c r="P127" i="38" s="1"/>
  <c r="Q127" i="38" s="1"/>
  <c r="O97" i="38"/>
  <c r="P97" i="38" s="1"/>
  <c r="Q97" i="38" s="1"/>
  <c r="O42" i="38"/>
  <c r="P42" i="38" s="1"/>
  <c r="Q42" i="38" s="1"/>
  <c r="O195" i="38"/>
  <c r="P195" i="38" s="1"/>
  <c r="Q195" i="38" s="1"/>
  <c r="O106" i="38"/>
  <c r="P106" i="38" s="1"/>
  <c r="Q106" i="38" s="1"/>
  <c r="O253" i="38"/>
  <c r="P253" i="38" s="1"/>
  <c r="Q253" i="38" s="1"/>
  <c r="O211" i="38"/>
  <c r="P211" i="38" s="1"/>
  <c r="Q211" i="38" s="1"/>
  <c r="O104" i="38"/>
  <c r="P104" i="38" s="1"/>
  <c r="Q104" i="38" s="1"/>
  <c r="O273" i="38"/>
  <c r="P273" i="38" s="1"/>
  <c r="Q273" i="38" s="1"/>
  <c r="O19" i="38"/>
  <c r="P19" i="38" s="1"/>
  <c r="Q19" i="38" s="1"/>
  <c r="O78" i="38"/>
  <c r="P78" i="38" s="1"/>
  <c r="Q78" i="38" s="1"/>
  <c r="O228" i="38"/>
  <c r="P228" i="38" s="1"/>
  <c r="Q228" i="38" s="1"/>
  <c r="O178" i="38"/>
  <c r="P178" i="38" s="1"/>
  <c r="Q178" i="38" s="1"/>
  <c r="O272" i="38"/>
  <c r="P272" i="38" s="1"/>
  <c r="Q272" i="38" s="1"/>
  <c r="O112" i="38"/>
  <c r="P112" i="38" s="1"/>
  <c r="Q112" i="38" s="1"/>
  <c r="O208" i="38"/>
  <c r="P208" i="38" s="1"/>
  <c r="Q208" i="38" s="1"/>
  <c r="O226" i="38"/>
  <c r="P226" i="38" s="1"/>
  <c r="Q226" i="38" s="1"/>
  <c r="O16" i="38"/>
  <c r="P16" i="38" s="1"/>
  <c r="Q16" i="38" s="1"/>
  <c r="O138" i="38"/>
  <c r="P138" i="38" s="1"/>
  <c r="Q138" i="38" s="1"/>
  <c r="O82" i="38"/>
  <c r="P82" i="38" s="1"/>
  <c r="Q82" i="38" s="1"/>
  <c r="O233" i="38"/>
  <c r="P233" i="38" s="1"/>
  <c r="Q233" i="38" s="1"/>
  <c r="O298" i="38"/>
  <c r="P298" i="38" s="1"/>
  <c r="Q298" i="38" s="1"/>
  <c r="O270" i="38"/>
  <c r="P270" i="38" s="1"/>
  <c r="Q270" i="38" s="1"/>
  <c r="O295" i="38"/>
  <c r="P295" i="38" s="1"/>
  <c r="Q295" i="38" s="1"/>
  <c r="O115" i="38"/>
  <c r="P115" i="38" s="1"/>
  <c r="Q115" i="38" s="1"/>
  <c r="O242" i="38"/>
  <c r="P242" i="38" s="1"/>
  <c r="Q242" i="38" s="1"/>
  <c r="O96" i="38"/>
  <c r="P96" i="38" s="1"/>
  <c r="Q96" i="38" s="1"/>
  <c r="O155" i="38"/>
  <c r="P155" i="38" s="1"/>
  <c r="Q155" i="38" s="1"/>
  <c r="O197" i="38"/>
  <c r="P197" i="38" s="1"/>
  <c r="Q197" i="38" s="1"/>
  <c r="O130" i="38"/>
  <c r="P130" i="38" s="1"/>
  <c r="Q130" i="38" s="1"/>
  <c r="O160" i="38"/>
  <c r="P160" i="38" s="1"/>
  <c r="Q160" i="38" s="1"/>
  <c r="O289" i="38"/>
  <c r="P289" i="38" s="1"/>
  <c r="Q289" i="38" s="1"/>
  <c r="O84" i="38"/>
  <c r="P84" i="38" s="1"/>
  <c r="Q84" i="38" s="1"/>
  <c r="O57" i="38"/>
  <c r="P57" i="38" s="1"/>
  <c r="Q57" i="38" s="1"/>
  <c r="O278" i="38"/>
  <c r="P278" i="38" s="1"/>
  <c r="Q278" i="38" s="1"/>
  <c r="O258" i="38"/>
  <c r="P258" i="38" s="1"/>
  <c r="Q258" i="38" s="1"/>
  <c r="O236" i="38"/>
  <c r="P236" i="38" s="1"/>
  <c r="Q236" i="38" s="1"/>
  <c r="O10" i="38"/>
  <c r="P10" i="38" s="1"/>
  <c r="Q10" i="38" s="1"/>
  <c r="O103" i="38"/>
  <c r="P103" i="38" s="1"/>
  <c r="Q103" i="38" s="1"/>
  <c r="O162" i="38"/>
  <c r="P162" i="38" s="1"/>
  <c r="Q162" i="38" s="1"/>
  <c r="O143" i="38"/>
  <c r="P143" i="38" s="1"/>
  <c r="Q143" i="38" s="1"/>
  <c r="O309" i="38"/>
  <c r="P309" i="38" s="1"/>
  <c r="Q309" i="38" s="1"/>
  <c r="O286" i="38"/>
  <c r="P286" i="38" s="1"/>
  <c r="Q286" i="38" s="1"/>
  <c r="O227" i="38"/>
  <c r="P227" i="38" s="1"/>
  <c r="Q227" i="38" s="1"/>
  <c r="O23" i="38"/>
  <c r="P23" i="38" s="1"/>
  <c r="Q23" i="38" s="1"/>
  <c r="O271" i="38"/>
  <c r="P271" i="38" s="1"/>
  <c r="Q271" i="38" s="1"/>
  <c r="O37" i="38"/>
  <c r="P37" i="38" s="1"/>
  <c r="Q37" i="38" s="1"/>
  <c r="O269" i="38"/>
  <c r="P269" i="38" s="1"/>
  <c r="Q269" i="38" s="1"/>
  <c r="O257" i="38"/>
  <c r="P257" i="38" s="1"/>
  <c r="Q257" i="38" s="1"/>
  <c r="O264" i="38"/>
  <c r="P264" i="38" s="1"/>
  <c r="Q264" i="38" s="1"/>
  <c r="O48" i="38"/>
  <c r="P48" i="38" s="1"/>
  <c r="Q48" i="38" s="1"/>
  <c r="O202" i="38"/>
  <c r="P202" i="38" s="1"/>
  <c r="Q202" i="38" s="1"/>
  <c r="O113" i="38"/>
  <c r="P113" i="38" s="1"/>
  <c r="Q113" i="38" s="1"/>
  <c r="O159" i="38"/>
  <c r="P159" i="38" s="1"/>
  <c r="Q159" i="38" s="1"/>
  <c r="O200" i="38"/>
  <c r="P200" i="38" s="1"/>
  <c r="Q200" i="38" s="1"/>
  <c r="O221" i="38"/>
  <c r="P221" i="38" s="1"/>
  <c r="Q221" i="38" s="1"/>
  <c r="O157" i="38"/>
  <c r="P157" i="38" s="1"/>
  <c r="Q157" i="38" s="1"/>
  <c r="O22" i="38"/>
  <c r="P22" i="38" s="1"/>
  <c r="Q22" i="38" s="1"/>
  <c r="O129" i="38"/>
  <c r="P129" i="38" s="1"/>
  <c r="Q129" i="38" s="1"/>
  <c r="O256" i="38"/>
  <c r="P256" i="38" s="1"/>
  <c r="Q256" i="38" s="1"/>
  <c r="O70" i="38"/>
  <c r="P70" i="38" s="1"/>
  <c r="Q70" i="38" s="1"/>
  <c r="O281" i="38"/>
  <c r="P281" i="38" s="1"/>
  <c r="Q281" i="38" s="1"/>
  <c r="O145" i="38"/>
  <c r="P145" i="38" s="1"/>
  <c r="Q145" i="38" s="1"/>
  <c r="O241" i="38"/>
  <c r="P241" i="38" s="1"/>
  <c r="Q241" i="38" s="1"/>
  <c r="O176" i="38"/>
  <c r="P176" i="38" s="1"/>
  <c r="Q176" i="38" s="1"/>
  <c r="O26" i="38"/>
  <c r="P26" i="38" s="1"/>
  <c r="Q26" i="38" s="1"/>
  <c r="O294" i="38"/>
  <c r="P294" i="38" s="1"/>
  <c r="Q294" i="38" s="1"/>
  <c r="O32" i="38"/>
  <c r="P32" i="38" s="1"/>
  <c r="Q32" i="38" s="1"/>
  <c r="O268" i="38"/>
  <c r="P268" i="38" s="1"/>
  <c r="Q268" i="38" s="1"/>
  <c r="O17" i="38"/>
  <c r="P17" i="38" s="1"/>
  <c r="Q17" i="38" s="1"/>
  <c r="O77" i="38"/>
  <c r="P77" i="38" s="1"/>
  <c r="Q77" i="38" s="1"/>
  <c r="O215" i="38"/>
  <c r="P215" i="38" s="1"/>
  <c r="Q215" i="38" s="1"/>
  <c r="O237" i="38"/>
  <c r="P237" i="38" s="1"/>
  <c r="Q237" i="38" s="1"/>
  <c r="O150" i="38"/>
  <c r="P150" i="38" s="1"/>
  <c r="Q150" i="38" s="1"/>
  <c r="O315" i="38"/>
  <c r="P315" i="38" s="1"/>
  <c r="Q315" i="38" s="1"/>
  <c r="O8" i="38"/>
  <c r="P8" i="38" s="1"/>
  <c r="Q8" i="38" s="1"/>
  <c r="O154" i="38"/>
  <c r="P154" i="38" s="1"/>
  <c r="Q154" i="38" s="1"/>
  <c r="O212" i="38"/>
  <c r="P212" i="38" s="1"/>
  <c r="Q212" i="38" s="1"/>
  <c r="O191" i="38"/>
  <c r="P191" i="38" s="1"/>
  <c r="Q191" i="38" s="1"/>
  <c r="O66" i="38"/>
  <c r="P66" i="38" s="1"/>
  <c r="Q66" i="38" s="1"/>
  <c r="O13" i="38"/>
  <c r="P13" i="38" s="1"/>
  <c r="Q13" i="38" s="1"/>
  <c r="O166" i="38"/>
  <c r="P166" i="38" s="1"/>
  <c r="Q166" i="38" s="1"/>
  <c r="O156" i="38"/>
  <c r="P156" i="38" s="1"/>
  <c r="Q156" i="38" s="1"/>
  <c r="O67" i="38"/>
  <c r="P67" i="38" s="1"/>
  <c r="Q67" i="38" s="1"/>
  <c r="O234" i="38"/>
  <c r="P234" i="38" s="1"/>
  <c r="Q234" i="38" s="1"/>
  <c r="O210" i="38"/>
  <c r="P210" i="38" s="1"/>
  <c r="Q210" i="38" s="1"/>
  <c r="O93" i="38"/>
  <c r="P93" i="38" s="1"/>
  <c r="Q93" i="38" s="1"/>
  <c r="O163" i="38"/>
  <c r="P163" i="38" s="1"/>
  <c r="Q163" i="38" s="1"/>
  <c r="O139" i="38"/>
  <c r="P139" i="38" s="1"/>
  <c r="Q139" i="38" s="1"/>
  <c r="O220" i="38"/>
  <c r="P220" i="38" s="1"/>
  <c r="Q220" i="38" s="1"/>
  <c r="O284" i="38"/>
  <c r="P284" i="38" s="1"/>
  <c r="Q284" i="38" s="1"/>
  <c r="O282" i="38"/>
  <c r="P282" i="38" s="1"/>
  <c r="Q282" i="38" s="1"/>
  <c r="O89" i="38"/>
  <c r="P89" i="38" s="1"/>
  <c r="Q89" i="38" s="1"/>
  <c r="O223" i="38"/>
  <c r="P223" i="38" s="1"/>
  <c r="Q223" i="38" s="1"/>
  <c r="O27" i="38"/>
  <c r="P27" i="38" s="1"/>
  <c r="Q27" i="38" s="1"/>
  <c r="O94" i="38"/>
  <c r="P94" i="38" s="1"/>
  <c r="Q94" i="38" s="1"/>
  <c r="O72" i="38"/>
  <c r="P72" i="38" s="1"/>
  <c r="Q72" i="38" s="1"/>
  <c r="O262" i="38"/>
  <c r="P262" i="38" s="1"/>
  <c r="Q262" i="38" s="1"/>
  <c r="O314" i="38"/>
  <c r="P314" i="38" s="1"/>
  <c r="Q314" i="38" s="1"/>
  <c r="O249" i="38"/>
  <c r="P249" i="38" s="1"/>
  <c r="Q249" i="38" s="1"/>
  <c r="O203" i="38"/>
  <c r="P203" i="38" s="1"/>
  <c r="Q203" i="38" s="1"/>
  <c r="O169" i="38"/>
  <c r="P169" i="38" s="1"/>
  <c r="Q169" i="38" s="1"/>
  <c r="O177" i="38"/>
  <c r="P177" i="38" s="1"/>
  <c r="Q177" i="38" s="1"/>
  <c r="O299" i="38"/>
  <c r="P299" i="38" s="1"/>
  <c r="Q299" i="38" s="1"/>
  <c r="O148" i="38"/>
  <c r="P148" i="38" s="1"/>
  <c r="Q148" i="38" s="1"/>
  <c r="O288" i="38"/>
  <c r="P288" i="38" s="1"/>
  <c r="Q288" i="38" s="1"/>
  <c r="O266" i="38"/>
  <c r="P266" i="38" s="1"/>
  <c r="Q266" i="38" s="1"/>
  <c r="O186" i="38"/>
  <c r="P186" i="38" s="1"/>
  <c r="Q186" i="38" s="1"/>
  <c r="O59" i="38"/>
  <c r="P59" i="38" s="1"/>
  <c r="Q59" i="38" s="1"/>
  <c r="O204" i="38"/>
  <c r="P204" i="38" s="1"/>
  <c r="Q204" i="38" s="1"/>
  <c r="O173" i="38"/>
  <c r="P173" i="38" s="1"/>
  <c r="Q173" i="38" s="1"/>
  <c r="O265" i="38"/>
  <c r="P265" i="38" s="1"/>
  <c r="Q265" i="38" s="1"/>
  <c r="O296" i="38"/>
  <c r="P296" i="38" s="1"/>
  <c r="Q296" i="38" s="1"/>
  <c r="O33" i="38"/>
  <c r="P33" i="38" s="1"/>
  <c r="Q33" i="38" s="1"/>
  <c r="O189" i="38"/>
  <c r="P189" i="38" s="1"/>
  <c r="Q189" i="38" s="1"/>
  <c r="O260" i="38"/>
  <c r="P260" i="38" s="1"/>
  <c r="Q260" i="38" s="1"/>
  <c r="O58" i="38"/>
  <c r="P58" i="38" s="1"/>
  <c r="Q58" i="38" s="1"/>
  <c r="O56" i="38"/>
  <c r="P56" i="38" s="1"/>
  <c r="Q56" i="38" s="1"/>
  <c r="O164" i="38"/>
  <c r="P164" i="38" s="1"/>
  <c r="Q164" i="38" s="1"/>
  <c r="O68" i="38"/>
  <c r="P68" i="38" s="1"/>
  <c r="Q68" i="38" s="1"/>
  <c r="O254" i="38"/>
  <c r="P254" i="38" s="1"/>
  <c r="Q254" i="38" s="1"/>
  <c r="O297" i="38"/>
  <c r="P297" i="38" s="1"/>
  <c r="Q297" i="38" s="1"/>
  <c r="O54" i="38"/>
  <c r="P54" i="38" s="1"/>
  <c r="Q54" i="38" s="1"/>
  <c r="O232" i="38"/>
  <c r="P232" i="38" s="1"/>
  <c r="Q232" i="38" s="1"/>
  <c r="O198" i="38"/>
  <c r="P198" i="38" s="1"/>
  <c r="Q198" i="38" s="1"/>
  <c r="O171" i="38"/>
  <c r="P171" i="38" s="1"/>
  <c r="Q171" i="38" s="1"/>
  <c r="O63" i="38"/>
  <c r="P63" i="38" s="1"/>
  <c r="Q63" i="38" s="1"/>
  <c r="O261" i="38"/>
  <c r="P261" i="38" s="1"/>
  <c r="Q261" i="38" s="1"/>
  <c r="O49" i="38"/>
  <c r="P49" i="38" s="1"/>
  <c r="Q49" i="38" s="1"/>
  <c r="O34" i="38"/>
  <c r="P34" i="38" s="1"/>
  <c r="Q34" i="38" s="1"/>
  <c r="O302" i="38"/>
  <c r="P302" i="38" s="1"/>
  <c r="Q302" i="38" s="1"/>
  <c r="O216" i="38"/>
  <c r="P216" i="38" s="1"/>
  <c r="Q216" i="38" s="1"/>
  <c r="O170" i="38"/>
  <c r="P170" i="38" s="1"/>
  <c r="Q170" i="38" s="1"/>
  <c r="O92" i="38"/>
  <c r="P92" i="38" s="1"/>
  <c r="Q92" i="38" s="1"/>
  <c r="O291" i="38"/>
  <c r="P291" i="38" s="1"/>
  <c r="Q291" i="38" s="1"/>
  <c r="O179" i="38"/>
  <c r="P179" i="38" s="1"/>
  <c r="Q179" i="38" s="1"/>
  <c r="O141" i="38"/>
  <c r="P141" i="38" s="1"/>
  <c r="Q141" i="38" s="1"/>
  <c r="O30" i="38"/>
  <c r="P30" i="38" s="1"/>
  <c r="Q30" i="38" s="1"/>
  <c r="O117" i="38"/>
  <c r="P117" i="38" s="1"/>
  <c r="Q117" i="38" s="1"/>
  <c r="O52" i="38"/>
  <c r="P52" i="38" s="1"/>
  <c r="Q52" i="38" s="1"/>
  <c r="O87" i="38"/>
  <c r="P87" i="38" s="1"/>
  <c r="Q87" i="38" s="1"/>
  <c r="O192" i="38"/>
  <c r="P192" i="38" s="1"/>
  <c r="Q192" i="38" s="1"/>
  <c r="O133" i="38"/>
  <c r="P133" i="38" s="1"/>
  <c r="Q133" i="38" s="1"/>
  <c r="O109" i="38"/>
  <c r="P109" i="38" s="1"/>
  <c r="Q109" i="38" s="1"/>
  <c r="O205" i="38"/>
  <c r="P205" i="38" s="1"/>
  <c r="Q205" i="38" s="1"/>
  <c r="O222" i="38"/>
  <c r="P222" i="38" s="1"/>
  <c r="Q222" i="38" s="1"/>
  <c r="O306" i="38"/>
  <c r="P306" i="38" s="1"/>
  <c r="Q306" i="38" s="1"/>
  <c r="O247" i="38"/>
  <c r="P247" i="38" s="1"/>
  <c r="Q247" i="38" s="1"/>
  <c r="O122" i="38"/>
  <c r="P122" i="38" s="1"/>
  <c r="Q122" i="38" s="1"/>
  <c r="O285" i="38"/>
  <c r="P285" i="38" s="1"/>
  <c r="Q285" i="38" s="1"/>
  <c r="O307" i="38"/>
  <c r="P307" i="38" s="1"/>
  <c r="Q307" i="38" s="1"/>
  <c r="O12" i="38"/>
  <c r="P12" i="38" s="1"/>
  <c r="Q12" i="38" s="1"/>
  <c r="O153" i="38"/>
  <c r="P153" i="38" s="1"/>
  <c r="Q153" i="38" s="1"/>
  <c r="O50" i="38"/>
  <c r="P50" i="38" s="1"/>
  <c r="Q50" i="38" s="1"/>
  <c r="O250" i="38"/>
  <c r="P250" i="38" s="1"/>
  <c r="Q250" i="38" s="1"/>
  <c r="O187" i="38"/>
  <c r="P187" i="38" s="1"/>
  <c r="Q187" i="38" s="1"/>
  <c r="O20" i="38"/>
  <c r="P20" i="38" s="1"/>
  <c r="Q20" i="38" s="1"/>
  <c r="O180" i="38"/>
  <c r="P180" i="38" s="1"/>
  <c r="Q180" i="38" s="1"/>
  <c r="O85" i="38"/>
  <c r="P85" i="38" s="1"/>
  <c r="Q85" i="38" s="1"/>
  <c r="O207" i="38"/>
  <c r="P207" i="38" s="1"/>
  <c r="Q207" i="38" s="1"/>
  <c r="O183" i="38"/>
  <c r="P183" i="38" s="1"/>
  <c r="Q183" i="38" s="1"/>
  <c r="O209" i="38"/>
  <c r="P209" i="38" s="1"/>
  <c r="Q209" i="38" s="1"/>
  <c r="O263" i="38"/>
  <c r="P263" i="38" s="1"/>
  <c r="Q263" i="38" s="1"/>
  <c r="O167" i="38"/>
  <c r="P167" i="38" s="1"/>
  <c r="Q167" i="38" s="1"/>
  <c r="O214" i="38"/>
  <c r="P214" i="38" s="1"/>
  <c r="Q214" i="38" s="1"/>
  <c r="O15" i="38"/>
  <c r="P15" i="38" s="1"/>
  <c r="Q15" i="38" s="1"/>
  <c r="O213" i="38"/>
  <c r="P213" i="38" s="1"/>
  <c r="Q213" i="38" s="1"/>
  <c r="O116" i="38"/>
  <c r="P116" i="38" s="1"/>
  <c r="Q116" i="38" s="1"/>
  <c r="O80" i="38"/>
  <c r="P80" i="38" s="1"/>
  <c r="Q80" i="38" s="1"/>
  <c r="O65" i="38"/>
  <c r="P65" i="38" s="1"/>
  <c r="Q65" i="38" s="1"/>
  <c r="O128" i="38"/>
  <c r="P128" i="38" s="1"/>
  <c r="Q128" i="38" s="1"/>
  <c r="O41" i="38"/>
  <c r="P41" i="38" s="1"/>
  <c r="Q41" i="38" s="1"/>
  <c r="O158" i="38"/>
  <c r="P158" i="38" s="1"/>
  <c r="Q158" i="38" s="1"/>
  <c r="O276" i="38"/>
  <c r="P276" i="38" s="1"/>
  <c r="Q276" i="38" s="1"/>
  <c r="O152" i="38"/>
  <c r="P152" i="38" s="1"/>
  <c r="Q152" i="38" s="1"/>
  <c r="O53" i="38"/>
  <c r="P53" i="38" s="1"/>
  <c r="Q53" i="38" s="1"/>
  <c r="O62" i="38"/>
  <c r="P62" i="38" s="1"/>
  <c r="Q62" i="38" s="1"/>
  <c r="O119" i="38"/>
  <c r="P119" i="38" s="1"/>
  <c r="Q119" i="38" s="1"/>
  <c r="O88" i="38"/>
  <c r="P88" i="38" s="1"/>
  <c r="Q88" i="38" s="1"/>
  <c r="O184" i="38"/>
  <c r="P184" i="38" s="1"/>
  <c r="Q184" i="38" s="1"/>
  <c r="O73" i="38"/>
  <c r="P73" i="38" s="1"/>
  <c r="Q73" i="38" s="1"/>
  <c r="O175" i="38"/>
  <c r="P175" i="38" s="1"/>
  <c r="Q175" i="38" s="1"/>
  <c r="O238" i="38"/>
  <c r="P238" i="38" s="1"/>
  <c r="Q238" i="38" s="1"/>
  <c r="O101" i="38"/>
  <c r="P101" i="38" s="1"/>
  <c r="Q101" i="38" s="1"/>
  <c r="O18" i="38"/>
  <c r="P18" i="38" s="1"/>
  <c r="Q18" i="38" s="1"/>
  <c r="O185" i="38"/>
  <c r="P185" i="38" s="1"/>
  <c r="Q185" i="38" s="1"/>
  <c r="O124" i="38"/>
  <c r="P124" i="38" s="1"/>
  <c r="Q124" i="38" s="1"/>
  <c r="O136" i="38"/>
  <c r="P136" i="38" s="1"/>
  <c r="Q136" i="38" s="1"/>
  <c r="O110" i="38"/>
  <c r="P110" i="38" s="1"/>
  <c r="Q110" i="38" s="1"/>
  <c r="O61" i="38"/>
  <c r="P61" i="38" s="1"/>
  <c r="Q61" i="38" s="1"/>
  <c r="O310" i="38"/>
  <c r="P310" i="38" s="1"/>
  <c r="Q310" i="38" s="1"/>
  <c r="O95" i="38"/>
  <c r="P95" i="38" s="1"/>
  <c r="Q95" i="38" s="1"/>
  <c r="O86" i="38"/>
  <c r="P86" i="38" s="1"/>
  <c r="Q86" i="38" s="1"/>
  <c r="O188" i="38"/>
  <c r="P188" i="38" s="1"/>
  <c r="Q188" i="38" s="1"/>
  <c r="O146" i="38"/>
  <c r="P146" i="38" s="1"/>
  <c r="Q146" i="38" s="1"/>
  <c r="O240" i="38"/>
  <c r="P240" i="38" s="1"/>
  <c r="Q240" i="38" s="1"/>
  <c r="O132" i="38"/>
  <c r="P132" i="38" s="1"/>
  <c r="Q132" i="38" s="1"/>
  <c r="O293" i="38"/>
  <c r="P293" i="38" s="1"/>
  <c r="Q293" i="38" s="1"/>
  <c r="O243" i="38"/>
  <c r="P243" i="38" s="1"/>
  <c r="Q243" i="38" s="1"/>
  <c r="O118" i="38"/>
  <c r="P118" i="38" s="1"/>
  <c r="Q118" i="38" s="1"/>
  <c r="O105" i="38"/>
  <c r="P105" i="38" s="1"/>
  <c r="Q105" i="38" s="1"/>
  <c r="O300" i="38"/>
  <c r="P300" i="38" s="1"/>
  <c r="Q300" i="38" s="1"/>
  <c r="O199" i="38"/>
  <c r="P199" i="38" s="1"/>
  <c r="Q199" i="38" s="1"/>
  <c r="O279" i="38"/>
  <c r="P279" i="38" s="1"/>
  <c r="Q279" i="38" s="1"/>
  <c r="O11" i="38"/>
  <c r="P11" i="38" s="1"/>
  <c r="Q11" i="38" s="1"/>
  <c r="O38" i="38"/>
  <c r="P38" i="38" s="1"/>
  <c r="Q38" i="38" s="1"/>
  <c r="O131" i="38"/>
  <c r="P131" i="38" s="1"/>
  <c r="Q131" i="38" s="1"/>
  <c r="O283" i="38"/>
  <c r="P283" i="38" s="1"/>
  <c r="Q283" i="38" s="1"/>
  <c r="O255" i="38"/>
  <c r="P255" i="38" s="1"/>
  <c r="Q255" i="38" s="1"/>
  <c r="O246" i="38"/>
  <c r="P246" i="38" s="1"/>
  <c r="Q246" i="38" s="1"/>
  <c r="O248" i="38"/>
  <c r="P248" i="38" s="1"/>
  <c r="Q248" i="38" s="1"/>
  <c r="O39" i="38"/>
  <c r="P39" i="38" s="1"/>
  <c r="Q39" i="38" s="1"/>
  <c r="O217" i="38"/>
  <c r="P217" i="38" s="1"/>
  <c r="Q217" i="38" s="1"/>
  <c r="O83" i="38"/>
  <c r="P83" i="38" s="1"/>
  <c r="Q83" i="38" s="1"/>
  <c r="O25" i="38"/>
  <c r="P25" i="38" s="1"/>
  <c r="Q25" i="38" s="1"/>
  <c r="O225" i="38"/>
  <c r="P225" i="38" s="1"/>
  <c r="Q225" i="38" s="1"/>
  <c r="O134" i="38"/>
  <c r="P134" i="38" s="1"/>
  <c r="Q134" i="38" s="1"/>
  <c r="O14" i="38"/>
  <c r="P14" i="38" s="1"/>
  <c r="Q14" i="38" s="1"/>
  <c r="O206" i="38"/>
  <c r="P206" i="38" s="1"/>
  <c r="Q206" i="38" s="1"/>
  <c r="O99" i="38"/>
  <c r="P99" i="38" s="1"/>
  <c r="Q99" i="38" s="1"/>
  <c r="O98" i="38"/>
  <c r="P98" i="38" s="1"/>
  <c r="Q98" i="38" s="1"/>
  <c r="O235" i="38"/>
  <c r="P235" i="38" s="1"/>
  <c r="Q235" i="38" s="1"/>
  <c r="O35" i="38"/>
  <c r="P35" i="38" s="1"/>
  <c r="Q35" i="38" s="1"/>
  <c r="O190" i="38"/>
  <c r="P190" i="38" s="1"/>
  <c r="Q190" i="38" s="1"/>
  <c r="O76" i="38"/>
  <c r="P76" i="38" s="1"/>
  <c r="Q76" i="38" s="1"/>
  <c r="O21" i="38"/>
  <c r="P21" i="38" s="1"/>
  <c r="Q21" i="38" s="1"/>
  <c r="O287" i="38"/>
  <c r="P287" i="38" s="1"/>
  <c r="Q287" i="38" s="1"/>
  <c r="O44" i="38"/>
  <c r="P44" i="38" s="1"/>
  <c r="Q44" i="38" s="1"/>
  <c r="O121" i="38"/>
  <c r="P121" i="38" s="1"/>
  <c r="Q121" i="38" s="1"/>
  <c r="O316" i="38"/>
  <c r="P316" i="38" s="1"/>
  <c r="Q316" i="38" s="1"/>
  <c r="O151" i="38"/>
  <c r="P151" i="38" s="1"/>
  <c r="Q151" i="38" s="1"/>
  <c r="O64" i="38"/>
  <c r="P64" i="38" s="1"/>
  <c r="Q64" i="38" s="1"/>
  <c r="O194" i="38"/>
  <c r="P194" i="38" s="1"/>
  <c r="Q194" i="38" s="1"/>
  <c r="O303" i="38"/>
  <c r="P303" i="38" s="1"/>
  <c r="Q303" i="38" s="1"/>
  <c r="O230" i="38"/>
  <c r="P230" i="38" s="1"/>
  <c r="Q230" i="38" s="1"/>
  <c r="O51" i="38"/>
  <c r="P51" i="38" s="1"/>
  <c r="Q51" i="38" s="1"/>
  <c r="O244" i="38"/>
  <c r="P244" i="38" s="1"/>
  <c r="Q244" i="38" s="1"/>
  <c r="O275" i="38"/>
  <c r="P275" i="38" s="1"/>
  <c r="Q275" i="38" s="1"/>
  <c r="O75" i="38"/>
  <c r="P75" i="38" s="1"/>
  <c r="Q75" i="38" s="1"/>
  <c r="O259" i="38"/>
  <c r="P259" i="38" s="1"/>
  <c r="Q259" i="38" s="1"/>
  <c r="O312" i="38"/>
  <c r="P312" i="38" s="1"/>
  <c r="Q312" i="38" s="1"/>
  <c r="O90" i="38"/>
  <c r="P90" i="38" s="1"/>
  <c r="Q90" i="38" s="1"/>
  <c r="O60" i="38"/>
  <c r="P60" i="38" s="1"/>
  <c r="Q60" i="38" s="1"/>
  <c r="O251" i="38"/>
  <c r="P251" i="38" s="1"/>
  <c r="Q251" i="38" s="1"/>
  <c r="O224" i="38"/>
  <c r="P224" i="38" s="1"/>
  <c r="Q224" i="38" s="1"/>
  <c r="O305" i="38"/>
  <c r="P305" i="38" s="1"/>
  <c r="Q305" i="38" s="1"/>
  <c r="O144" i="38"/>
  <c r="P144" i="38" s="1"/>
  <c r="Q144" i="38" s="1"/>
  <c r="O74" i="38"/>
  <c r="P74" i="38" s="1"/>
  <c r="Q74" i="38" s="1"/>
  <c r="O126" i="38"/>
  <c r="P126" i="38" s="1"/>
  <c r="Q126" i="38" s="1"/>
  <c r="O55" i="38"/>
  <c r="P55" i="38" s="1"/>
  <c r="Q55" i="38" s="1"/>
  <c r="O161" i="38"/>
  <c r="P161" i="38" s="1"/>
  <c r="Q161" i="38" s="1"/>
  <c r="O91" i="38"/>
  <c r="P91" i="38" s="1"/>
  <c r="Q91" i="38" s="1"/>
  <c r="O290" i="38"/>
  <c r="P290" i="38" s="1"/>
  <c r="Q290" i="38" s="1"/>
  <c r="O168" i="38"/>
  <c r="P168" i="38" s="1"/>
  <c r="Q168" i="38" s="1"/>
  <c r="O135" i="38"/>
  <c r="P135" i="38" s="1"/>
  <c r="Q135" i="38" s="1"/>
  <c r="O292" i="38"/>
  <c r="P292" i="38" s="1"/>
  <c r="Q292" i="38" s="1"/>
  <c r="O6" i="38"/>
  <c r="P6" i="38" s="1"/>
  <c r="Q6" i="38" s="1"/>
  <c r="O267" i="38"/>
  <c r="P267" i="38" s="1"/>
  <c r="Q267" i="38" s="1"/>
  <c r="O229" i="38"/>
  <c r="P229" i="38" s="1"/>
  <c r="Q229" i="38" s="1"/>
  <c r="O24" i="38"/>
  <c r="P24" i="38" s="1"/>
  <c r="Q24" i="38" s="1"/>
  <c r="O172" i="38"/>
  <c r="P172" i="38" s="1"/>
  <c r="Q172" i="38" s="1"/>
  <c r="O107" i="38"/>
  <c r="P107" i="38" s="1"/>
  <c r="Q107" i="38" s="1"/>
  <c r="O301" i="38"/>
  <c r="P301" i="38" s="1"/>
  <c r="Q301" i="38" s="1"/>
  <c r="O308" i="38"/>
  <c r="P308" i="38" s="1"/>
  <c r="Q308" i="38" s="1"/>
  <c r="O193" i="38"/>
  <c r="P193" i="38" s="1"/>
  <c r="Q193" i="38" s="1"/>
  <c r="O311" i="38"/>
  <c r="P311" i="38" s="1"/>
  <c r="Q311" i="38" s="1"/>
  <c r="O231" i="38"/>
  <c r="P231" i="38" s="1"/>
  <c r="Q231" i="38" s="1"/>
  <c r="O47" i="38"/>
  <c r="P47" i="38" s="1"/>
  <c r="Q47" i="38" s="1"/>
  <c r="O100" i="38"/>
  <c r="P100" i="38" s="1"/>
  <c r="Q100" i="38" s="1"/>
  <c r="O277" i="38"/>
  <c r="P277" i="38" s="1"/>
  <c r="Q277" i="38" s="1"/>
  <c r="O4" i="38"/>
  <c r="O4" i="37"/>
  <c r="O94" i="36"/>
  <c r="P94" i="36" s="1"/>
  <c r="Q94" i="36" s="1"/>
  <c r="O267" i="36"/>
  <c r="P267" i="36" s="1"/>
  <c r="Q267" i="36" s="1"/>
  <c r="O164" i="36"/>
  <c r="P164" i="36" s="1"/>
  <c r="Q164" i="36" s="1"/>
  <c r="O201" i="36"/>
  <c r="P201" i="36" s="1"/>
  <c r="Q201" i="36" s="1"/>
  <c r="O106" i="36"/>
  <c r="P106" i="36" s="1"/>
  <c r="Q106" i="36" s="1"/>
  <c r="O141" i="36"/>
  <c r="P141" i="36" s="1"/>
  <c r="Q141" i="36" s="1"/>
  <c r="O44" i="36"/>
  <c r="P44" i="36" s="1"/>
  <c r="Q44" i="36" s="1"/>
  <c r="O90" i="36"/>
  <c r="P90" i="36" s="1"/>
  <c r="Q90" i="36" s="1"/>
  <c r="O72" i="36"/>
  <c r="P72" i="36" s="1"/>
  <c r="Q72" i="36" s="1"/>
  <c r="O175" i="36"/>
  <c r="P175" i="36" s="1"/>
  <c r="Q175" i="36" s="1"/>
  <c r="O70" i="36"/>
  <c r="P70" i="36" s="1"/>
  <c r="Q70" i="36" s="1"/>
  <c r="O260" i="36"/>
  <c r="P260" i="36" s="1"/>
  <c r="Q260" i="36" s="1"/>
  <c r="O240" i="36"/>
  <c r="P240" i="36" s="1"/>
  <c r="Q240" i="36" s="1"/>
  <c r="O282" i="36"/>
  <c r="P282" i="36" s="1"/>
  <c r="Q282" i="36" s="1"/>
  <c r="O147" i="36"/>
  <c r="P147" i="36" s="1"/>
  <c r="Q147" i="36" s="1"/>
  <c r="O212" i="36"/>
  <c r="P212" i="36" s="1"/>
  <c r="Q212" i="36" s="1"/>
  <c r="O144" i="36"/>
  <c r="P144" i="36" s="1"/>
  <c r="Q144" i="36" s="1"/>
  <c r="O120" i="36"/>
  <c r="P120" i="36" s="1"/>
  <c r="Q120" i="36" s="1"/>
  <c r="O105" i="36"/>
  <c r="P105" i="36" s="1"/>
  <c r="Q105" i="36" s="1"/>
  <c r="O228" i="36"/>
  <c r="P228" i="36" s="1"/>
  <c r="Q228" i="36" s="1"/>
  <c r="O289" i="36"/>
  <c r="P289" i="36" s="1"/>
  <c r="Q289" i="36" s="1"/>
  <c r="O79" i="36"/>
  <c r="P79" i="36" s="1"/>
  <c r="Q79" i="36" s="1"/>
  <c r="O210" i="36"/>
  <c r="P210" i="36" s="1"/>
  <c r="Q210" i="36" s="1"/>
  <c r="O242" i="36"/>
  <c r="P242" i="36" s="1"/>
  <c r="Q242" i="36" s="1"/>
  <c r="O150" i="36"/>
  <c r="P150" i="36" s="1"/>
  <c r="Q150" i="36" s="1"/>
  <c r="O151" i="36"/>
  <c r="P151" i="36" s="1"/>
  <c r="Q151" i="36" s="1"/>
  <c r="O266" i="36"/>
  <c r="P266" i="36" s="1"/>
  <c r="Q266" i="36" s="1"/>
  <c r="O277" i="36"/>
  <c r="P277" i="36" s="1"/>
  <c r="Q277" i="36" s="1"/>
  <c r="O207" i="36"/>
  <c r="P207" i="36" s="1"/>
  <c r="Q207" i="36" s="1"/>
  <c r="O52" i="36"/>
  <c r="P52" i="36" s="1"/>
  <c r="Q52" i="36" s="1"/>
  <c r="O59" i="36"/>
  <c r="P59" i="36" s="1"/>
  <c r="Q59" i="36" s="1"/>
  <c r="O47" i="36"/>
  <c r="P47" i="36" s="1"/>
  <c r="Q47" i="36" s="1"/>
  <c r="O232" i="36"/>
  <c r="P232" i="36" s="1"/>
  <c r="Q232" i="36" s="1"/>
  <c r="O104" i="36"/>
  <c r="P104" i="36" s="1"/>
  <c r="Q104" i="36" s="1"/>
  <c r="O283" i="36"/>
  <c r="P283" i="36" s="1"/>
  <c r="Q283" i="36" s="1"/>
  <c r="O61" i="36"/>
  <c r="P61" i="36" s="1"/>
  <c r="Q61" i="36" s="1"/>
  <c r="O227" i="36"/>
  <c r="P227" i="36" s="1"/>
  <c r="Q227" i="36" s="1"/>
  <c r="O223" i="36"/>
  <c r="P223" i="36" s="1"/>
  <c r="Q223" i="36" s="1"/>
  <c r="O135" i="36"/>
  <c r="P135" i="36" s="1"/>
  <c r="Q135" i="36" s="1"/>
  <c r="O77" i="36"/>
  <c r="P77" i="36" s="1"/>
  <c r="Q77" i="36" s="1"/>
  <c r="O257" i="36"/>
  <c r="P257" i="36" s="1"/>
  <c r="Q257" i="36" s="1"/>
  <c r="O119" i="36"/>
  <c r="P119" i="36" s="1"/>
  <c r="Q119" i="36" s="1"/>
  <c r="O156" i="36"/>
  <c r="P156" i="36" s="1"/>
  <c r="Q156" i="36" s="1"/>
  <c r="O192" i="36"/>
  <c r="P192" i="36" s="1"/>
  <c r="Q192" i="36" s="1"/>
  <c r="O127" i="36"/>
  <c r="P127" i="36" s="1"/>
  <c r="Q127" i="36" s="1"/>
  <c r="O316" i="36"/>
  <c r="P316" i="36" s="1"/>
  <c r="Q316" i="36" s="1"/>
  <c r="O24" i="36"/>
  <c r="P24" i="36" s="1"/>
  <c r="Q24" i="36" s="1"/>
  <c r="O18" i="36"/>
  <c r="P18" i="36" s="1"/>
  <c r="Q18" i="36" s="1"/>
  <c r="O63" i="36"/>
  <c r="P63" i="36" s="1"/>
  <c r="Q63" i="36" s="1"/>
  <c r="O197" i="36"/>
  <c r="P197" i="36" s="1"/>
  <c r="Q197" i="36" s="1"/>
  <c r="O140" i="36"/>
  <c r="P140" i="36" s="1"/>
  <c r="Q140" i="36" s="1"/>
  <c r="O20" i="36"/>
  <c r="P20" i="36" s="1"/>
  <c r="Q20" i="36" s="1"/>
  <c r="O264" i="36"/>
  <c r="P264" i="36" s="1"/>
  <c r="Q264" i="36" s="1"/>
  <c r="O311" i="36"/>
  <c r="P311" i="36" s="1"/>
  <c r="Q311" i="36" s="1"/>
  <c r="O121" i="36"/>
  <c r="P121" i="36" s="1"/>
  <c r="Q121" i="36" s="1"/>
  <c r="O272" i="36"/>
  <c r="P272" i="36" s="1"/>
  <c r="Q272" i="36" s="1"/>
  <c r="O258" i="36"/>
  <c r="P258" i="36" s="1"/>
  <c r="Q258" i="36" s="1"/>
  <c r="O249" i="36"/>
  <c r="P249" i="36" s="1"/>
  <c r="Q249" i="36" s="1"/>
  <c r="O35" i="36"/>
  <c r="P35" i="36" s="1"/>
  <c r="Q35" i="36" s="1"/>
  <c r="O203" i="36"/>
  <c r="P203" i="36" s="1"/>
  <c r="Q203" i="36" s="1"/>
  <c r="O146" i="36"/>
  <c r="P146" i="36" s="1"/>
  <c r="Q146" i="36" s="1"/>
  <c r="O281" i="36"/>
  <c r="P281" i="36" s="1"/>
  <c r="Q281" i="36" s="1"/>
  <c r="O109" i="36"/>
  <c r="P109" i="36" s="1"/>
  <c r="Q109" i="36" s="1"/>
  <c r="O174" i="36"/>
  <c r="P174" i="36" s="1"/>
  <c r="Q174" i="36" s="1"/>
  <c r="O263" i="36"/>
  <c r="P263" i="36" s="1"/>
  <c r="Q263" i="36" s="1"/>
  <c r="O87" i="36"/>
  <c r="P87" i="36" s="1"/>
  <c r="Q87" i="36" s="1"/>
  <c r="O261" i="36"/>
  <c r="P261" i="36" s="1"/>
  <c r="Q261" i="36" s="1"/>
  <c r="O295" i="36"/>
  <c r="P295" i="36" s="1"/>
  <c r="Q295" i="36" s="1"/>
  <c r="O56" i="36"/>
  <c r="P56" i="36" s="1"/>
  <c r="Q56" i="36" s="1"/>
  <c r="O8" i="36"/>
  <c r="P8" i="36" s="1"/>
  <c r="Q8" i="36" s="1"/>
  <c r="O91" i="36"/>
  <c r="P91" i="36" s="1"/>
  <c r="Q91" i="36" s="1"/>
  <c r="O113" i="36"/>
  <c r="P113" i="36" s="1"/>
  <c r="Q113" i="36" s="1"/>
  <c r="O66" i="36"/>
  <c r="P66" i="36" s="1"/>
  <c r="Q66" i="36" s="1"/>
  <c r="O252" i="36"/>
  <c r="P252" i="36" s="1"/>
  <c r="Q252" i="36" s="1"/>
  <c r="O243" i="36"/>
  <c r="P243" i="36" s="1"/>
  <c r="Q243" i="36" s="1"/>
  <c r="O130" i="36"/>
  <c r="P130" i="36" s="1"/>
  <c r="Q130" i="36" s="1"/>
  <c r="O256" i="36"/>
  <c r="P256" i="36" s="1"/>
  <c r="Q256" i="36" s="1"/>
  <c r="O194" i="36"/>
  <c r="P194" i="36" s="1"/>
  <c r="Q194" i="36" s="1"/>
  <c r="O307" i="36"/>
  <c r="P307" i="36" s="1"/>
  <c r="Q307" i="36" s="1"/>
  <c r="O85" i="36"/>
  <c r="P85" i="36" s="1"/>
  <c r="Q85" i="36" s="1"/>
  <c r="O10" i="36"/>
  <c r="P10" i="36" s="1"/>
  <c r="Q10" i="36" s="1"/>
  <c r="O53" i="36"/>
  <c r="P53" i="36" s="1"/>
  <c r="Q53" i="36" s="1"/>
  <c r="O188" i="36"/>
  <c r="P188" i="36" s="1"/>
  <c r="Q188" i="36" s="1"/>
  <c r="O285" i="36"/>
  <c r="P285" i="36" s="1"/>
  <c r="Q285" i="36" s="1"/>
  <c r="O274" i="36"/>
  <c r="P274" i="36" s="1"/>
  <c r="Q274" i="36" s="1"/>
  <c r="O309" i="36"/>
  <c r="P309" i="36" s="1"/>
  <c r="Q309" i="36" s="1"/>
  <c r="O222" i="36"/>
  <c r="P222" i="36" s="1"/>
  <c r="Q222" i="36" s="1"/>
  <c r="O219" i="36"/>
  <c r="P219" i="36" s="1"/>
  <c r="Q219" i="36" s="1"/>
  <c r="O32" i="36"/>
  <c r="P32" i="36" s="1"/>
  <c r="Q32" i="36" s="1"/>
  <c r="O178" i="36"/>
  <c r="P178" i="36" s="1"/>
  <c r="Q178" i="36" s="1"/>
  <c r="O139" i="36"/>
  <c r="P139" i="36" s="1"/>
  <c r="Q139" i="36" s="1"/>
  <c r="O62" i="36"/>
  <c r="P62" i="36" s="1"/>
  <c r="Q62" i="36" s="1"/>
  <c r="O314" i="36"/>
  <c r="P314" i="36" s="1"/>
  <c r="Q314" i="36" s="1"/>
  <c r="O233" i="36"/>
  <c r="P233" i="36" s="1"/>
  <c r="Q233" i="36" s="1"/>
  <c r="O95" i="36"/>
  <c r="P95" i="36" s="1"/>
  <c r="Q95" i="36" s="1"/>
  <c r="O231" i="36"/>
  <c r="P231" i="36" s="1"/>
  <c r="Q231" i="36" s="1"/>
  <c r="O108" i="36"/>
  <c r="P108" i="36" s="1"/>
  <c r="Q108" i="36" s="1"/>
  <c r="O76" i="36"/>
  <c r="P76" i="36" s="1"/>
  <c r="Q76" i="36" s="1"/>
  <c r="O255" i="36"/>
  <c r="P255" i="36" s="1"/>
  <c r="Q255" i="36" s="1"/>
  <c r="O173" i="36"/>
  <c r="P173" i="36" s="1"/>
  <c r="Q173" i="36" s="1"/>
  <c r="O153" i="36"/>
  <c r="P153" i="36" s="1"/>
  <c r="Q153" i="36" s="1"/>
  <c r="O273" i="36"/>
  <c r="P273" i="36" s="1"/>
  <c r="Q273" i="36" s="1"/>
  <c r="O122" i="36"/>
  <c r="P122" i="36" s="1"/>
  <c r="Q122" i="36" s="1"/>
  <c r="O26" i="36"/>
  <c r="P26" i="36" s="1"/>
  <c r="Q26" i="36" s="1"/>
  <c r="O245" i="36"/>
  <c r="P245" i="36" s="1"/>
  <c r="Q245" i="36" s="1"/>
  <c r="O236" i="36"/>
  <c r="P236" i="36" s="1"/>
  <c r="Q236" i="36" s="1"/>
  <c r="O185" i="36"/>
  <c r="P185" i="36" s="1"/>
  <c r="Q185" i="36" s="1"/>
  <c r="O220" i="36"/>
  <c r="P220" i="36" s="1"/>
  <c r="Q220" i="36" s="1"/>
  <c r="O199" i="36"/>
  <c r="P199" i="36" s="1"/>
  <c r="Q199" i="36" s="1"/>
  <c r="O237" i="36"/>
  <c r="P237" i="36" s="1"/>
  <c r="Q237" i="36" s="1"/>
  <c r="O291" i="36"/>
  <c r="P291" i="36" s="1"/>
  <c r="Q291" i="36" s="1"/>
  <c r="O276" i="36"/>
  <c r="P276" i="36" s="1"/>
  <c r="Q276" i="36" s="1"/>
  <c r="O54" i="36"/>
  <c r="P54" i="36" s="1"/>
  <c r="Q54" i="36" s="1"/>
  <c r="O148" i="36"/>
  <c r="P148" i="36" s="1"/>
  <c r="Q148" i="36" s="1"/>
  <c r="O65" i="36"/>
  <c r="P65" i="36" s="1"/>
  <c r="Q65" i="36" s="1"/>
  <c r="O17" i="36"/>
  <c r="P17" i="36" s="1"/>
  <c r="Q17" i="36" s="1"/>
  <c r="O22" i="36"/>
  <c r="P22" i="36" s="1"/>
  <c r="Q22" i="36" s="1"/>
  <c r="O290" i="36"/>
  <c r="P290" i="36" s="1"/>
  <c r="Q290" i="36" s="1"/>
  <c r="O36" i="36"/>
  <c r="P36" i="36" s="1"/>
  <c r="Q36" i="36" s="1"/>
  <c r="O149" i="36"/>
  <c r="P149" i="36" s="1"/>
  <c r="Q149" i="36" s="1"/>
  <c r="O190" i="36"/>
  <c r="P190" i="36" s="1"/>
  <c r="Q190" i="36" s="1"/>
  <c r="O80" i="36"/>
  <c r="P80" i="36" s="1"/>
  <c r="Q80" i="36" s="1"/>
  <c r="O115" i="36"/>
  <c r="P115" i="36" s="1"/>
  <c r="Q115" i="36" s="1"/>
  <c r="O296" i="36"/>
  <c r="P296" i="36" s="1"/>
  <c r="Q296" i="36" s="1"/>
  <c r="O239" i="36"/>
  <c r="P239" i="36" s="1"/>
  <c r="Q239" i="36" s="1"/>
  <c r="O110" i="36"/>
  <c r="P110" i="36" s="1"/>
  <c r="Q110" i="36" s="1"/>
  <c r="O97" i="36"/>
  <c r="P97" i="36" s="1"/>
  <c r="Q97" i="36" s="1"/>
  <c r="O98" i="36"/>
  <c r="P98" i="36" s="1"/>
  <c r="Q98" i="36" s="1"/>
  <c r="O230" i="36"/>
  <c r="P230" i="36" s="1"/>
  <c r="Q230" i="36" s="1"/>
  <c r="O125" i="36"/>
  <c r="P125" i="36" s="1"/>
  <c r="Q125" i="36" s="1"/>
  <c r="O209" i="36"/>
  <c r="P209" i="36" s="1"/>
  <c r="Q209" i="36" s="1"/>
  <c r="O246" i="36"/>
  <c r="P246" i="36" s="1"/>
  <c r="Q246" i="36" s="1"/>
  <c r="O126" i="36"/>
  <c r="P126" i="36" s="1"/>
  <c r="Q126" i="36" s="1"/>
  <c r="O137" i="36"/>
  <c r="P137" i="36" s="1"/>
  <c r="Q137" i="36" s="1"/>
  <c r="O27" i="36"/>
  <c r="P27" i="36" s="1"/>
  <c r="Q27" i="36" s="1"/>
  <c r="O235" i="36"/>
  <c r="P235" i="36" s="1"/>
  <c r="Q235" i="36" s="1"/>
  <c r="O89" i="36"/>
  <c r="P89" i="36" s="1"/>
  <c r="Q89" i="36" s="1"/>
  <c r="O158" i="36"/>
  <c r="P158" i="36" s="1"/>
  <c r="Q158" i="36" s="1"/>
  <c r="O271" i="36"/>
  <c r="P271" i="36" s="1"/>
  <c r="Q271" i="36" s="1"/>
  <c r="O297" i="36"/>
  <c r="P297" i="36" s="1"/>
  <c r="Q297" i="36" s="1"/>
  <c r="O6" i="36"/>
  <c r="P6" i="36" s="1"/>
  <c r="Q6" i="36" s="1"/>
  <c r="O43" i="36"/>
  <c r="P43" i="36" s="1"/>
  <c r="Q43" i="36" s="1"/>
  <c r="O73" i="36"/>
  <c r="P73" i="36" s="1"/>
  <c r="Q73" i="36" s="1"/>
  <c r="O200" i="36"/>
  <c r="P200" i="36" s="1"/>
  <c r="Q200" i="36" s="1"/>
  <c r="O205" i="36"/>
  <c r="P205" i="36" s="1"/>
  <c r="Q205" i="36" s="1"/>
  <c r="O288" i="36"/>
  <c r="P288" i="36" s="1"/>
  <c r="Q288" i="36" s="1"/>
  <c r="O269" i="36"/>
  <c r="P269" i="36" s="1"/>
  <c r="Q269" i="36" s="1"/>
  <c r="O14" i="36"/>
  <c r="P14" i="36" s="1"/>
  <c r="Q14" i="36" s="1"/>
  <c r="O312" i="36"/>
  <c r="P312" i="36" s="1"/>
  <c r="Q312" i="36" s="1"/>
  <c r="O187" i="36"/>
  <c r="P187" i="36" s="1"/>
  <c r="Q187" i="36" s="1"/>
  <c r="O169" i="36"/>
  <c r="P169" i="36" s="1"/>
  <c r="Q169" i="36" s="1"/>
  <c r="O226" i="36"/>
  <c r="P226" i="36" s="1"/>
  <c r="Q226" i="36" s="1"/>
  <c r="O182" i="36"/>
  <c r="P182" i="36" s="1"/>
  <c r="Q182" i="36" s="1"/>
  <c r="O67" i="36"/>
  <c r="P67" i="36" s="1"/>
  <c r="Q67" i="36" s="1"/>
  <c r="O262" i="36"/>
  <c r="P262" i="36" s="1"/>
  <c r="Q262" i="36" s="1"/>
  <c r="O30" i="36"/>
  <c r="P30" i="36" s="1"/>
  <c r="Q30" i="36" s="1"/>
  <c r="O294" i="36"/>
  <c r="P294" i="36" s="1"/>
  <c r="Q294" i="36" s="1"/>
  <c r="O302" i="36"/>
  <c r="P302" i="36" s="1"/>
  <c r="Q302" i="36" s="1"/>
  <c r="O145" i="36"/>
  <c r="P145" i="36" s="1"/>
  <c r="Q145" i="36" s="1"/>
  <c r="O163" i="36"/>
  <c r="P163" i="36" s="1"/>
  <c r="Q163" i="36" s="1"/>
  <c r="O259" i="36"/>
  <c r="P259" i="36" s="1"/>
  <c r="Q259" i="36" s="1"/>
  <c r="O234" i="36"/>
  <c r="P234" i="36" s="1"/>
  <c r="Q234" i="36" s="1"/>
  <c r="O154" i="36"/>
  <c r="P154" i="36" s="1"/>
  <c r="Q154" i="36" s="1"/>
  <c r="O170" i="36"/>
  <c r="P170" i="36" s="1"/>
  <c r="Q170" i="36" s="1"/>
  <c r="O206" i="36"/>
  <c r="P206" i="36" s="1"/>
  <c r="Q206" i="36" s="1"/>
  <c r="O247" i="36"/>
  <c r="P247" i="36" s="1"/>
  <c r="Q247" i="36" s="1"/>
  <c r="O131" i="36"/>
  <c r="P131" i="36" s="1"/>
  <c r="Q131" i="36" s="1"/>
  <c r="O280" i="36"/>
  <c r="P280" i="36" s="1"/>
  <c r="Q280" i="36" s="1"/>
  <c r="O166" i="36"/>
  <c r="P166" i="36" s="1"/>
  <c r="Q166" i="36" s="1"/>
  <c r="O101" i="36"/>
  <c r="P101" i="36" s="1"/>
  <c r="Q101" i="36" s="1"/>
  <c r="O111" i="36"/>
  <c r="P111" i="36" s="1"/>
  <c r="Q111" i="36" s="1"/>
  <c r="O9" i="36"/>
  <c r="P9" i="36" s="1"/>
  <c r="Q9" i="36" s="1"/>
  <c r="O184" i="36"/>
  <c r="P184" i="36" s="1"/>
  <c r="Q184" i="36" s="1"/>
  <c r="O299" i="36"/>
  <c r="P299" i="36" s="1"/>
  <c r="Q299" i="36" s="1"/>
  <c r="O216" i="36"/>
  <c r="P216" i="36" s="1"/>
  <c r="Q216" i="36" s="1"/>
  <c r="O224" i="36"/>
  <c r="P224" i="36" s="1"/>
  <c r="Q224" i="36" s="1"/>
  <c r="O171" i="36"/>
  <c r="P171" i="36" s="1"/>
  <c r="Q171" i="36" s="1"/>
  <c r="O112" i="36"/>
  <c r="P112" i="36" s="1"/>
  <c r="Q112" i="36" s="1"/>
  <c r="O21" i="36"/>
  <c r="P21" i="36" s="1"/>
  <c r="Q21" i="36" s="1"/>
  <c r="O278" i="36"/>
  <c r="P278" i="36" s="1"/>
  <c r="Q278" i="36" s="1"/>
  <c r="O189" i="36"/>
  <c r="P189" i="36" s="1"/>
  <c r="Q189" i="36" s="1"/>
  <c r="O157" i="36"/>
  <c r="P157" i="36" s="1"/>
  <c r="Q157" i="36" s="1"/>
  <c r="O50" i="36"/>
  <c r="P50" i="36" s="1"/>
  <c r="Q50" i="36" s="1"/>
  <c r="O118" i="36"/>
  <c r="P118" i="36" s="1"/>
  <c r="Q118" i="36" s="1"/>
  <c r="O248" i="36"/>
  <c r="P248" i="36" s="1"/>
  <c r="Q248" i="36" s="1"/>
  <c r="O68" i="36"/>
  <c r="P68" i="36" s="1"/>
  <c r="Q68" i="36" s="1"/>
  <c r="O229" i="36"/>
  <c r="P229" i="36" s="1"/>
  <c r="Q229" i="36" s="1"/>
  <c r="O11" i="36"/>
  <c r="P11" i="36" s="1"/>
  <c r="Q11" i="36" s="1"/>
  <c r="O40" i="36"/>
  <c r="P40" i="36" s="1"/>
  <c r="Q40" i="36" s="1"/>
  <c r="O41" i="36"/>
  <c r="P41" i="36" s="1"/>
  <c r="Q41" i="36" s="1"/>
  <c r="O57" i="36"/>
  <c r="P57" i="36" s="1"/>
  <c r="Q57" i="36" s="1"/>
  <c r="O308" i="36"/>
  <c r="P308" i="36" s="1"/>
  <c r="Q308" i="36" s="1"/>
  <c r="O38" i="36"/>
  <c r="P38" i="36" s="1"/>
  <c r="Q38" i="36" s="1"/>
  <c r="O138" i="36"/>
  <c r="P138" i="36" s="1"/>
  <c r="Q138" i="36" s="1"/>
  <c r="O142" i="36"/>
  <c r="P142" i="36" s="1"/>
  <c r="Q142" i="36" s="1"/>
  <c r="O298" i="36"/>
  <c r="P298" i="36" s="1"/>
  <c r="Q298" i="36" s="1"/>
  <c r="O31" i="36"/>
  <c r="P31" i="36" s="1"/>
  <c r="Q31" i="36" s="1"/>
  <c r="O304" i="36"/>
  <c r="P304" i="36" s="1"/>
  <c r="Q304" i="36" s="1"/>
  <c r="O268" i="36"/>
  <c r="P268" i="36" s="1"/>
  <c r="Q268" i="36" s="1"/>
  <c r="O143" i="36"/>
  <c r="P143" i="36" s="1"/>
  <c r="Q143" i="36" s="1"/>
  <c r="O161" i="36"/>
  <c r="P161" i="36" s="1"/>
  <c r="Q161" i="36" s="1"/>
  <c r="O34" i="36"/>
  <c r="P34" i="36" s="1"/>
  <c r="Q34" i="36" s="1"/>
  <c r="O221" i="36"/>
  <c r="P221" i="36" s="1"/>
  <c r="Q221" i="36" s="1"/>
  <c r="O64" i="36"/>
  <c r="P64" i="36" s="1"/>
  <c r="Q64" i="36" s="1"/>
  <c r="O42" i="36"/>
  <c r="P42" i="36" s="1"/>
  <c r="Q42" i="36" s="1"/>
  <c r="O176" i="36"/>
  <c r="P176" i="36" s="1"/>
  <c r="Q176" i="36" s="1"/>
  <c r="O159" i="36"/>
  <c r="P159" i="36" s="1"/>
  <c r="Q159" i="36" s="1"/>
  <c r="O253" i="36"/>
  <c r="P253" i="36" s="1"/>
  <c r="Q253" i="36" s="1"/>
  <c r="O300" i="36"/>
  <c r="P300" i="36" s="1"/>
  <c r="Q300" i="36" s="1"/>
  <c r="O251" i="36"/>
  <c r="P251" i="36" s="1"/>
  <c r="Q251" i="36" s="1"/>
  <c r="O71" i="36"/>
  <c r="P71" i="36" s="1"/>
  <c r="Q71" i="36" s="1"/>
  <c r="O58" i="36"/>
  <c r="P58" i="36" s="1"/>
  <c r="Q58" i="36" s="1"/>
  <c r="O287" i="36"/>
  <c r="P287" i="36" s="1"/>
  <c r="Q287" i="36" s="1"/>
  <c r="O117" i="36"/>
  <c r="P117" i="36" s="1"/>
  <c r="Q117" i="36" s="1"/>
  <c r="O78" i="36"/>
  <c r="P78" i="36" s="1"/>
  <c r="Q78" i="36" s="1"/>
  <c r="O172" i="36"/>
  <c r="P172" i="36" s="1"/>
  <c r="Q172" i="36" s="1"/>
  <c r="O96" i="36"/>
  <c r="P96" i="36" s="1"/>
  <c r="Q96" i="36" s="1"/>
  <c r="O244" i="36"/>
  <c r="P244" i="36" s="1"/>
  <c r="Q244" i="36" s="1"/>
  <c r="O301" i="36"/>
  <c r="P301" i="36" s="1"/>
  <c r="Q301" i="36" s="1"/>
  <c r="O305" i="36"/>
  <c r="P305" i="36" s="1"/>
  <c r="Q305" i="36" s="1"/>
  <c r="O93" i="36"/>
  <c r="P93" i="36" s="1"/>
  <c r="Q93" i="36" s="1"/>
  <c r="O315" i="36"/>
  <c r="P315" i="36" s="1"/>
  <c r="Q315" i="36" s="1"/>
  <c r="O134" i="36"/>
  <c r="P134" i="36" s="1"/>
  <c r="Q134" i="36" s="1"/>
  <c r="O45" i="36"/>
  <c r="P45" i="36" s="1"/>
  <c r="Q45" i="36" s="1"/>
  <c r="O92" i="36"/>
  <c r="P92" i="36" s="1"/>
  <c r="Q92" i="36" s="1"/>
  <c r="O193" i="36"/>
  <c r="P193" i="36" s="1"/>
  <c r="Q193" i="36" s="1"/>
  <c r="O102" i="36"/>
  <c r="P102" i="36" s="1"/>
  <c r="Q102" i="36" s="1"/>
  <c r="O225" i="36"/>
  <c r="P225" i="36" s="1"/>
  <c r="Q225" i="36" s="1"/>
  <c r="O195" i="36"/>
  <c r="P195" i="36" s="1"/>
  <c r="Q195" i="36" s="1"/>
  <c r="O75" i="36"/>
  <c r="P75" i="36" s="1"/>
  <c r="Q75" i="36" s="1"/>
  <c r="O33" i="36"/>
  <c r="P33" i="36" s="1"/>
  <c r="Q33" i="36" s="1"/>
  <c r="O160" i="36"/>
  <c r="P160" i="36" s="1"/>
  <c r="Q160" i="36" s="1"/>
  <c r="O16" i="36"/>
  <c r="P16" i="36" s="1"/>
  <c r="Q16" i="36" s="1"/>
  <c r="O179" i="36"/>
  <c r="P179" i="36" s="1"/>
  <c r="Q179" i="36" s="1"/>
  <c r="O186" i="36"/>
  <c r="P186" i="36" s="1"/>
  <c r="Q186" i="36" s="1"/>
  <c r="O241" i="36"/>
  <c r="P241" i="36" s="1"/>
  <c r="Q241" i="36" s="1"/>
  <c r="O29" i="36"/>
  <c r="P29" i="36" s="1"/>
  <c r="Q29" i="36" s="1"/>
  <c r="O81" i="36"/>
  <c r="P81" i="36" s="1"/>
  <c r="Q81" i="36" s="1"/>
  <c r="O202" i="36"/>
  <c r="P202" i="36" s="1"/>
  <c r="Q202" i="36" s="1"/>
  <c r="O306" i="36"/>
  <c r="P306" i="36" s="1"/>
  <c r="Q306" i="36" s="1"/>
  <c r="O168" i="36"/>
  <c r="P168" i="36" s="1"/>
  <c r="Q168" i="36" s="1"/>
  <c r="O60" i="36"/>
  <c r="P60" i="36" s="1"/>
  <c r="Q60" i="36" s="1"/>
  <c r="O116" i="36"/>
  <c r="P116" i="36" s="1"/>
  <c r="Q116" i="36" s="1"/>
  <c r="O7" i="36"/>
  <c r="P7" i="36" s="1"/>
  <c r="Q7" i="36" s="1"/>
  <c r="O74" i="36"/>
  <c r="P74" i="36" s="1"/>
  <c r="Q74" i="36" s="1"/>
  <c r="O107" i="36"/>
  <c r="P107" i="36" s="1"/>
  <c r="Q107" i="36" s="1"/>
  <c r="O37" i="36"/>
  <c r="P37" i="36" s="1"/>
  <c r="Q37" i="36" s="1"/>
  <c r="O103" i="36"/>
  <c r="P103" i="36" s="1"/>
  <c r="Q103" i="36" s="1"/>
  <c r="O217" i="36"/>
  <c r="P217" i="36" s="1"/>
  <c r="Q217" i="36" s="1"/>
  <c r="O286" i="36"/>
  <c r="P286" i="36" s="1"/>
  <c r="Q286" i="36" s="1"/>
  <c r="O208" i="36"/>
  <c r="P208" i="36" s="1"/>
  <c r="Q208" i="36" s="1"/>
  <c r="O123" i="36"/>
  <c r="P123" i="36" s="1"/>
  <c r="Q123" i="36" s="1"/>
  <c r="O211" i="36"/>
  <c r="P211" i="36" s="1"/>
  <c r="Q211" i="36" s="1"/>
  <c r="O5" i="36"/>
  <c r="P5" i="36" s="1"/>
  <c r="Q5" i="36" s="1"/>
  <c r="O25" i="36"/>
  <c r="P25" i="36" s="1"/>
  <c r="Q25" i="36" s="1"/>
  <c r="O69" i="36"/>
  <c r="P69" i="36" s="1"/>
  <c r="Q69" i="36" s="1"/>
  <c r="O198" i="36"/>
  <c r="P198" i="36" s="1"/>
  <c r="Q198" i="36" s="1"/>
  <c r="O19" i="36"/>
  <c r="P19" i="36" s="1"/>
  <c r="Q19" i="36" s="1"/>
  <c r="O46" i="36"/>
  <c r="P46" i="36" s="1"/>
  <c r="Q46" i="36" s="1"/>
  <c r="O214" i="36"/>
  <c r="P214" i="36" s="1"/>
  <c r="Q214" i="36" s="1"/>
  <c r="O136" i="36"/>
  <c r="P136" i="36" s="1"/>
  <c r="Q136" i="36" s="1"/>
  <c r="O23" i="36"/>
  <c r="P23" i="36" s="1"/>
  <c r="Q23" i="36" s="1"/>
  <c r="O177" i="36"/>
  <c r="P177" i="36" s="1"/>
  <c r="Q177" i="36" s="1"/>
  <c r="O310" i="36"/>
  <c r="P310" i="36" s="1"/>
  <c r="Q310" i="36" s="1"/>
  <c r="O152" i="36"/>
  <c r="P152" i="36" s="1"/>
  <c r="Q152" i="36" s="1"/>
  <c r="O100" i="36"/>
  <c r="P100" i="36" s="1"/>
  <c r="Q100" i="36" s="1"/>
  <c r="O86" i="36"/>
  <c r="P86" i="36" s="1"/>
  <c r="Q86" i="36" s="1"/>
  <c r="O49" i="36"/>
  <c r="P49" i="36" s="1"/>
  <c r="Q49" i="36" s="1"/>
  <c r="O124" i="36"/>
  <c r="P124" i="36" s="1"/>
  <c r="Q124" i="36" s="1"/>
  <c r="O55" i="36"/>
  <c r="P55" i="36" s="1"/>
  <c r="Q55" i="36" s="1"/>
  <c r="O162" i="36"/>
  <c r="P162" i="36" s="1"/>
  <c r="Q162" i="36" s="1"/>
  <c r="O84" i="36"/>
  <c r="P84" i="36" s="1"/>
  <c r="Q84" i="36" s="1"/>
  <c r="O167" i="36"/>
  <c r="P167" i="36" s="1"/>
  <c r="Q167" i="36" s="1"/>
  <c r="O275" i="36"/>
  <c r="P275" i="36" s="1"/>
  <c r="Q275" i="36" s="1"/>
  <c r="O181" i="36"/>
  <c r="P181" i="36" s="1"/>
  <c r="Q181" i="36" s="1"/>
  <c r="O284" i="36"/>
  <c r="P284" i="36" s="1"/>
  <c r="Q284" i="36" s="1"/>
  <c r="O114" i="36"/>
  <c r="P114" i="36" s="1"/>
  <c r="Q114" i="36" s="1"/>
  <c r="O82" i="36"/>
  <c r="P82" i="36" s="1"/>
  <c r="Q82" i="36" s="1"/>
  <c r="O88" i="36"/>
  <c r="P88" i="36" s="1"/>
  <c r="Q88" i="36" s="1"/>
  <c r="O292" i="36"/>
  <c r="P292" i="36" s="1"/>
  <c r="Q292" i="36" s="1"/>
  <c r="O28" i="36"/>
  <c r="P28" i="36" s="1"/>
  <c r="Q28" i="36" s="1"/>
  <c r="O83" i="36"/>
  <c r="P83" i="36" s="1"/>
  <c r="Q83" i="36" s="1"/>
  <c r="O254" i="36"/>
  <c r="P254" i="36" s="1"/>
  <c r="Q254" i="36" s="1"/>
  <c r="O133" i="36"/>
  <c r="P133" i="36" s="1"/>
  <c r="Q133" i="36" s="1"/>
  <c r="O238" i="36"/>
  <c r="P238" i="36" s="1"/>
  <c r="Q238" i="36" s="1"/>
  <c r="O39" i="36"/>
  <c r="P39" i="36" s="1"/>
  <c r="Q39" i="36" s="1"/>
  <c r="O196" i="36"/>
  <c r="P196" i="36" s="1"/>
  <c r="Q196" i="36" s="1"/>
  <c r="O180" i="36"/>
  <c r="P180" i="36" s="1"/>
  <c r="Q180" i="36" s="1"/>
  <c r="O270" i="36"/>
  <c r="P270" i="36" s="1"/>
  <c r="Q270" i="36" s="1"/>
  <c r="O293" i="36"/>
  <c r="P293" i="36" s="1"/>
  <c r="Q293" i="36" s="1"/>
  <c r="O132" i="36"/>
  <c r="P132" i="36" s="1"/>
  <c r="Q132" i="36" s="1"/>
  <c r="O155" i="36"/>
  <c r="P155" i="36" s="1"/>
  <c r="Q155" i="36" s="1"/>
  <c r="O165" i="36"/>
  <c r="P165" i="36" s="1"/>
  <c r="Q165" i="36" s="1"/>
  <c r="O99" i="36"/>
  <c r="P99" i="36" s="1"/>
  <c r="Q99" i="36" s="1"/>
  <c r="O191" i="36"/>
  <c r="P191" i="36" s="1"/>
  <c r="Q191" i="36" s="1"/>
  <c r="O215" i="36"/>
  <c r="P215" i="36" s="1"/>
  <c r="Q215" i="36" s="1"/>
  <c r="O204" i="36"/>
  <c r="P204" i="36" s="1"/>
  <c r="Q204" i="36" s="1"/>
  <c r="O51" i="36"/>
  <c r="P51" i="36" s="1"/>
  <c r="Q51" i="36" s="1"/>
  <c r="O213" i="36"/>
  <c r="P213" i="36" s="1"/>
  <c r="Q213" i="36" s="1"/>
  <c r="O313" i="36"/>
  <c r="P313" i="36" s="1"/>
  <c r="Q313" i="36" s="1"/>
  <c r="O250" i="36"/>
  <c r="P250" i="36" s="1"/>
  <c r="Q250" i="36" s="1"/>
  <c r="O128" i="36"/>
  <c r="P128" i="36" s="1"/>
  <c r="Q128" i="36" s="1"/>
  <c r="O48" i="36"/>
  <c r="P48" i="36" s="1"/>
  <c r="Q48" i="36" s="1"/>
  <c r="O218" i="36"/>
  <c r="P218" i="36" s="1"/>
  <c r="Q218" i="36" s="1"/>
  <c r="O12" i="36"/>
  <c r="P12" i="36" s="1"/>
  <c r="Q12" i="36" s="1"/>
  <c r="O129" i="36"/>
  <c r="P129" i="36" s="1"/>
  <c r="Q129" i="36" s="1"/>
  <c r="O279" i="36"/>
  <c r="P279" i="36" s="1"/>
  <c r="Q279" i="36" s="1"/>
  <c r="O15" i="36"/>
  <c r="P15" i="36" s="1"/>
  <c r="Q15" i="36" s="1"/>
  <c r="O265" i="36"/>
  <c r="P265" i="36" s="1"/>
  <c r="Q265" i="36" s="1"/>
  <c r="O303" i="36"/>
  <c r="P303" i="36" s="1"/>
  <c r="Q303" i="36" s="1"/>
  <c r="O183" i="36"/>
  <c r="P183" i="36" s="1"/>
  <c r="Q183" i="36" s="1"/>
  <c r="O13" i="36"/>
  <c r="P13" i="36" s="1"/>
  <c r="Q13" i="36" s="1"/>
  <c r="O3" i="39" l="1" a="1"/>
  <c r="O3" i="39" s="1"/>
  <c r="P4" i="36"/>
  <c r="P3" i="36" s="1" a="1"/>
  <c r="P3" i="36" s="1"/>
  <c r="O3" i="36" a="1"/>
  <c r="O3" i="36" s="1"/>
  <c r="O3" i="38" a="1"/>
  <c r="O3" i="38" s="1"/>
  <c r="R317" i="36"/>
  <c r="R318" i="36"/>
  <c r="R317" i="37"/>
  <c r="R318" i="39"/>
  <c r="R317" i="39"/>
  <c r="R256" i="39"/>
  <c r="R187" i="39"/>
  <c r="R142" i="39"/>
  <c r="R265" i="39"/>
  <c r="R138" i="39"/>
  <c r="R248" i="39"/>
  <c r="R278" i="39"/>
  <c r="R309" i="39"/>
  <c r="R195" i="39"/>
  <c r="R218" i="39"/>
  <c r="R207" i="39"/>
  <c r="R29" i="39"/>
  <c r="R241" i="39"/>
  <c r="R124" i="39"/>
  <c r="R257" i="39"/>
  <c r="R32" i="39"/>
  <c r="R101" i="39"/>
  <c r="R182" i="39"/>
  <c r="R237" i="39"/>
  <c r="R170" i="39"/>
  <c r="R310" i="39"/>
  <c r="R137" i="39"/>
  <c r="R219" i="39"/>
  <c r="R299" i="39"/>
  <c r="R231" i="39"/>
  <c r="R67" i="39"/>
  <c r="R57" i="39"/>
  <c r="R280" i="39"/>
  <c r="R287" i="39"/>
  <c r="R115" i="39"/>
  <c r="R190" i="39"/>
  <c r="R61" i="39"/>
  <c r="R164" i="39"/>
  <c r="R168" i="39"/>
  <c r="R307" i="39"/>
  <c r="R201" i="39"/>
  <c r="R211" i="39"/>
  <c r="R186" i="39"/>
  <c r="R49" i="39"/>
  <c r="R158" i="39"/>
  <c r="R37" i="39"/>
  <c r="R192" i="39"/>
  <c r="R140" i="39"/>
  <c r="R159" i="39"/>
  <c r="R209" i="39"/>
  <c r="R129" i="39"/>
  <c r="R5" i="39"/>
  <c r="R110" i="39"/>
  <c r="R19" i="39"/>
  <c r="R127" i="39"/>
  <c r="R196" i="39"/>
  <c r="R42" i="39"/>
  <c r="R100" i="39"/>
  <c r="R222" i="39"/>
  <c r="R160" i="39"/>
  <c r="R22" i="39"/>
  <c r="R65" i="39"/>
  <c r="R184" i="39"/>
  <c r="R21" i="39"/>
  <c r="R189" i="39"/>
  <c r="R109" i="39"/>
  <c r="R267" i="39"/>
  <c r="R10" i="39"/>
  <c r="R252" i="39"/>
  <c r="R169" i="39"/>
  <c r="R255" i="39"/>
  <c r="R306" i="39"/>
  <c r="R283" i="39"/>
  <c r="R51" i="39"/>
  <c r="R281" i="39"/>
  <c r="R82" i="39"/>
  <c r="R178" i="39"/>
  <c r="R171" i="39"/>
  <c r="R91" i="39"/>
  <c r="R274" i="39"/>
  <c r="R141" i="39"/>
  <c r="R236" i="39"/>
  <c r="R294" i="39"/>
  <c r="R35" i="39"/>
  <c r="R314" i="39"/>
  <c r="R46" i="39"/>
  <c r="R157" i="39"/>
  <c r="R58" i="39"/>
  <c r="R316" i="39"/>
  <c r="R74" i="39"/>
  <c r="R119" i="39"/>
  <c r="R191" i="39"/>
  <c r="R125" i="39"/>
  <c r="R245" i="39"/>
  <c r="R133" i="39"/>
  <c r="R48" i="39"/>
  <c r="R93" i="39"/>
  <c r="R305" i="39"/>
  <c r="R90" i="39"/>
  <c r="R79" i="39"/>
  <c r="R120" i="39"/>
  <c r="R123" i="39"/>
  <c r="R285" i="39"/>
  <c r="R47" i="39"/>
  <c r="R73" i="39"/>
  <c r="R208" i="39"/>
  <c r="R87" i="39"/>
  <c r="P4" i="39"/>
  <c r="P3" i="39" s="1" a="1"/>
  <c r="P3" i="39" s="1"/>
  <c r="R9" i="39"/>
  <c r="R151" i="39"/>
  <c r="R97" i="39"/>
  <c r="R66" i="39"/>
  <c r="R180" i="39"/>
  <c r="R289" i="39"/>
  <c r="R104" i="39"/>
  <c r="R293" i="39"/>
  <c r="R272" i="39"/>
  <c r="R224" i="39"/>
  <c r="R210" i="39"/>
  <c r="R63" i="39"/>
  <c r="R130" i="39"/>
  <c r="R262" i="39"/>
  <c r="R16" i="39"/>
  <c r="R132" i="39"/>
  <c r="R89" i="39"/>
  <c r="R258" i="39"/>
  <c r="R214" i="39"/>
  <c r="R121" i="39"/>
  <c r="R131" i="39"/>
  <c r="R150" i="39"/>
  <c r="R31" i="39"/>
  <c r="R126" i="39"/>
  <c r="R271" i="39"/>
  <c r="R45" i="39"/>
  <c r="R166" i="39"/>
  <c r="R146" i="39"/>
  <c r="R172" i="39"/>
  <c r="R118" i="39"/>
  <c r="R72" i="39"/>
  <c r="R122" i="39"/>
  <c r="R203" i="39"/>
  <c r="R303" i="39"/>
  <c r="R249" i="39"/>
  <c r="R260" i="39"/>
  <c r="R297" i="39"/>
  <c r="R308" i="39"/>
  <c r="R206" i="39"/>
  <c r="R199" i="39"/>
  <c r="R163" i="39"/>
  <c r="R26" i="39"/>
  <c r="R167" i="39"/>
  <c r="R103" i="39"/>
  <c r="R128" i="39"/>
  <c r="R205" i="39"/>
  <c r="R75" i="39"/>
  <c r="R273" i="39"/>
  <c r="R234" i="39"/>
  <c r="R291" i="39"/>
  <c r="R88" i="39"/>
  <c r="R117" i="39"/>
  <c r="R52" i="39"/>
  <c r="R76" i="39"/>
  <c r="R277" i="39"/>
  <c r="R149" i="39"/>
  <c r="R312" i="39"/>
  <c r="R200" i="39"/>
  <c r="R95" i="39"/>
  <c r="R154" i="39"/>
  <c r="R176" i="39"/>
  <c r="R18" i="39"/>
  <c r="R173" i="39"/>
  <c r="R153" i="39"/>
  <c r="R259" i="39"/>
  <c r="R77" i="39"/>
  <c r="R216" i="39"/>
  <c r="R112" i="39"/>
  <c r="R6" i="39"/>
  <c r="R116" i="39"/>
  <c r="R71" i="39"/>
  <c r="R145" i="39"/>
  <c r="R114" i="39"/>
  <c r="R315" i="39"/>
  <c r="R230" i="39"/>
  <c r="R225" i="39"/>
  <c r="R144" i="39"/>
  <c r="R275" i="39"/>
  <c r="R92" i="39"/>
  <c r="R288" i="39"/>
  <c r="R244" i="39"/>
  <c r="R143" i="39"/>
  <c r="R301" i="39"/>
  <c r="R183" i="39"/>
  <c r="R212" i="39"/>
  <c r="R105" i="39"/>
  <c r="R253" i="39"/>
  <c r="R226" i="39"/>
  <c r="R80" i="39"/>
  <c r="R41" i="39"/>
  <c r="R69" i="39"/>
  <c r="R156" i="39"/>
  <c r="R24" i="39"/>
  <c r="R60" i="39"/>
  <c r="R233" i="39"/>
  <c r="R50" i="39"/>
  <c r="R269" i="39"/>
  <c r="R264" i="39"/>
  <c r="R43" i="39"/>
  <c r="R68" i="39"/>
  <c r="R177" i="39"/>
  <c r="R179" i="39"/>
  <c r="R286" i="39"/>
  <c r="R304" i="39"/>
  <c r="R12" i="39"/>
  <c r="R36" i="39"/>
  <c r="R147" i="39"/>
  <c r="R152" i="39"/>
  <c r="R311" i="39"/>
  <c r="R96" i="39"/>
  <c r="R27" i="39"/>
  <c r="R229" i="39"/>
  <c r="R7" i="39"/>
  <c r="R296" i="39"/>
  <c r="R25" i="39"/>
  <c r="R298" i="39"/>
  <c r="R54" i="39"/>
  <c r="R85" i="39"/>
  <c r="R181" i="39"/>
  <c r="R261" i="39"/>
  <c r="R194" i="39"/>
  <c r="R240" i="39"/>
  <c r="R300" i="39"/>
  <c r="R53" i="39"/>
  <c r="R134" i="39"/>
  <c r="R62" i="39"/>
  <c r="R276" i="39"/>
  <c r="R217" i="39"/>
  <c r="R94" i="39"/>
  <c r="R302" i="39"/>
  <c r="R13" i="39"/>
  <c r="R56" i="39"/>
  <c r="R266" i="39"/>
  <c r="R155" i="39"/>
  <c r="R250" i="39"/>
  <c r="R99" i="39"/>
  <c r="R213" i="39"/>
  <c r="R83" i="39"/>
  <c r="R221" i="39"/>
  <c r="R313" i="39"/>
  <c r="R55" i="39"/>
  <c r="R243" i="39"/>
  <c r="R135" i="39"/>
  <c r="R81" i="39"/>
  <c r="R235" i="39"/>
  <c r="R188" i="39"/>
  <c r="R102" i="39"/>
  <c r="R292" i="39"/>
  <c r="R108" i="39"/>
  <c r="R44" i="39"/>
  <c r="R220" i="39"/>
  <c r="R238" i="39"/>
  <c r="R279" i="39"/>
  <c r="R242" i="39"/>
  <c r="R175" i="39"/>
  <c r="R59" i="39"/>
  <c r="R86" i="39"/>
  <c r="R228" i="39"/>
  <c r="R174" i="39"/>
  <c r="R17" i="39"/>
  <c r="R84" i="39"/>
  <c r="R139" i="39"/>
  <c r="R39" i="39"/>
  <c r="R246" i="39"/>
  <c r="R20" i="39"/>
  <c r="R64" i="39"/>
  <c r="R78" i="39"/>
  <c r="R215" i="39"/>
  <c r="R239" i="39"/>
  <c r="R148" i="39"/>
  <c r="R268" i="39"/>
  <c r="R11" i="39"/>
  <c r="R70" i="39"/>
  <c r="R263" i="39"/>
  <c r="R193" i="39"/>
  <c r="R197" i="39"/>
  <c r="R161" i="39"/>
  <c r="R14" i="39"/>
  <c r="R270" i="39"/>
  <c r="R162" i="39"/>
  <c r="R247" i="39"/>
  <c r="R106" i="39"/>
  <c r="R30" i="39"/>
  <c r="R113" i="39"/>
  <c r="R23" i="39"/>
  <c r="R111" i="39"/>
  <c r="R223" i="39"/>
  <c r="R295" i="39"/>
  <c r="R198" i="39"/>
  <c r="R284" i="39"/>
  <c r="R202" i="39"/>
  <c r="R204" i="39"/>
  <c r="R98" i="39"/>
  <c r="R185" i="39"/>
  <c r="R251" i="39"/>
  <c r="R227" i="39"/>
  <c r="R28" i="39"/>
  <c r="R165" i="39"/>
  <c r="R40" i="39"/>
  <c r="R34" i="39"/>
  <c r="R38" i="39"/>
  <c r="R290" i="39"/>
  <c r="R8" i="39"/>
  <c r="R136" i="39"/>
  <c r="R232" i="39"/>
  <c r="R107" i="39"/>
  <c r="R15" i="39"/>
  <c r="R254" i="39"/>
  <c r="R282" i="39"/>
  <c r="R33" i="39"/>
  <c r="R311" i="38"/>
  <c r="R267" i="38"/>
  <c r="R161" i="38"/>
  <c r="R60" i="38"/>
  <c r="R287" i="38"/>
  <c r="R206" i="38"/>
  <c r="R248" i="38"/>
  <c r="R199" i="38"/>
  <c r="R263" i="38"/>
  <c r="R250" i="38"/>
  <c r="R306" i="38"/>
  <c r="R52" i="38"/>
  <c r="R216" i="38"/>
  <c r="R232" i="38"/>
  <c r="R260" i="38"/>
  <c r="R186" i="38"/>
  <c r="R249" i="38"/>
  <c r="R282" i="38"/>
  <c r="R67" i="38"/>
  <c r="R154" i="38"/>
  <c r="R268" i="38"/>
  <c r="R70" i="38"/>
  <c r="R113" i="38"/>
  <c r="R23" i="38"/>
  <c r="R236" i="38"/>
  <c r="R130" i="38"/>
  <c r="R298" i="38"/>
  <c r="R272" i="38"/>
  <c r="R253" i="38"/>
  <c r="R149" i="38"/>
  <c r="R120" i="38"/>
  <c r="R43" i="38"/>
  <c r="R111" i="38"/>
  <c r="R40" i="38"/>
  <c r="R193" i="38"/>
  <c r="R6" i="38"/>
  <c r="R55" i="38"/>
  <c r="R90" i="38"/>
  <c r="R303" i="38"/>
  <c r="R21" i="38"/>
  <c r="R14" i="38"/>
  <c r="R246" i="38"/>
  <c r="R300" i="38"/>
  <c r="R188" i="38"/>
  <c r="R185" i="38"/>
  <c r="R119" i="38"/>
  <c r="R65" i="38"/>
  <c r="R209" i="38"/>
  <c r="R50" i="38"/>
  <c r="R222" i="38"/>
  <c r="R117" i="38"/>
  <c r="R302" i="38"/>
  <c r="R54" i="38"/>
  <c r="R189" i="38"/>
  <c r="R266" i="38"/>
  <c r="R314" i="38"/>
  <c r="R284" i="38"/>
  <c r="R156" i="38"/>
  <c r="R8" i="38"/>
  <c r="R32" i="38"/>
  <c r="R256" i="38"/>
  <c r="R202" i="38"/>
  <c r="R227" i="38"/>
  <c r="R258" i="38"/>
  <c r="R197" i="38"/>
  <c r="R233" i="38"/>
  <c r="R178" i="38"/>
  <c r="R106" i="38"/>
  <c r="R71" i="38"/>
  <c r="R313" i="38"/>
  <c r="R219" i="38"/>
  <c r="R69" i="38"/>
  <c r="R274" i="38"/>
  <c r="R128" i="38"/>
  <c r="R312" i="38"/>
  <c r="R105" i="38"/>
  <c r="R80" i="38"/>
  <c r="R34" i="38"/>
  <c r="R262" i="38"/>
  <c r="R294" i="38"/>
  <c r="R278" i="38"/>
  <c r="R280" i="38"/>
  <c r="P4" i="38"/>
  <c r="P3" i="38" s="1" a="1"/>
  <c r="P3" i="38" s="1"/>
  <c r="R301" i="38"/>
  <c r="R74" i="38"/>
  <c r="R259" i="38"/>
  <c r="R64" i="38"/>
  <c r="R190" i="38"/>
  <c r="R225" i="38"/>
  <c r="R283" i="38"/>
  <c r="R118" i="38"/>
  <c r="R95" i="38"/>
  <c r="R101" i="38"/>
  <c r="R53" i="38"/>
  <c r="R116" i="38"/>
  <c r="R207" i="38"/>
  <c r="R12" i="38"/>
  <c r="R109" i="38"/>
  <c r="R141" i="38"/>
  <c r="R49" i="38"/>
  <c r="R254" i="38"/>
  <c r="R296" i="38"/>
  <c r="R148" i="38"/>
  <c r="R72" i="38"/>
  <c r="R139" i="38"/>
  <c r="R13" i="38"/>
  <c r="R150" i="38"/>
  <c r="R26" i="38"/>
  <c r="R22" i="38"/>
  <c r="R264" i="38"/>
  <c r="R309" i="38"/>
  <c r="R57" i="38"/>
  <c r="R96" i="38"/>
  <c r="R138" i="38"/>
  <c r="R78" i="38"/>
  <c r="R42" i="38"/>
  <c r="R245" i="38"/>
  <c r="R81" i="38"/>
  <c r="R7" i="38"/>
  <c r="R252" i="38"/>
  <c r="R36" i="38"/>
  <c r="R146" i="38"/>
  <c r="R194" i="38"/>
  <c r="R86" i="38"/>
  <c r="R153" i="38"/>
  <c r="R33" i="38"/>
  <c r="R166" i="38"/>
  <c r="R48" i="38"/>
  <c r="R82" i="38"/>
  <c r="R195" i="38"/>
  <c r="R123" i="38"/>
  <c r="R277" i="38"/>
  <c r="R107" i="38"/>
  <c r="R135" i="38"/>
  <c r="R144" i="38"/>
  <c r="R75" i="38"/>
  <c r="R151" i="38"/>
  <c r="R35" i="38"/>
  <c r="R25" i="38"/>
  <c r="R131" i="38"/>
  <c r="R243" i="38"/>
  <c r="R310" i="38"/>
  <c r="R238" i="38"/>
  <c r="R152" i="38"/>
  <c r="R213" i="38"/>
  <c r="R85" i="38"/>
  <c r="R307" i="38"/>
  <c r="R133" i="38"/>
  <c r="R179" i="38"/>
  <c r="R261" i="38"/>
  <c r="R68" i="38"/>
  <c r="R265" i="38"/>
  <c r="R299" i="38"/>
  <c r="R94" i="38"/>
  <c r="R163" i="38"/>
  <c r="R66" i="38"/>
  <c r="R237" i="38"/>
  <c r="R176" i="38"/>
  <c r="R157" i="38"/>
  <c r="R257" i="38"/>
  <c r="R143" i="38"/>
  <c r="R242" i="38"/>
  <c r="R16" i="38"/>
  <c r="R19" i="38"/>
  <c r="R97" i="38"/>
  <c r="R218" i="38"/>
  <c r="R182" i="38"/>
  <c r="R165" i="38"/>
  <c r="R46" i="38"/>
  <c r="R28" i="38"/>
  <c r="R230" i="38"/>
  <c r="R308" i="38"/>
  <c r="R76" i="38"/>
  <c r="R183" i="38"/>
  <c r="R201" i="38"/>
  <c r="R100" i="38"/>
  <c r="R172" i="38"/>
  <c r="R168" i="38"/>
  <c r="R305" i="38"/>
  <c r="R275" i="38"/>
  <c r="R316" i="38"/>
  <c r="R235" i="38"/>
  <c r="R83" i="38"/>
  <c r="R38" i="38"/>
  <c r="R293" i="38"/>
  <c r="R61" i="38"/>
  <c r="R175" i="38"/>
  <c r="R276" i="38"/>
  <c r="R15" i="38"/>
  <c r="R180" i="38"/>
  <c r="R285" i="38"/>
  <c r="R291" i="38"/>
  <c r="R63" i="38"/>
  <c r="R164" i="38"/>
  <c r="R173" i="38"/>
  <c r="R177" i="38"/>
  <c r="R27" i="38"/>
  <c r="R93" i="38"/>
  <c r="R191" i="38"/>
  <c r="R215" i="38"/>
  <c r="R241" i="38"/>
  <c r="R221" i="38"/>
  <c r="R269" i="38"/>
  <c r="R162" i="38"/>
  <c r="R84" i="38"/>
  <c r="R115" i="38"/>
  <c r="R226" i="38"/>
  <c r="R273" i="38"/>
  <c r="R127" i="38"/>
  <c r="R142" i="38"/>
  <c r="R140" i="38"/>
  <c r="R181" i="38"/>
  <c r="R304" i="38"/>
  <c r="R108" i="38"/>
  <c r="R124" i="38"/>
  <c r="R292" i="38"/>
  <c r="R134" i="38"/>
  <c r="R18" i="38"/>
  <c r="R205" i="38"/>
  <c r="R297" i="38"/>
  <c r="R220" i="38"/>
  <c r="R129" i="38"/>
  <c r="R155" i="38"/>
  <c r="R29" i="38"/>
  <c r="R47" i="38"/>
  <c r="R24" i="38"/>
  <c r="R290" i="38"/>
  <c r="R224" i="38"/>
  <c r="R244" i="38"/>
  <c r="R121" i="38"/>
  <c r="R98" i="38"/>
  <c r="R217" i="38"/>
  <c r="R11" i="38"/>
  <c r="R132" i="38"/>
  <c r="R110" i="38"/>
  <c r="R73" i="38"/>
  <c r="R158" i="38"/>
  <c r="R214" i="38"/>
  <c r="R20" i="38"/>
  <c r="R122" i="38"/>
  <c r="R192" i="38"/>
  <c r="R92" i="38"/>
  <c r="R171" i="38"/>
  <c r="R56" i="38"/>
  <c r="R204" i="38"/>
  <c r="R169" i="38"/>
  <c r="R223" i="38"/>
  <c r="R210" i="38"/>
  <c r="R212" i="38"/>
  <c r="R77" i="38"/>
  <c r="R145" i="38"/>
  <c r="R200" i="38"/>
  <c r="R37" i="38"/>
  <c r="R103" i="38"/>
  <c r="R289" i="38"/>
  <c r="R295" i="38"/>
  <c r="R208" i="38"/>
  <c r="R104" i="38"/>
  <c r="R114" i="38"/>
  <c r="R196" i="38"/>
  <c r="R147" i="38"/>
  <c r="R79" i="38"/>
  <c r="R174" i="38"/>
  <c r="R102" i="38"/>
  <c r="R88" i="38"/>
  <c r="R126" i="38"/>
  <c r="R255" i="38"/>
  <c r="R62" i="38"/>
  <c r="R30" i="38"/>
  <c r="R288" i="38"/>
  <c r="R315" i="38"/>
  <c r="R286" i="38"/>
  <c r="R228" i="38"/>
  <c r="R9" i="38"/>
  <c r="R231" i="38"/>
  <c r="R229" i="38"/>
  <c r="R91" i="38"/>
  <c r="R251" i="38"/>
  <c r="R51" i="38"/>
  <c r="R44" i="38"/>
  <c r="R99" i="38"/>
  <c r="R39" i="38"/>
  <c r="R279" i="38"/>
  <c r="R240" i="38"/>
  <c r="R136" i="38"/>
  <c r="R184" i="38"/>
  <c r="R41" i="38"/>
  <c r="R167" i="38"/>
  <c r="R187" i="38"/>
  <c r="R247" i="38"/>
  <c r="R87" i="38"/>
  <c r="R170" i="38"/>
  <c r="R198" i="38"/>
  <c r="R58" i="38"/>
  <c r="R59" i="38"/>
  <c r="R203" i="38"/>
  <c r="R89" i="38"/>
  <c r="R234" i="38"/>
  <c r="R17" i="38"/>
  <c r="R281" i="38"/>
  <c r="R159" i="38"/>
  <c r="R271" i="38"/>
  <c r="R10" i="38"/>
  <c r="R160" i="38"/>
  <c r="R270" i="38"/>
  <c r="R112" i="38"/>
  <c r="R211" i="38"/>
  <c r="R31" i="38"/>
  <c r="R5" i="38"/>
  <c r="R125" i="38"/>
  <c r="R137" i="38"/>
  <c r="R239" i="38"/>
  <c r="R45" i="38"/>
  <c r="P4" i="37"/>
  <c r="O301" i="37"/>
  <c r="P301" i="37" s="1"/>
  <c r="Q301" i="37" s="1"/>
  <c r="O220" i="37"/>
  <c r="P220" i="37" s="1"/>
  <c r="Q220" i="37" s="1"/>
  <c r="O50" i="37"/>
  <c r="P50" i="37" s="1"/>
  <c r="Q50" i="37" s="1"/>
  <c r="O216" i="37"/>
  <c r="P216" i="37" s="1"/>
  <c r="Q216" i="37" s="1"/>
  <c r="O198" i="37"/>
  <c r="P198" i="37" s="1"/>
  <c r="Q198" i="37" s="1"/>
  <c r="O60" i="37"/>
  <c r="P60" i="37" s="1"/>
  <c r="Q60" i="37" s="1"/>
  <c r="O46" i="37"/>
  <c r="P46" i="37" s="1"/>
  <c r="Q46" i="37" s="1"/>
  <c r="O147" i="37"/>
  <c r="P147" i="37" s="1"/>
  <c r="Q147" i="37" s="1"/>
  <c r="O249" i="37"/>
  <c r="P249" i="37" s="1"/>
  <c r="Q249" i="37" s="1"/>
  <c r="O199" i="37"/>
  <c r="P199" i="37" s="1"/>
  <c r="Q199" i="37" s="1"/>
  <c r="O306" i="37"/>
  <c r="P306" i="37" s="1"/>
  <c r="Q306" i="37" s="1"/>
  <c r="O7" i="37"/>
  <c r="P7" i="37" s="1"/>
  <c r="Q7" i="37" s="1"/>
  <c r="O144" i="37"/>
  <c r="P144" i="37" s="1"/>
  <c r="Q144" i="37" s="1"/>
  <c r="O141" i="37"/>
  <c r="P141" i="37" s="1"/>
  <c r="Q141" i="37" s="1"/>
  <c r="O183" i="37"/>
  <c r="P183" i="37" s="1"/>
  <c r="Q183" i="37" s="1"/>
  <c r="O208" i="37"/>
  <c r="P208" i="37" s="1"/>
  <c r="Q208" i="37" s="1"/>
  <c r="O69" i="37"/>
  <c r="P69" i="37" s="1"/>
  <c r="Q69" i="37" s="1"/>
  <c r="O44" i="37"/>
  <c r="P44" i="37" s="1"/>
  <c r="Q44" i="37" s="1"/>
  <c r="O233" i="37"/>
  <c r="P233" i="37" s="1"/>
  <c r="Q233" i="37" s="1"/>
  <c r="O137" i="37"/>
  <c r="P137" i="37" s="1"/>
  <c r="Q137" i="37" s="1"/>
  <c r="O127" i="37"/>
  <c r="P127" i="37" s="1"/>
  <c r="Q127" i="37" s="1"/>
  <c r="O205" i="37"/>
  <c r="P205" i="37" s="1"/>
  <c r="Q205" i="37" s="1"/>
  <c r="O235" i="37"/>
  <c r="P235" i="37" s="1"/>
  <c r="Q235" i="37" s="1"/>
  <c r="O122" i="37"/>
  <c r="P122" i="37" s="1"/>
  <c r="Q122" i="37" s="1"/>
  <c r="O194" i="37"/>
  <c r="P194" i="37" s="1"/>
  <c r="Q194" i="37" s="1"/>
  <c r="O10" i="37"/>
  <c r="P10" i="37" s="1"/>
  <c r="Q10" i="37" s="1"/>
  <c r="O258" i="37"/>
  <c r="P258" i="37" s="1"/>
  <c r="Q258" i="37" s="1"/>
  <c r="O129" i="37"/>
  <c r="P129" i="37" s="1"/>
  <c r="Q129" i="37" s="1"/>
  <c r="O109" i="37"/>
  <c r="P109" i="37" s="1"/>
  <c r="Q109" i="37" s="1"/>
  <c r="O242" i="37"/>
  <c r="P242" i="37" s="1"/>
  <c r="Q242" i="37" s="1"/>
  <c r="O231" i="37"/>
  <c r="P231" i="37" s="1"/>
  <c r="Q231" i="37" s="1"/>
  <c r="O192" i="37"/>
  <c r="P192" i="37" s="1"/>
  <c r="Q192" i="37" s="1"/>
  <c r="O72" i="37"/>
  <c r="P72" i="37" s="1"/>
  <c r="Q72" i="37" s="1"/>
  <c r="O213" i="37"/>
  <c r="P213" i="37" s="1"/>
  <c r="Q213" i="37" s="1"/>
  <c r="O212" i="37"/>
  <c r="P212" i="37" s="1"/>
  <c r="Q212" i="37" s="1"/>
  <c r="O234" i="37"/>
  <c r="P234" i="37" s="1"/>
  <c r="Q234" i="37" s="1"/>
  <c r="O288" i="37"/>
  <c r="P288" i="37" s="1"/>
  <c r="Q288" i="37" s="1"/>
  <c r="O102" i="37"/>
  <c r="P102" i="37" s="1"/>
  <c r="Q102" i="37" s="1"/>
  <c r="O158" i="37"/>
  <c r="P158" i="37" s="1"/>
  <c r="Q158" i="37" s="1"/>
  <c r="O229" i="37"/>
  <c r="P229" i="37" s="1"/>
  <c r="Q229" i="37" s="1"/>
  <c r="O302" i="37"/>
  <c r="P302" i="37" s="1"/>
  <c r="Q302" i="37" s="1"/>
  <c r="O17" i="37"/>
  <c r="P17" i="37" s="1"/>
  <c r="Q17" i="37" s="1"/>
  <c r="O265" i="37"/>
  <c r="P265" i="37" s="1"/>
  <c r="Q265" i="37" s="1"/>
  <c r="O223" i="37"/>
  <c r="P223" i="37" s="1"/>
  <c r="Q223" i="37" s="1"/>
  <c r="O90" i="37"/>
  <c r="P90" i="37" s="1"/>
  <c r="Q90" i="37" s="1"/>
  <c r="O66" i="37"/>
  <c r="P66" i="37" s="1"/>
  <c r="Q66" i="37" s="1"/>
  <c r="O290" i="37"/>
  <c r="P290" i="37" s="1"/>
  <c r="Q290" i="37" s="1"/>
  <c r="O255" i="37"/>
  <c r="P255" i="37" s="1"/>
  <c r="Q255" i="37" s="1"/>
  <c r="O308" i="37"/>
  <c r="P308" i="37" s="1"/>
  <c r="Q308" i="37" s="1"/>
  <c r="O224" i="37"/>
  <c r="P224" i="37" s="1"/>
  <c r="Q224" i="37" s="1"/>
  <c r="O101" i="37"/>
  <c r="P101" i="37" s="1"/>
  <c r="Q101" i="37" s="1"/>
  <c r="O312" i="37"/>
  <c r="P312" i="37" s="1"/>
  <c r="Q312" i="37" s="1"/>
  <c r="O20" i="37"/>
  <c r="P20" i="37" s="1"/>
  <c r="Q20" i="37" s="1"/>
  <c r="O239" i="37"/>
  <c r="P239" i="37" s="1"/>
  <c r="Q239" i="37" s="1"/>
  <c r="O40" i="37"/>
  <c r="P40" i="37" s="1"/>
  <c r="Q40" i="37" s="1"/>
  <c r="O16" i="37"/>
  <c r="P16" i="37" s="1"/>
  <c r="Q16" i="37" s="1"/>
  <c r="O195" i="37"/>
  <c r="P195" i="37" s="1"/>
  <c r="Q195" i="37" s="1"/>
  <c r="O6" i="37"/>
  <c r="P6" i="37" s="1"/>
  <c r="Q6" i="37" s="1"/>
  <c r="O91" i="37"/>
  <c r="P91" i="37" s="1"/>
  <c r="Q91" i="37" s="1"/>
  <c r="O226" i="37"/>
  <c r="P226" i="37" s="1"/>
  <c r="Q226" i="37" s="1"/>
  <c r="O193" i="37"/>
  <c r="P193" i="37" s="1"/>
  <c r="Q193" i="37" s="1"/>
  <c r="O140" i="37"/>
  <c r="P140" i="37" s="1"/>
  <c r="Q140" i="37" s="1"/>
  <c r="O164" i="37"/>
  <c r="P164" i="37" s="1"/>
  <c r="Q164" i="37" s="1"/>
  <c r="O165" i="37"/>
  <c r="P165" i="37" s="1"/>
  <c r="Q165" i="37" s="1"/>
  <c r="O121" i="37"/>
  <c r="P121" i="37" s="1"/>
  <c r="Q121" i="37" s="1"/>
  <c r="O162" i="37"/>
  <c r="P162" i="37" s="1"/>
  <c r="Q162" i="37" s="1"/>
  <c r="O136" i="37"/>
  <c r="P136" i="37" s="1"/>
  <c r="Q136" i="37" s="1"/>
  <c r="O188" i="37"/>
  <c r="P188" i="37" s="1"/>
  <c r="Q188" i="37" s="1"/>
  <c r="O61" i="37"/>
  <c r="P61" i="37" s="1"/>
  <c r="Q61" i="37" s="1"/>
  <c r="O82" i="37"/>
  <c r="P82" i="37" s="1"/>
  <c r="Q82" i="37" s="1"/>
  <c r="O56" i="37"/>
  <c r="P56" i="37" s="1"/>
  <c r="Q56" i="37" s="1"/>
  <c r="O130" i="37"/>
  <c r="P130" i="37" s="1"/>
  <c r="Q130" i="37" s="1"/>
  <c r="O236" i="37"/>
  <c r="P236" i="37" s="1"/>
  <c r="Q236" i="37" s="1"/>
  <c r="O106" i="37"/>
  <c r="P106" i="37" s="1"/>
  <c r="Q106" i="37" s="1"/>
  <c r="O25" i="37"/>
  <c r="P25" i="37" s="1"/>
  <c r="Q25" i="37" s="1"/>
  <c r="O23" i="37"/>
  <c r="P23" i="37" s="1"/>
  <c r="Q23" i="37" s="1"/>
  <c r="O88" i="37"/>
  <c r="P88" i="37" s="1"/>
  <c r="Q88" i="37" s="1"/>
  <c r="O63" i="37"/>
  <c r="P63" i="37" s="1"/>
  <c r="Q63" i="37" s="1"/>
  <c r="O112" i="37"/>
  <c r="P112" i="37" s="1"/>
  <c r="Q112" i="37" s="1"/>
  <c r="O202" i="37"/>
  <c r="P202" i="37" s="1"/>
  <c r="Q202" i="37" s="1"/>
  <c r="O53" i="37"/>
  <c r="P53" i="37" s="1"/>
  <c r="Q53" i="37" s="1"/>
  <c r="O86" i="37"/>
  <c r="P86" i="37" s="1"/>
  <c r="Q86" i="37" s="1"/>
  <c r="O274" i="37"/>
  <c r="P274" i="37" s="1"/>
  <c r="Q274" i="37" s="1"/>
  <c r="O83" i="37"/>
  <c r="P83" i="37" s="1"/>
  <c r="Q83" i="37" s="1"/>
  <c r="O178" i="37"/>
  <c r="P178" i="37" s="1"/>
  <c r="Q178" i="37" s="1"/>
  <c r="O135" i="37"/>
  <c r="P135" i="37" s="1"/>
  <c r="Q135" i="37" s="1"/>
  <c r="O120" i="37"/>
  <c r="P120" i="37" s="1"/>
  <c r="Q120" i="37" s="1"/>
  <c r="O13" i="37"/>
  <c r="P13" i="37" s="1"/>
  <c r="Q13" i="37" s="1"/>
  <c r="O124" i="37"/>
  <c r="P124" i="37" s="1"/>
  <c r="Q124" i="37" s="1"/>
  <c r="O304" i="37"/>
  <c r="P304" i="37" s="1"/>
  <c r="Q304" i="37" s="1"/>
  <c r="O24" i="37"/>
  <c r="P24" i="37" s="1"/>
  <c r="Q24" i="37" s="1"/>
  <c r="O189" i="37"/>
  <c r="P189" i="37" s="1"/>
  <c r="Q189" i="37" s="1"/>
  <c r="O89" i="37"/>
  <c r="P89" i="37" s="1"/>
  <c r="Q89" i="37" s="1"/>
  <c r="O87" i="37"/>
  <c r="P87" i="37" s="1"/>
  <c r="Q87" i="37" s="1"/>
  <c r="O93" i="37"/>
  <c r="P93" i="37" s="1"/>
  <c r="Q93" i="37" s="1"/>
  <c r="O166" i="37"/>
  <c r="P166" i="37" s="1"/>
  <c r="Q166" i="37" s="1"/>
  <c r="O45" i="37"/>
  <c r="P45" i="37" s="1"/>
  <c r="Q45" i="37" s="1"/>
  <c r="O79" i="37"/>
  <c r="P79" i="37" s="1"/>
  <c r="Q79" i="37" s="1"/>
  <c r="O43" i="37"/>
  <c r="P43" i="37" s="1"/>
  <c r="Q43" i="37" s="1"/>
  <c r="O259" i="37"/>
  <c r="P259" i="37" s="1"/>
  <c r="Q259" i="37" s="1"/>
  <c r="O139" i="37"/>
  <c r="P139" i="37" s="1"/>
  <c r="Q139" i="37" s="1"/>
  <c r="O299" i="37"/>
  <c r="P299" i="37" s="1"/>
  <c r="Q299" i="37" s="1"/>
  <c r="O277" i="37"/>
  <c r="P277" i="37" s="1"/>
  <c r="Q277" i="37" s="1"/>
  <c r="O163" i="37"/>
  <c r="P163" i="37" s="1"/>
  <c r="Q163" i="37" s="1"/>
  <c r="O37" i="37"/>
  <c r="P37" i="37" s="1"/>
  <c r="Q37" i="37" s="1"/>
  <c r="O34" i="37"/>
  <c r="P34" i="37" s="1"/>
  <c r="Q34" i="37" s="1"/>
  <c r="O263" i="37"/>
  <c r="P263" i="37" s="1"/>
  <c r="Q263" i="37" s="1"/>
  <c r="O253" i="37"/>
  <c r="P253" i="37" s="1"/>
  <c r="Q253" i="37" s="1"/>
  <c r="O84" i="37"/>
  <c r="P84" i="37" s="1"/>
  <c r="Q84" i="37" s="1"/>
  <c r="O257" i="37"/>
  <c r="P257" i="37" s="1"/>
  <c r="Q257" i="37" s="1"/>
  <c r="O118" i="37"/>
  <c r="P118" i="37" s="1"/>
  <c r="Q118" i="37" s="1"/>
  <c r="O128" i="37"/>
  <c r="P128" i="37" s="1"/>
  <c r="Q128" i="37" s="1"/>
  <c r="O99" i="37"/>
  <c r="P99" i="37" s="1"/>
  <c r="Q99" i="37" s="1"/>
  <c r="O116" i="37"/>
  <c r="P116" i="37" s="1"/>
  <c r="Q116" i="37" s="1"/>
  <c r="O155" i="37"/>
  <c r="P155" i="37" s="1"/>
  <c r="Q155" i="37" s="1"/>
  <c r="O281" i="37"/>
  <c r="P281" i="37" s="1"/>
  <c r="Q281" i="37" s="1"/>
  <c r="O245" i="37"/>
  <c r="P245" i="37" s="1"/>
  <c r="Q245" i="37" s="1"/>
  <c r="O214" i="37"/>
  <c r="P214" i="37" s="1"/>
  <c r="Q214" i="37" s="1"/>
  <c r="O31" i="37"/>
  <c r="P31" i="37" s="1"/>
  <c r="Q31" i="37" s="1"/>
  <c r="O19" i="37"/>
  <c r="P19" i="37" s="1"/>
  <c r="Q19" i="37" s="1"/>
  <c r="O78" i="37"/>
  <c r="P78" i="37" s="1"/>
  <c r="Q78" i="37" s="1"/>
  <c r="O305" i="37"/>
  <c r="P305" i="37" s="1"/>
  <c r="Q305" i="37" s="1"/>
  <c r="O177" i="37"/>
  <c r="P177" i="37" s="1"/>
  <c r="Q177" i="37" s="1"/>
  <c r="O110" i="37"/>
  <c r="P110" i="37" s="1"/>
  <c r="Q110" i="37" s="1"/>
  <c r="O14" i="37"/>
  <c r="P14" i="37" s="1"/>
  <c r="Q14" i="37" s="1"/>
  <c r="O170" i="37"/>
  <c r="P170" i="37" s="1"/>
  <c r="Q170" i="37" s="1"/>
  <c r="O252" i="37"/>
  <c r="P252" i="37" s="1"/>
  <c r="Q252" i="37" s="1"/>
  <c r="O161" i="37"/>
  <c r="P161" i="37" s="1"/>
  <c r="Q161" i="37" s="1"/>
  <c r="O152" i="37"/>
  <c r="P152" i="37" s="1"/>
  <c r="Q152" i="37" s="1"/>
  <c r="O65" i="37"/>
  <c r="P65" i="37" s="1"/>
  <c r="Q65" i="37" s="1"/>
  <c r="O15" i="37"/>
  <c r="P15" i="37" s="1"/>
  <c r="Q15" i="37" s="1"/>
  <c r="O289" i="37"/>
  <c r="P289" i="37" s="1"/>
  <c r="Q289" i="37" s="1"/>
  <c r="O55" i="37"/>
  <c r="P55" i="37" s="1"/>
  <c r="Q55" i="37" s="1"/>
  <c r="O256" i="37"/>
  <c r="P256" i="37" s="1"/>
  <c r="Q256" i="37" s="1"/>
  <c r="O200" i="37"/>
  <c r="P200" i="37" s="1"/>
  <c r="Q200" i="37" s="1"/>
  <c r="O74" i="37"/>
  <c r="P74" i="37" s="1"/>
  <c r="Q74" i="37" s="1"/>
  <c r="O174" i="37"/>
  <c r="P174" i="37" s="1"/>
  <c r="Q174" i="37" s="1"/>
  <c r="O62" i="37"/>
  <c r="P62" i="37" s="1"/>
  <c r="Q62" i="37" s="1"/>
  <c r="O270" i="37"/>
  <c r="P270" i="37" s="1"/>
  <c r="Q270" i="37" s="1"/>
  <c r="O244" i="37"/>
  <c r="P244" i="37" s="1"/>
  <c r="Q244" i="37" s="1"/>
  <c r="O279" i="37"/>
  <c r="P279" i="37" s="1"/>
  <c r="Q279" i="37" s="1"/>
  <c r="O41" i="37"/>
  <c r="P41" i="37" s="1"/>
  <c r="Q41" i="37" s="1"/>
  <c r="O113" i="37"/>
  <c r="P113" i="37" s="1"/>
  <c r="Q113" i="37" s="1"/>
  <c r="O153" i="37"/>
  <c r="P153" i="37" s="1"/>
  <c r="Q153" i="37" s="1"/>
  <c r="O310" i="37"/>
  <c r="P310" i="37" s="1"/>
  <c r="Q310" i="37" s="1"/>
  <c r="O313" i="37"/>
  <c r="P313" i="37" s="1"/>
  <c r="Q313" i="37" s="1"/>
  <c r="O297" i="37"/>
  <c r="P297" i="37" s="1"/>
  <c r="Q297" i="37" s="1"/>
  <c r="O294" i="37"/>
  <c r="P294" i="37" s="1"/>
  <c r="Q294" i="37" s="1"/>
  <c r="O278" i="37"/>
  <c r="P278" i="37" s="1"/>
  <c r="Q278" i="37" s="1"/>
  <c r="O96" i="37"/>
  <c r="P96" i="37" s="1"/>
  <c r="Q96" i="37" s="1"/>
  <c r="O246" i="37"/>
  <c r="P246" i="37" s="1"/>
  <c r="Q246" i="37" s="1"/>
  <c r="O217" i="37"/>
  <c r="P217" i="37" s="1"/>
  <c r="Q217" i="37" s="1"/>
  <c r="O181" i="37"/>
  <c r="P181" i="37" s="1"/>
  <c r="Q181" i="37" s="1"/>
  <c r="O264" i="37"/>
  <c r="P264" i="37" s="1"/>
  <c r="Q264" i="37" s="1"/>
  <c r="O70" i="37"/>
  <c r="P70" i="37" s="1"/>
  <c r="Q70" i="37" s="1"/>
  <c r="O307" i="37"/>
  <c r="P307" i="37" s="1"/>
  <c r="Q307" i="37" s="1"/>
  <c r="O268" i="37"/>
  <c r="P268" i="37" s="1"/>
  <c r="Q268" i="37" s="1"/>
  <c r="O172" i="37"/>
  <c r="P172" i="37" s="1"/>
  <c r="Q172" i="37" s="1"/>
  <c r="O300" i="37"/>
  <c r="P300" i="37" s="1"/>
  <c r="Q300" i="37" s="1"/>
  <c r="O75" i="37"/>
  <c r="P75" i="37" s="1"/>
  <c r="Q75" i="37" s="1"/>
  <c r="O251" i="37"/>
  <c r="P251" i="37" s="1"/>
  <c r="Q251" i="37" s="1"/>
  <c r="O160" i="37"/>
  <c r="P160" i="37" s="1"/>
  <c r="Q160" i="37" s="1"/>
  <c r="O47" i="37"/>
  <c r="P47" i="37" s="1"/>
  <c r="Q47" i="37" s="1"/>
  <c r="O117" i="37"/>
  <c r="P117" i="37" s="1"/>
  <c r="Q117" i="37" s="1"/>
  <c r="O169" i="37"/>
  <c r="P169" i="37" s="1"/>
  <c r="Q169" i="37" s="1"/>
  <c r="O228" i="37"/>
  <c r="P228" i="37" s="1"/>
  <c r="Q228" i="37" s="1"/>
  <c r="O39" i="37"/>
  <c r="P39" i="37" s="1"/>
  <c r="Q39" i="37" s="1"/>
  <c r="O85" i="37"/>
  <c r="P85" i="37" s="1"/>
  <c r="Q85" i="37" s="1"/>
  <c r="O296" i="37"/>
  <c r="P296" i="37" s="1"/>
  <c r="Q296" i="37" s="1"/>
  <c r="O219" i="37"/>
  <c r="P219" i="37" s="1"/>
  <c r="Q219" i="37" s="1"/>
  <c r="O232" i="37"/>
  <c r="P232" i="37" s="1"/>
  <c r="Q232" i="37" s="1"/>
  <c r="O33" i="37"/>
  <c r="P33" i="37" s="1"/>
  <c r="Q33" i="37" s="1"/>
  <c r="O292" i="37"/>
  <c r="P292" i="37" s="1"/>
  <c r="Q292" i="37" s="1"/>
  <c r="O291" i="37"/>
  <c r="P291" i="37" s="1"/>
  <c r="Q291" i="37" s="1"/>
  <c r="O227" i="37"/>
  <c r="P227" i="37" s="1"/>
  <c r="Q227" i="37" s="1"/>
  <c r="O18" i="37"/>
  <c r="P18" i="37" s="1"/>
  <c r="Q18" i="37" s="1"/>
  <c r="O154" i="37"/>
  <c r="P154" i="37" s="1"/>
  <c r="Q154" i="37" s="1"/>
  <c r="O133" i="37"/>
  <c r="P133" i="37" s="1"/>
  <c r="Q133" i="37" s="1"/>
  <c r="O204" i="37"/>
  <c r="P204" i="37" s="1"/>
  <c r="Q204" i="37" s="1"/>
  <c r="O142" i="37"/>
  <c r="P142" i="37" s="1"/>
  <c r="Q142" i="37" s="1"/>
  <c r="O94" i="37"/>
  <c r="P94" i="37" s="1"/>
  <c r="Q94" i="37" s="1"/>
  <c r="O138" i="37"/>
  <c r="P138" i="37" s="1"/>
  <c r="Q138" i="37" s="1"/>
  <c r="O171" i="37"/>
  <c r="P171" i="37" s="1"/>
  <c r="Q171" i="37" s="1"/>
  <c r="O38" i="37"/>
  <c r="P38" i="37" s="1"/>
  <c r="Q38" i="37" s="1"/>
  <c r="O156" i="37"/>
  <c r="P156" i="37" s="1"/>
  <c r="Q156" i="37" s="1"/>
  <c r="O9" i="37"/>
  <c r="P9" i="37" s="1"/>
  <c r="Q9" i="37" s="1"/>
  <c r="O175" i="37"/>
  <c r="P175" i="37" s="1"/>
  <c r="Q175" i="37" s="1"/>
  <c r="O131" i="37"/>
  <c r="P131" i="37" s="1"/>
  <c r="Q131" i="37" s="1"/>
  <c r="O182" i="37"/>
  <c r="P182" i="37" s="1"/>
  <c r="Q182" i="37" s="1"/>
  <c r="O52" i="37"/>
  <c r="P52" i="37" s="1"/>
  <c r="Q52" i="37" s="1"/>
  <c r="O215" i="37"/>
  <c r="P215" i="37" s="1"/>
  <c r="Q215" i="37" s="1"/>
  <c r="O35" i="37"/>
  <c r="P35" i="37" s="1"/>
  <c r="Q35" i="37" s="1"/>
  <c r="O295" i="37"/>
  <c r="P295" i="37" s="1"/>
  <c r="Q295" i="37" s="1"/>
  <c r="O51" i="37"/>
  <c r="P51" i="37" s="1"/>
  <c r="Q51" i="37" s="1"/>
  <c r="O311" i="37"/>
  <c r="P311" i="37" s="1"/>
  <c r="Q311" i="37" s="1"/>
  <c r="O196" i="37"/>
  <c r="P196" i="37" s="1"/>
  <c r="Q196" i="37" s="1"/>
  <c r="O285" i="37"/>
  <c r="P285" i="37" s="1"/>
  <c r="Q285" i="37" s="1"/>
  <c r="O42" i="37"/>
  <c r="P42" i="37" s="1"/>
  <c r="Q42" i="37" s="1"/>
  <c r="O68" i="37"/>
  <c r="P68" i="37" s="1"/>
  <c r="Q68" i="37" s="1"/>
  <c r="O272" i="37"/>
  <c r="P272" i="37" s="1"/>
  <c r="Q272" i="37" s="1"/>
  <c r="O179" i="37"/>
  <c r="P179" i="37" s="1"/>
  <c r="Q179" i="37" s="1"/>
  <c r="O5" i="37"/>
  <c r="P5" i="37" s="1"/>
  <c r="Q5" i="37" s="1"/>
  <c r="O48" i="37"/>
  <c r="P48" i="37" s="1"/>
  <c r="Q48" i="37" s="1"/>
  <c r="O207" i="37"/>
  <c r="P207" i="37" s="1"/>
  <c r="Q207" i="37" s="1"/>
  <c r="O134" i="37"/>
  <c r="P134" i="37" s="1"/>
  <c r="Q134" i="37" s="1"/>
  <c r="O197" i="37"/>
  <c r="P197" i="37" s="1"/>
  <c r="Q197" i="37" s="1"/>
  <c r="O247" i="37"/>
  <c r="P247" i="37" s="1"/>
  <c r="Q247" i="37" s="1"/>
  <c r="O114" i="37"/>
  <c r="P114" i="37" s="1"/>
  <c r="Q114" i="37" s="1"/>
  <c r="O22" i="37"/>
  <c r="P22" i="37" s="1"/>
  <c r="Q22" i="37" s="1"/>
  <c r="O173" i="37"/>
  <c r="P173" i="37" s="1"/>
  <c r="Q173" i="37" s="1"/>
  <c r="O230" i="37"/>
  <c r="P230" i="37" s="1"/>
  <c r="Q230" i="37" s="1"/>
  <c r="O176" i="37"/>
  <c r="P176" i="37" s="1"/>
  <c r="Q176" i="37" s="1"/>
  <c r="O8" i="37"/>
  <c r="P8" i="37" s="1"/>
  <c r="Q8" i="37" s="1"/>
  <c r="O280" i="37"/>
  <c r="P280" i="37" s="1"/>
  <c r="Q280" i="37" s="1"/>
  <c r="O105" i="37"/>
  <c r="P105" i="37" s="1"/>
  <c r="Q105" i="37" s="1"/>
  <c r="O303" i="37"/>
  <c r="P303" i="37" s="1"/>
  <c r="Q303" i="37" s="1"/>
  <c r="O26" i="37"/>
  <c r="P26" i="37" s="1"/>
  <c r="Q26" i="37" s="1"/>
  <c r="O218" i="37"/>
  <c r="P218" i="37" s="1"/>
  <c r="Q218" i="37" s="1"/>
  <c r="O241" i="37"/>
  <c r="P241" i="37" s="1"/>
  <c r="Q241" i="37" s="1"/>
  <c r="O27" i="37"/>
  <c r="P27" i="37" s="1"/>
  <c r="Q27" i="37" s="1"/>
  <c r="O12" i="37"/>
  <c r="P12" i="37" s="1"/>
  <c r="Q12" i="37" s="1"/>
  <c r="O146" i="37"/>
  <c r="P146" i="37" s="1"/>
  <c r="Q146" i="37" s="1"/>
  <c r="O260" i="37"/>
  <c r="P260" i="37" s="1"/>
  <c r="Q260" i="37" s="1"/>
  <c r="O30" i="37"/>
  <c r="P30" i="37" s="1"/>
  <c r="Q30" i="37" s="1"/>
  <c r="O209" i="37"/>
  <c r="P209" i="37" s="1"/>
  <c r="Q209" i="37" s="1"/>
  <c r="O149" i="37"/>
  <c r="P149" i="37" s="1"/>
  <c r="Q149" i="37" s="1"/>
  <c r="O283" i="37"/>
  <c r="P283" i="37" s="1"/>
  <c r="Q283" i="37" s="1"/>
  <c r="O275" i="37"/>
  <c r="P275" i="37" s="1"/>
  <c r="Q275" i="37" s="1"/>
  <c r="O167" i="37"/>
  <c r="P167" i="37" s="1"/>
  <c r="Q167" i="37" s="1"/>
  <c r="O287" i="37"/>
  <c r="P287" i="37" s="1"/>
  <c r="Q287" i="37" s="1"/>
  <c r="O298" i="37"/>
  <c r="P298" i="37" s="1"/>
  <c r="Q298" i="37" s="1"/>
  <c r="O77" i="37"/>
  <c r="P77" i="37" s="1"/>
  <c r="Q77" i="37" s="1"/>
  <c r="O222" i="37"/>
  <c r="P222" i="37" s="1"/>
  <c r="Q222" i="37" s="1"/>
  <c r="O97" i="37"/>
  <c r="P97" i="37" s="1"/>
  <c r="Q97" i="37" s="1"/>
  <c r="O240" i="37"/>
  <c r="P240" i="37" s="1"/>
  <c r="Q240" i="37" s="1"/>
  <c r="O132" i="37"/>
  <c r="P132" i="37" s="1"/>
  <c r="Q132" i="37" s="1"/>
  <c r="O186" i="37"/>
  <c r="P186" i="37" s="1"/>
  <c r="Q186" i="37" s="1"/>
  <c r="O185" i="37"/>
  <c r="P185" i="37" s="1"/>
  <c r="Q185" i="37" s="1"/>
  <c r="O54" i="37"/>
  <c r="P54" i="37" s="1"/>
  <c r="Q54" i="37" s="1"/>
  <c r="O316" i="37"/>
  <c r="P316" i="37" s="1"/>
  <c r="Q316" i="37" s="1"/>
  <c r="O145" i="37"/>
  <c r="P145" i="37" s="1"/>
  <c r="Q145" i="37" s="1"/>
  <c r="O95" i="37"/>
  <c r="P95" i="37" s="1"/>
  <c r="Q95" i="37" s="1"/>
  <c r="O271" i="37"/>
  <c r="P271" i="37" s="1"/>
  <c r="Q271" i="37" s="1"/>
  <c r="O64" i="37"/>
  <c r="P64" i="37" s="1"/>
  <c r="Q64" i="37" s="1"/>
  <c r="O29" i="37"/>
  <c r="P29" i="37" s="1"/>
  <c r="Q29" i="37" s="1"/>
  <c r="O123" i="37"/>
  <c r="P123" i="37" s="1"/>
  <c r="Q123" i="37" s="1"/>
  <c r="O125" i="37"/>
  <c r="P125" i="37" s="1"/>
  <c r="Q125" i="37" s="1"/>
  <c r="O58" i="37"/>
  <c r="P58" i="37" s="1"/>
  <c r="Q58" i="37" s="1"/>
  <c r="O261" i="37"/>
  <c r="P261" i="37" s="1"/>
  <c r="Q261" i="37" s="1"/>
  <c r="O203" i="37"/>
  <c r="P203" i="37" s="1"/>
  <c r="Q203" i="37" s="1"/>
  <c r="O168" i="37"/>
  <c r="P168" i="37" s="1"/>
  <c r="Q168" i="37" s="1"/>
  <c r="O254" i="37"/>
  <c r="P254" i="37" s="1"/>
  <c r="Q254" i="37" s="1"/>
  <c r="O11" i="37"/>
  <c r="P11" i="37" s="1"/>
  <c r="Q11" i="37" s="1"/>
  <c r="O98" i="37"/>
  <c r="P98" i="37" s="1"/>
  <c r="Q98" i="37" s="1"/>
  <c r="O266" i="37"/>
  <c r="P266" i="37" s="1"/>
  <c r="Q266" i="37" s="1"/>
  <c r="O49" i="37"/>
  <c r="P49" i="37" s="1"/>
  <c r="Q49" i="37" s="1"/>
  <c r="O282" i="37"/>
  <c r="P282" i="37" s="1"/>
  <c r="Q282" i="37" s="1"/>
  <c r="O36" i="37"/>
  <c r="P36" i="37" s="1"/>
  <c r="Q36" i="37" s="1"/>
  <c r="O309" i="37"/>
  <c r="P309" i="37" s="1"/>
  <c r="Q309" i="37" s="1"/>
  <c r="O250" i="37"/>
  <c r="P250" i="37" s="1"/>
  <c r="Q250" i="37" s="1"/>
  <c r="O184" i="37"/>
  <c r="P184" i="37" s="1"/>
  <c r="Q184" i="37" s="1"/>
  <c r="O314" i="37"/>
  <c r="P314" i="37" s="1"/>
  <c r="Q314" i="37" s="1"/>
  <c r="O59" i="37"/>
  <c r="P59" i="37" s="1"/>
  <c r="Q59" i="37" s="1"/>
  <c r="O151" i="37"/>
  <c r="P151" i="37" s="1"/>
  <c r="Q151" i="37" s="1"/>
  <c r="O71" i="37"/>
  <c r="P71" i="37" s="1"/>
  <c r="Q71" i="37" s="1"/>
  <c r="O57" i="37"/>
  <c r="P57" i="37" s="1"/>
  <c r="Q57" i="37" s="1"/>
  <c r="O80" i="37"/>
  <c r="P80" i="37" s="1"/>
  <c r="Q80" i="37" s="1"/>
  <c r="O157" i="37"/>
  <c r="P157" i="37" s="1"/>
  <c r="Q157" i="37" s="1"/>
  <c r="O28" i="37"/>
  <c r="P28" i="37" s="1"/>
  <c r="Q28" i="37" s="1"/>
  <c r="O108" i="37"/>
  <c r="P108" i="37" s="1"/>
  <c r="Q108" i="37" s="1"/>
  <c r="O273" i="37"/>
  <c r="P273" i="37" s="1"/>
  <c r="Q273" i="37" s="1"/>
  <c r="O248" i="37"/>
  <c r="P248" i="37" s="1"/>
  <c r="Q248" i="37" s="1"/>
  <c r="O210" i="37"/>
  <c r="P210" i="37" s="1"/>
  <c r="Q210" i="37" s="1"/>
  <c r="O143" i="37"/>
  <c r="P143" i="37" s="1"/>
  <c r="Q143" i="37" s="1"/>
  <c r="O150" i="37"/>
  <c r="P150" i="37" s="1"/>
  <c r="Q150" i="37" s="1"/>
  <c r="O100" i="37"/>
  <c r="P100" i="37" s="1"/>
  <c r="Q100" i="37" s="1"/>
  <c r="O76" i="37"/>
  <c r="P76" i="37" s="1"/>
  <c r="Q76" i="37" s="1"/>
  <c r="O201" i="37"/>
  <c r="P201" i="37" s="1"/>
  <c r="Q201" i="37" s="1"/>
  <c r="O243" i="37"/>
  <c r="P243" i="37" s="1"/>
  <c r="Q243" i="37" s="1"/>
  <c r="O293" i="37"/>
  <c r="P293" i="37" s="1"/>
  <c r="Q293" i="37" s="1"/>
  <c r="O148" i="37"/>
  <c r="P148" i="37" s="1"/>
  <c r="Q148" i="37" s="1"/>
  <c r="O276" i="37"/>
  <c r="P276" i="37" s="1"/>
  <c r="Q276" i="37" s="1"/>
  <c r="O269" i="37"/>
  <c r="P269" i="37" s="1"/>
  <c r="Q269" i="37" s="1"/>
  <c r="O111" i="37"/>
  <c r="P111" i="37" s="1"/>
  <c r="Q111" i="37" s="1"/>
  <c r="O126" i="37"/>
  <c r="P126" i="37" s="1"/>
  <c r="Q126" i="37" s="1"/>
  <c r="O159" i="37"/>
  <c r="P159" i="37" s="1"/>
  <c r="Q159" i="37" s="1"/>
  <c r="O284" i="37"/>
  <c r="P284" i="37" s="1"/>
  <c r="Q284" i="37" s="1"/>
  <c r="O211" i="37"/>
  <c r="P211" i="37" s="1"/>
  <c r="Q211" i="37" s="1"/>
  <c r="O237" i="37"/>
  <c r="P237" i="37" s="1"/>
  <c r="Q237" i="37" s="1"/>
  <c r="O267" i="37"/>
  <c r="P267" i="37" s="1"/>
  <c r="Q267" i="37" s="1"/>
  <c r="O315" i="37"/>
  <c r="P315" i="37" s="1"/>
  <c r="Q315" i="37" s="1"/>
  <c r="O221" i="37"/>
  <c r="P221" i="37" s="1"/>
  <c r="Q221" i="37" s="1"/>
  <c r="O119" i="37"/>
  <c r="P119" i="37" s="1"/>
  <c r="Q119" i="37" s="1"/>
  <c r="O225" i="37"/>
  <c r="P225" i="37" s="1"/>
  <c r="Q225" i="37" s="1"/>
  <c r="O115" i="37"/>
  <c r="P115" i="37" s="1"/>
  <c r="Q115" i="37" s="1"/>
  <c r="O32" i="37"/>
  <c r="P32" i="37" s="1"/>
  <c r="Q32" i="37" s="1"/>
  <c r="O107" i="37"/>
  <c r="P107" i="37" s="1"/>
  <c r="Q107" i="37" s="1"/>
  <c r="O67" i="37"/>
  <c r="P67" i="37" s="1"/>
  <c r="Q67" i="37" s="1"/>
  <c r="O286" i="37"/>
  <c r="P286" i="37" s="1"/>
  <c r="Q286" i="37" s="1"/>
  <c r="O21" i="37"/>
  <c r="P21" i="37" s="1"/>
  <c r="Q21" i="37" s="1"/>
  <c r="O180" i="37"/>
  <c r="P180" i="37" s="1"/>
  <c r="Q180" i="37" s="1"/>
  <c r="O262" i="37"/>
  <c r="P262" i="37" s="1"/>
  <c r="Q262" i="37" s="1"/>
  <c r="O103" i="37"/>
  <c r="P103" i="37" s="1"/>
  <c r="Q103" i="37" s="1"/>
  <c r="O73" i="37"/>
  <c r="P73" i="37" s="1"/>
  <c r="Q73" i="37" s="1"/>
  <c r="O81" i="37"/>
  <c r="P81" i="37" s="1"/>
  <c r="Q81" i="37" s="1"/>
  <c r="O187" i="37"/>
  <c r="P187" i="37" s="1"/>
  <c r="Q187" i="37" s="1"/>
  <c r="O206" i="37"/>
  <c r="P206" i="37" s="1"/>
  <c r="Q206" i="37" s="1"/>
  <c r="O191" i="37"/>
  <c r="P191" i="37" s="1"/>
  <c r="Q191" i="37" s="1"/>
  <c r="O190" i="37"/>
  <c r="P190" i="37" s="1"/>
  <c r="Q190" i="37" s="1"/>
  <c r="O238" i="37"/>
  <c r="P238" i="37" s="1"/>
  <c r="Q238" i="37" s="1"/>
  <c r="O92" i="37"/>
  <c r="P92" i="37" s="1"/>
  <c r="Q92" i="37" s="1"/>
  <c r="O104" i="37"/>
  <c r="P104" i="37" s="1"/>
  <c r="Q104" i="37" s="1"/>
  <c r="R129" i="36"/>
  <c r="R51" i="36"/>
  <c r="R293" i="36"/>
  <c r="R83" i="36"/>
  <c r="R275" i="36"/>
  <c r="R100" i="36"/>
  <c r="R19" i="36"/>
  <c r="R286" i="36"/>
  <c r="R60" i="36"/>
  <c r="R179" i="36"/>
  <c r="R193" i="36"/>
  <c r="R244" i="36"/>
  <c r="R251" i="36"/>
  <c r="R34" i="36"/>
  <c r="R138" i="36"/>
  <c r="R68" i="36"/>
  <c r="R112" i="36"/>
  <c r="R101" i="36"/>
  <c r="R234" i="36"/>
  <c r="R67" i="36"/>
  <c r="R271" i="36"/>
  <c r="R209" i="36"/>
  <c r="R115" i="36"/>
  <c r="R65" i="36"/>
  <c r="R220" i="36"/>
  <c r="R173" i="36"/>
  <c r="R62" i="36"/>
  <c r="R285" i="36"/>
  <c r="R130" i="36"/>
  <c r="R295" i="36"/>
  <c r="R203" i="36"/>
  <c r="R20" i="36"/>
  <c r="R227" i="36"/>
  <c r="R52" i="36"/>
  <c r="R79" i="36"/>
  <c r="R282" i="36"/>
  <c r="R141" i="36"/>
  <c r="R12" i="36"/>
  <c r="R204" i="36"/>
  <c r="R270" i="36"/>
  <c r="R28" i="36"/>
  <c r="R167" i="36"/>
  <c r="R152" i="36"/>
  <c r="R198" i="36"/>
  <c r="R217" i="36"/>
  <c r="R168" i="36"/>
  <c r="R16" i="36"/>
  <c r="R92" i="36"/>
  <c r="R96" i="36"/>
  <c r="R300" i="36"/>
  <c r="R161" i="36"/>
  <c r="R38" i="36"/>
  <c r="R248" i="36"/>
  <c r="R171" i="36"/>
  <c r="R166" i="36"/>
  <c r="R259" i="36"/>
  <c r="R182" i="36"/>
  <c r="R288" i="36"/>
  <c r="R158" i="36"/>
  <c r="R125" i="36"/>
  <c r="R80" i="36"/>
  <c r="R148" i="36"/>
  <c r="R185" i="36"/>
  <c r="R255" i="36"/>
  <c r="R139" i="36"/>
  <c r="R188" i="36"/>
  <c r="R243" i="36"/>
  <c r="R261" i="36"/>
  <c r="R35" i="36"/>
  <c r="R140" i="36"/>
  <c r="R192" i="36"/>
  <c r="R61" i="36"/>
  <c r="R207" i="36"/>
  <c r="R289" i="36"/>
  <c r="R240" i="36"/>
  <c r="R106" i="36"/>
  <c r="R13" i="36"/>
  <c r="R218" i="36"/>
  <c r="R215" i="36"/>
  <c r="R180" i="36"/>
  <c r="R292" i="36"/>
  <c r="R84" i="36"/>
  <c r="R310" i="36"/>
  <c r="R69" i="36"/>
  <c r="R103" i="36"/>
  <c r="R306" i="36"/>
  <c r="R160" i="36"/>
  <c r="R45" i="36"/>
  <c r="R172" i="36"/>
  <c r="R253" i="36"/>
  <c r="R143" i="36"/>
  <c r="R308" i="36"/>
  <c r="R118" i="36"/>
  <c r="R224" i="36"/>
  <c r="R280" i="36"/>
  <c r="R163" i="36"/>
  <c r="R226" i="36"/>
  <c r="R205" i="36"/>
  <c r="R89" i="36"/>
  <c r="R230" i="36"/>
  <c r="R190" i="36"/>
  <c r="R54" i="36"/>
  <c r="R236" i="36"/>
  <c r="R76" i="36"/>
  <c r="R178" i="36"/>
  <c r="R53" i="36"/>
  <c r="R252" i="36"/>
  <c r="R87" i="36"/>
  <c r="R249" i="36"/>
  <c r="R197" i="36"/>
  <c r="R156" i="36"/>
  <c r="R283" i="36"/>
  <c r="R277" i="36"/>
  <c r="R228" i="36"/>
  <c r="R260" i="36"/>
  <c r="R201" i="36"/>
  <c r="R183" i="36"/>
  <c r="R48" i="36"/>
  <c r="R191" i="36"/>
  <c r="R196" i="36"/>
  <c r="R88" i="36"/>
  <c r="R162" i="36"/>
  <c r="R177" i="36"/>
  <c r="R25" i="36"/>
  <c r="R37" i="36"/>
  <c r="R202" i="36"/>
  <c r="R33" i="36"/>
  <c r="R134" i="36"/>
  <c r="R78" i="36"/>
  <c r="R159" i="36"/>
  <c r="R268" i="36"/>
  <c r="R57" i="36"/>
  <c r="R50" i="36"/>
  <c r="R216" i="36"/>
  <c r="R131" i="36"/>
  <c r="R145" i="36"/>
  <c r="R169" i="36"/>
  <c r="R200" i="36"/>
  <c r="R235" i="36"/>
  <c r="R98" i="36"/>
  <c r="R149" i="36"/>
  <c r="R276" i="36"/>
  <c r="R245" i="36"/>
  <c r="R108" i="36"/>
  <c r="R32" i="36"/>
  <c r="R10" i="36"/>
  <c r="R66" i="36"/>
  <c r="R263" i="36"/>
  <c r="R258" i="36"/>
  <c r="R63" i="36"/>
  <c r="R119" i="36"/>
  <c r="R104" i="36"/>
  <c r="R266" i="36"/>
  <c r="R105" i="36"/>
  <c r="R70" i="36"/>
  <c r="R164" i="36"/>
  <c r="R303" i="36"/>
  <c r="R128" i="36"/>
  <c r="R99" i="36"/>
  <c r="R39" i="36"/>
  <c r="R82" i="36"/>
  <c r="R55" i="36"/>
  <c r="R23" i="36"/>
  <c r="R5" i="36"/>
  <c r="R107" i="36"/>
  <c r="R81" i="36"/>
  <c r="R75" i="36"/>
  <c r="R315" i="36"/>
  <c r="R117" i="36"/>
  <c r="R176" i="36"/>
  <c r="R304" i="36"/>
  <c r="R41" i="36"/>
  <c r="R157" i="36"/>
  <c r="R299" i="36"/>
  <c r="R247" i="36"/>
  <c r="R302" i="36"/>
  <c r="R187" i="36"/>
  <c r="R73" i="36"/>
  <c r="R27" i="36"/>
  <c r="R97" i="36"/>
  <c r="R36" i="36"/>
  <c r="R26" i="36"/>
  <c r="R231" i="36"/>
  <c r="R219" i="36"/>
  <c r="R85" i="36"/>
  <c r="R113" i="36"/>
  <c r="R174" i="36"/>
  <c r="R272" i="36"/>
  <c r="R18" i="36"/>
  <c r="R257" i="36"/>
  <c r="R232" i="36"/>
  <c r="R151" i="36"/>
  <c r="R120" i="36"/>
  <c r="R175" i="36"/>
  <c r="R267" i="36"/>
  <c r="R265" i="36"/>
  <c r="R250" i="36"/>
  <c r="R165" i="36"/>
  <c r="R238" i="36"/>
  <c r="R114" i="36"/>
  <c r="R124" i="36"/>
  <c r="R136" i="36"/>
  <c r="R211" i="36"/>
  <c r="R74" i="36"/>
  <c r="R29" i="36"/>
  <c r="R195" i="36"/>
  <c r="R93" i="36"/>
  <c r="R287" i="36"/>
  <c r="R42" i="36"/>
  <c r="R31" i="36"/>
  <c r="R40" i="36"/>
  <c r="R189" i="36"/>
  <c r="R184" i="36"/>
  <c r="R206" i="36"/>
  <c r="R294" i="36"/>
  <c r="R312" i="36"/>
  <c r="R43" i="36"/>
  <c r="R137" i="36"/>
  <c r="R110" i="36"/>
  <c r="R290" i="36"/>
  <c r="R291" i="36"/>
  <c r="R122" i="36"/>
  <c r="R95" i="36"/>
  <c r="R222" i="36"/>
  <c r="R307" i="36"/>
  <c r="R91" i="36"/>
  <c r="R109" i="36"/>
  <c r="R121" i="36"/>
  <c r="R24" i="36"/>
  <c r="R77" i="36"/>
  <c r="R150" i="36"/>
  <c r="R144" i="36"/>
  <c r="R72" i="36"/>
  <c r="R94" i="36"/>
  <c r="R15" i="36"/>
  <c r="R313" i="36"/>
  <c r="R155" i="36"/>
  <c r="R133" i="36"/>
  <c r="R284" i="36"/>
  <c r="R49" i="36"/>
  <c r="R214" i="36"/>
  <c r="R123" i="36"/>
  <c r="R7" i="36"/>
  <c r="R241" i="36"/>
  <c r="R225" i="36"/>
  <c r="R305" i="36"/>
  <c r="R58" i="36"/>
  <c r="R64" i="36"/>
  <c r="R298" i="36"/>
  <c r="R11" i="36"/>
  <c r="R278" i="36"/>
  <c r="R9" i="36"/>
  <c r="R170" i="36"/>
  <c r="R30" i="36"/>
  <c r="R14" i="36"/>
  <c r="R6" i="36"/>
  <c r="R126" i="36"/>
  <c r="R239" i="36"/>
  <c r="R22" i="36"/>
  <c r="R237" i="36"/>
  <c r="R273" i="36"/>
  <c r="R233" i="36"/>
  <c r="R309" i="36"/>
  <c r="R194" i="36"/>
  <c r="R8" i="36"/>
  <c r="R281" i="36"/>
  <c r="R311" i="36"/>
  <c r="R316" i="36"/>
  <c r="R135" i="36"/>
  <c r="R47" i="36"/>
  <c r="R242" i="36"/>
  <c r="R212" i="36"/>
  <c r="R90" i="36"/>
  <c r="Q4" i="36"/>
  <c r="Q3" i="36" s="1" a="1"/>
  <c r="Q3" i="36" s="1"/>
  <c r="R279" i="36"/>
  <c r="R213" i="36"/>
  <c r="R132" i="36"/>
  <c r="R254" i="36"/>
  <c r="R181" i="36"/>
  <c r="R86" i="36"/>
  <c r="R46" i="36"/>
  <c r="R208" i="36"/>
  <c r="R116" i="36"/>
  <c r="R186" i="36"/>
  <c r="R102" i="36"/>
  <c r="R301" i="36"/>
  <c r="R71" i="36"/>
  <c r="R221" i="36"/>
  <c r="R142" i="36"/>
  <c r="R229" i="36"/>
  <c r="R21" i="36"/>
  <c r="R111" i="36"/>
  <c r="R154" i="36"/>
  <c r="R262" i="36"/>
  <c r="R269" i="36"/>
  <c r="R297" i="36"/>
  <c r="R246" i="36"/>
  <c r="R296" i="36"/>
  <c r="R17" i="36"/>
  <c r="R199" i="36"/>
  <c r="R153" i="36"/>
  <c r="R314" i="36"/>
  <c r="R274" i="36"/>
  <c r="R256" i="36"/>
  <c r="R56" i="36"/>
  <c r="R146" i="36"/>
  <c r="R264" i="36"/>
  <c r="R127" i="36"/>
  <c r="R223" i="36"/>
  <c r="R59" i="36"/>
  <c r="R210" i="36"/>
  <c r="R147" i="36"/>
  <c r="R44" i="36"/>
  <c r="O3" i="37" l="1" a="1"/>
  <c r="O3" i="37" s="1"/>
  <c r="P3" i="37" a="1"/>
  <c r="P3" i="37" s="1"/>
  <c r="Q4" i="39"/>
  <c r="Q3" i="39" s="1" a="1"/>
  <c r="Q3" i="39" s="1"/>
  <c r="Q4" i="38"/>
  <c r="Q3" i="38" s="1" a="1"/>
  <c r="Q3" i="38" s="1"/>
  <c r="R81" i="37"/>
  <c r="R206" i="37"/>
  <c r="R111" i="37"/>
  <c r="R250" i="37"/>
  <c r="R42" i="37"/>
  <c r="R286" i="37"/>
  <c r="R315" i="37"/>
  <c r="R269" i="37"/>
  <c r="R150" i="37"/>
  <c r="R80" i="37"/>
  <c r="R309" i="37"/>
  <c r="R168" i="37"/>
  <c r="R271" i="37"/>
  <c r="R240" i="37"/>
  <c r="R283" i="37"/>
  <c r="R8" i="37"/>
  <c r="R134" i="37"/>
  <c r="R285" i="37"/>
  <c r="R182" i="37"/>
  <c r="R94" i="37"/>
  <c r="R292" i="37"/>
  <c r="R169" i="37"/>
  <c r="R268" i="37"/>
  <c r="R278" i="37"/>
  <c r="R279" i="37"/>
  <c r="R55" i="37"/>
  <c r="R14" i="37"/>
  <c r="R245" i="37"/>
  <c r="R84" i="37"/>
  <c r="R139" i="37"/>
  <c r="R89" i="37"/>
  <c r="R178" i="37"/>
  <c r="R88" i="37"/>
  <c r="R61" i="37"/>
  <c r="R193" i="37"/>
  <c r="R20" i="37"/>
  <c r="R90" i="37"/>
  <c r="R288" i="37"/>
  <c r="R109" i="37"/>
  <c r="R127" i="37"/>
  <c r="R144" i="37"/>
  <c r="R107" i="37"/>
  <c r="R221" i="37"/>
  <c r="R157" i="37"/>
  <c r="R197" i="37"/>
  <c r="R187" i="37"/>
  <c r="R67" i="37"/>
  <c r="R267" i="37"/>
  <c r="R276" i="37"/>
  <c r="R143" i="37"/>
  <c r="R57" i="37"/>
  <c r="R36" i="37"/>
  <c r="R203" i="37"/>
  <c r="R95" i="37"/>
  <c r="R97" i="37"/>
  <c r="R149" i="37"/>
  <c r="R176" i="37"/>
  <c r="R207" i="37"/>
  <c r="R196" i="37"/>
  <c r="R131" i="37"/>
  <c r="R142" i="37"/>
  <c r="R33" i="37"/>
  <c r="R117" i="37"/>
  <c r="R307" i="37"/>
  <c r="R294" i="37"/>
  <c r="R244" i="37"/>
  <c r="R289" i="37"/>
  <c r="R110" i="37"/>
  <c r="R281" i="37"/>
  <c r="R253" i="37"/>
  <c r="R259" i="37"/>
  <c r="R189" i="37"/>
  <c r="R83" i="37"/>
  <c r="R23" i="37"/>
  <c r="R188" i="37"/>
  <c r="R226" i="37"/>
  <c r="R312" i="37"/>
  <c r="R223" i="37"/>
  <c r="R234" i="37"/>
  <c r="R129" i="37"/>
  <c r="R137" i="37"/>
  <c r="R7" i="37"/>
  <c r="R198" i="37"/>
  <c r="R104" i="37"/>
  <c r="R71" i="37"/>
  <c r="R222" i="37"/>
  <c r="R48" i="37"/>
  <c r="R232" i="37"/>
  <c r="R297" i="37"/>
  <c r="R155" i="37"/>
  <c r="R274" i="37"/>
  <c r="R91" i="37"/>
  <c r="R265" i="37"/>
  <c r="R216" i="37"/>
  <c r="R92" i="37"/>
  <c r="R73" i="37"/>
  <c r="R32" i="37"/>
  <c r="R211" i="37"/>
  <c r="R293" i="37"/>
  <c r="R248" i="37"/>
  <c r="R151" i="37"/>
  <c r="R49" i="37"/>
  <c r="R58" i="37"/>
  <c r="R316" i="37"/>
  <c r="R77" i="37"/>
  <c r="R30" i="37"/>
  <c r="R218" i="37"/>
  <c r="R173" i="37"/>
  <c r="R5" i="37"/>
  <c r="R51" i="37"/>
  <c r="R9" i="37"/>
  <c r="R133" i="37"/>
  <c r="R219" i="37"/>
  <c r="R160" i="37"/>
  <c r="R264" i="37"/>
  <c r="R313" i="37"/>
  <c r="R62" i="37"/>
  <c r="R65" i="37"/>
  <c r="R305" i="37"/>
  <c r="R116" i="37"/>
  <c r="R34" i="37"/>
  <c r="R79" i="37"/>
  <c r="R304" i="37"/>
  <c r="R86" i="37"/>
  <c r="R106" i="37"/>
  <c r="R162" i="37"/>
  <c r="R6" i="37"/>
  <c r="R224" i="37"/>
  <c r="R17" i="37"/>
  <c r="R213" i="37"/>
  <c r="R10" i="37"/>
  <c r="R44" i="37"/>
  <c r="R199" i="37"/>
  <c r="R50" i="37"/>
  <c r="R210" i="37"/>
  <c r="R282" i="37"/>
  <c r="R209" i="37"/>
  <c r="R311" i="37"/>
  <c r="R47" i="37"/>
  <c r="R15" i="37"/>
  <c r="R263" i="37"/>
  <c r="R25" i="37"/>
  <c r="R101" i="37"/>
  <c r="R212" i="37"/>
  <c r="R306" i="37"/>
  <c r="R238" i="37"/>
  <c r="R103" i="37"/>
  <c r="R115" i="37"/>
  <c r="R284" i="37"/>
  <c r="R243" i="37"/>
  <c r="R273" i="37"/>
  <c r="R59" i="37"/>
  <c r="R266" i="37"/>
  <c r="R125" i="37"/>
  <c r="R54" i="37"/>
  <c r="R298" i="37"/>
  <c r="R260" i="37"/>
  <c r="R26" i="37"/>
  <c r="R22" i="37"/>
  <c r="R179" i="37"/>
  <c r="R295" i="37"/>
  <c r="R156" i="37"/>
  <c r="R154" i="37"/>
  <c r="R296" i="37"/>
  <c r="R251" i="37"/>
  <c r="R181" i="37"/>
  <c r="R310" i="37"/>
  <c r="R174" i="37"/>
  <c r="R152" i="37"/>
  <c r="R78" i="37"/>
  <c r="R99" i="37"/>
  <c r="R37" i="37"/>
  <c r="R45" i="37"/>
  <c r="R124" i="37"/>
  <c r="R53" i="37"/>
  <c r="R236" i="37"/>
  <c r="R121" i="37"/>
  <c r="R195" i="37"/>
  <c r="R308" i="37"/>
  <c r="R302" i="37"/>
  <c r="R72" i="37"/>
  <c r="R194" i="37"/>
  <c r="R69" i="37"/>
  <c r="R249" i="37"/>
  <c r="R220" i="37"/>
  <c r="R148" i="37"/>
  <c r="R261" i="37"/>
  <c r="R241" i="37"/>
  <c r="R175" i="37"/>
  <c r="R70" i="37"/>
  <c r="R177" i="37"/>
  <c r="R24" i="37"/>
  <c r="R233" i="37"/>
  <c r="R190" i="37"/>
  <c r="R262" i="37"/>
  <c r="R225" i="37"/>
  <c r="R159" i="37"/>
  <c r="R201" i="37"/>
  <c r="R108" i="37"/>
  <c r="R314" i="37"/>
  <c r="R98" i="37"/>
  <c r="R123" i="37"/>
  <c r="R185" i="37"/>
  <c r="R287" i="37"/>
  <c r="R146" i="37"/>
  <c r="R303" i="37"/>
  <c r="R114" i="37"/>
  <c r="R272" i="37"/>
  <c r="R35" i="37"/>
  <c r="R38" i="37"/>
  <c r="R18" i="37"/>
  <c r="R85" i="37"/>
  <c r="R75" i="37"/>
  <c r="R217" i="37"/>
  <c r="R153" i="37"/>
  <c r="R74" i="37"/>
  <c r="R161" i="37"/>
  <c r="R19" i="37"/>
  <c r="R128" i="37"/>
  <c r="R163" i="37"/>
  <c r="R166" i="37"/>
  <c r="R13" i="37"/>
  <c r="R202" i="37"/>
  <c r="R130" i="37"/>
  <c r="R165" i="37"/>
  <c r="R16" i="37"/>
  <c r="R255" i="37"/>
  <c r="R229" i="37"/>
  <c r="R192" i="37"/>
  <c r="R122" i="37"/>
  <c r="R208" i="37"/>
  <c r="R147" i="37"/>
  <c r="R301" i="37"/>
  <c r="R237" i="37"/>
  <c r="R145" i="37"/>
  <c r="R230" i="37"/>
  <c r="R204" i="37"/>
  <c r="R270" i="37"/>
  <c r="R43" i="37"/>
  <c r="R136" i="37"/>
  <c r="R258" i="37"/>
  <c r="R191" i="37"/>
  <c r="R180" i="37"/>
  <c r="R119" i="37"/>
  <c r="R126" i="37"/>
  <c r="R76" i="37"/>
  <c r="R28" i="37"/>
  <c r="R184" i="37"/>
  <c r="R11" i="37"/>
  <c r="R29" i="37"/>
  <c r="R186" i="37"/>
  <c r="R167" i="37"/>
  <c r="R12" i="37"/>
  <c r="R105" i="37"/>
  <c r="R247" i="37"/>
  <c r="R68" i="37"/>
  <c r="R215" i="37"/>
  <c r="R171" i="37"/>
  <c r="R227" i="37"/>
  <c r="R39" i="37"/>
  <c r="R300" i="37"/>
  <c r="R246" i="37"/>
  <c r="R113" i="37"/>
  <c r="R200" i="37"/>
  <c r="R252" i="37"/>
  <c r="R31" i="37"/>
  <c r="R118" i="37"/>
  <c r="R277" i="37"/>
  <c r="R93" i="37"/>
  <c r="R120" i="37"/>
  <c r="R112" i="37"/>
  <c r="R56" i="37"/>
  <c r="R164" i="37"/>
  <c r="R40" i="37"/>
  <c r="R290" i="37"/>
  <c r="R158" i="37"/>
  <c r="R231" i="37"/>
  <c r="R235" i="37"/>
  <c r="R183" i="37"/>
  <c r="R46" i="37"/>
  <c r="Q4" i="37"/>
  <c r="Q3" i="37" s="1" a="1"/>
  <c r="Q3" i="37" s="1"/>
  <c r="R21" i="37"/>
  <c r="R100" i="37"/>
  <c r="R254" i="37"/>
  <c r="R64" i="37"/>
  <c r="R132" i="37"/>
  <c r="R275" i="37"/>
  <c r="R27" i="37"/>
  <c r="R280" i="37"/>
  <c r="R52" i="37"/>
  <c r="R138" i="37"/>
  <c r="R291" i="37"/>
  <c r="R228" i="37"/>
  <c r="R172" i="37"/>
  <c r="R96" i="37"/>
  <c r="R41" i="37"/>
  <c r="R256" i="37"/>
  <c r="R170" i="37"/>
  <c r="R214" i="37"/>
  <c r="R257" i="37"/>
  <c r="R299" i="37"/>
  <c r="R87" i="37"/>
  <c r="R135" i="37"/>
  <c r="R63" i="37"/>
  <c r="R82" i="37"/>
  <c r="R140" i="37"/>
  <c r="R239" i="37"/>
  <c r="R66" i="37"/>
  <c r="R102" i="37"/>
  <c r="R242" i="37"/>
  <c r="R205" i="37"/>
  <c r="R141" i="37"/>
  <c r="R60" i="37"/>
  <c r="R4" i="36"/>
  <c r="R3" i="36" s="1" a="1"/>
  <c r="R3" i="36" s="1"/>
  <c r="R4" i="39" l="1"/>
  <c r="R3" i="39" s="1" a="1"/>
  <c r="R3" i="39" s="1"/>
  <c r="R4" i="38"/>
  <c r="R3" i="38" s="1" a="1"/>
  <c r="R3" i="38" s="1"/>
  <c r="R4" i="37"/>
  <c r="R3" i="37" s="1" a="1"/>
  <c r="R3" i="37" s="1"/>
  <c r="S318" i="36" l="1"/>
  <c r="T318" i="36" s="1"/>
  <c r="U318" i="36" s="1"/>
  <c r="V318" i="36" s="1"/>
  <c r="S317" i="36"/>
  <c r="T317" i="36" s="1"/>
  <c r="U317" i="36" s="1"/>
  <c r="V317" i="36" s="1"/>
  <c r="S318" i="37"/>
  <c r="T318" i="37" s="1"/>
  <c r="U318" i="37" s="1"/>
  <c r="V318" i="37" s="1"/>
  <c r="S317" i="37"/>
  <c r="T317" i="37" s="1"/>
  <c r="U317" i="37" s="1"/>
  <c r="V317" i="37" s="1"/>
  <c r="S317" i="38"/>
  <c r="T317" i="38" s="1"/>
  <c r="U317" i="38" s="1"/>
  <c r="V317" i="38" s="1"/>
  <c r="S318" i="38"/>
  <c r="T318" i="38" s="1"/>
  <c r="U318" i="38" s="1"/>
  <c r="V318" i="38" s="1"/>
  <c r="S318" i="39"/>
  <c r="T318" i="39" s="1"/>
  <c r="U318" i="39" s="1"/>
  <c r="S317" i="39"/>
  <c r="T317" i="39" s="1"/>
  <c r="U317" i="39" s="1"/>
  <c r="V317" i="39" s="1"/>
  <c r="S4" i="36"/>
  <c r="S274" i="36"/>
  <c r="T274" i="36" s="1"/>
  <c r="U274" i="36" s="1"/>
  <c r="S77" i="36"/>
  <c r="T77" i="36" s="1"/>
  <c r="U77" i="36" s="1"/>
  <c r="S5" i="36"/>
  <c r="T5" i="36" s="1"/>
  <c r="U5" i="36" s="1"/>
  <c r="S264" i="36"/>
  <c r="T264" i="36" s="1"/>
  <c r="U264" i="36" s="1"/>
  <c r="S170" i="36"/>
  <c r="T170" i="36" s="1"/>
  <c r="U170" i="36" s="1"/>
  <c r="S114" i="36"/>
  <c r="T114" i="36" s="1"/>
  <c r="U114" i="36" s="1"/>
  <c r="S153" i="36"/>
  <c r="T153" i="36" s="1"/>
  <c r="U153" i="36" s="1"/>
  <c r="S109" i="36"/>
  <c r="T109" i="36" s="1"/>
  <c r="U109" i="36" s="1"/>
  <c r="S174" i="36"/>
  <c r="T174" i="36" s="1"/>
  <c r="U174" i="36" s="1"/>
  <c r="S96" i="36"/>
  <c r="T96" i="36" s="1"/>
  <c r="U96" i="36" s="1"/>
  <c r="S279" i="36"/>
  <c r="T279" i="36" s="1"/>
  <c r="U279" i="36" s="1"/>
  <c r="S95" i="36"/>
  <c r="T95" i="36" s="1"/>
  <c r="U95" i="36" s="1"/>
  <c r="S139" i="36"/>
  <c r="T139" i="36" s="1"/>
  <c r="U139" i="36" s="1"/>
  <c r="S239" i="36"/>
  <c r="T239" i="36" s="1"/>
  <c r="U239" i="36" s="1"/>
  <c r="S97" i="36"/>
  <c r="T97" i="36" s="1"/>
  <c r="U97" i="36" s="1"/>
  <c r="S59" i="36"/>
  <c r="T59" i="36" s="1"/>
  <c r="U59" i="36" s="1"/>
  <c r="S108" i="36"/>
  <c r="T108" i="36" s="1"/>
  <c r="U108" i="36" s="1"/>
  <c r="S86" i="36"/>
  <c r="T86" i="36" s="1"/>
  <c r="U86" i="36" s="1"/>
  <c r="S36" i="36"/>
  <c r="T36" i="36" s="1"/>
  <c r="U36" i="36" s="1"/>
  <c r="S242" i="36"/>
  <c r="T242" i="36" s="1"/>
  <c r="U242" i="36" s="1"/>
  <c r="S26" i="36"/>
  <c r="T26" i="36" s="1"/>
  <c r="U26" i="36" s="1"/>
  <c r="S261" i="36"/>
  <c r="T261" i="36" s="1"/>
  <c r="U261" i="36" s="1"/>
  <c r="S167" i="36"/>
  <c r="T167" i="36" s="1"/>
  <c r="U167" i="36" s="1"/>
  <c r="S282" i="36"/>
  <c r="T282" i="36" s="1"/>
  <c r="U282" i="36" s="1"/>
  <c r="S249" i="36"/>
  <c r="T249" i="36" s="1"/>
  <c r="U249" i="36" s="1"/>
  <c r="S21" i="36"/>
  <c r="T21" i="36" s="1"/>
  <c r="U21" i="36" s="1"/>
  <c r="S189" i="36"/>
  <c r="T189" i="36" s="1"/>
  <c r="U189" i="36" s="1"/>
  <c r="S82" i="36"/>
  <c r="T82" i="36" s="1"/>
  <c r="U82" i="36" s="1"/>
  <c r="S154" i="36"/>
  <c r="T154" i="36" s="1"/>
  <c r="U154" i="36" s="1"/>
  <c r="S58" i="36"/>
  <c r="T58" i="36" s="1"/>
  <c r="U58" i="36" s="1"/>
  <c r="S272" i="36"/>
  <c r="T272" i="36" s="1"/>
  <c r="U272" i="36" s="1"/>
  <c r="S142" i="36"/>
  <c r="T142" i="36" s="1"/>
  <c r="U142" i="36" s="1"/>
  <c r="S307" i="36"/>
  <c r="T307" i="36" s="1"/>
  <c r="U307" i="36" s="1"/>
  <c r="S302" i="36"/>
  <c r="T302" i="36" s="1"/>
  <c r="U302" i="36" s="1"/>
  <c r="S152" i="36"/>
  <c r="T152" i="36" s="1"/>
  <c r="U152" i="36" s="1"/>
  <c r="S316" i="36"/>
  <c r="T316" i="36" s="1"/>
  <c r="U316" i="36" s="1"/>
  <c r="S124" i="36"/>
  <c r="T124" i="36" s="1"/>
  <c r="U124" i="36" s="1"/>
  <c r="S147" i="36"/>
  <c r="T147" i="36" s="1"/>
  <c r="U147" i="36" s="1"/>
  <c r="S241" i="36"/>
  <c r="T241" i="36" s="1"/>
  <c r="U241" i="36" s="1"/>
  <c r="S73" i="36"/>
  <c r="T73" i="36" s="1"/>
  <c r="U73" i="36" s="1"/>
  <c r="S199" i="36"/>
  <c r="T199" i="36" s="1"/>
  <c r="U199" i="36" s="1"/>
  <c r="S64" i="36"/>
  <c r="T64" i="36" s="1"/>
  <c r="U64" i="36" s="1"/>
  <c r="S211" i="36"/>
  <c r="T211" i="36" s="1"/>
  <c r="U211" i="36" s="1"/>
  <c r="S159" i="36"/>
  <c r="T159" i="36" s="1"/>
  <c r="U159" i="36" s="1"/>
  <c r="S213" i="36"/>
  <c r="T213" i="36" s="1"/>
  <c r="U213" i="36" s="1"/>
  <c r="S117" i="36"/>
  <c r="T117" i="36" s="1"/>
  <c r="U117" i="36" s="1"/>
  <c r="S146" i="36"/>
  <c r="T146" i="36" s="1"/>
  <c r="U146" i="36" s="1"/>
  <c r="S8" i="36"/>
  <c r="T8" i="36" s="1"/>
  <c r="U8" i="36" s="1"/>
  <c r="S290" i="36"/>
  <c r="T290" i="36" s="1"/>
  <c r="U290" i="36" s="1"/>
  <c r="S157" i="36"/>
  <c r="T157" i="36" s="1"/>
  <c r="U157" i="36" s="1"/>
  <c r="S263" i="36"/>
  <c r="T263" i="36" s="1"/>
  <c r="U263" i="36" s="1"/>
  <c r="S288" i="36"/>
  <c r="T288" i="36" s="1"/>
  <c r="U288" i="36" s="1"/>
  <c r="S306" i="36"/>
  <c r="T306" i="36" s="1"/>
  <c r="U306" i="36" s="1"/>
  <c r="S180" i="36"/>
  <c r="T180" i="36" s="1"/>
  <c r="U180" i="36" s="1"/>
  <c r="S130" i="36"/>
  <c r="T130" i="36" s="1"/>
  <c r="U130" i="36" s="1"/>
  <c r="S202" i="36"/>
  <c r="T202" i="36" s="1"/>
  <c r="U202" i="36" s="1"/>
  <c r="S259" i="36"/>
  <c r="T259" i="36" s="1"/>
  <c r="U259" i="36" s="1"/>
  <c r="S149" i="36"/>
  <c r="T149" i="36" s="1"/>
  <c r="U149" i="36" s="1"/>
  <c r="S280" i="36"/>
  <c r="T280" i="36" s="1"/>
  <c r="U280" i="36" s="1"/>
  <c r="S19" i="36"/>
  <c r="T19" i="36" s="1"/>
  <c r="U19" i="36" s="1"/>
  <c r="S185" i="36"/>
  <c r="T185" i="36" s="1"/>
  <c r="U185" i="36" s="1"/>
  <c r="S173" i="36"/>
  <c r="T173" i="36" s="1"/>
  <c r="U173" i="36" s="1"/>
  <c r="S190" i="36"/>
  <c r="T190" i="36" s="1"/>
  <c r="U190" i="36" s="1"/>
  <c r="S16" i="36"/>
  <c r="T16" i="36" s="1"/>
  <c r="U16" i="36" s="1"/>
  <c r="S215" i="36"/>
  <c r="T215" i="36" s="1"/>
  <c r="U215" i="36" s="1"/>
  <c r="S57" i="36"/>
  <c r="T57" i="36" s="1"/>
  <c r="U57" i="36" s="1"/>
  <c r="S186" i="36"/>
  <c r="T186" i="36" s="1"/>
  <c r="U186" i="36" s="1"/>
  <c r="S135" i="36"/>
  <c r="T135" i="36" s="1"/>
  <c r="U135" i="36" s="1"/>
  <c r="S136" i="36"/>
  <c r="T136" i="36" s="1"/>
  <c r="U136" i="36" s="1"/>
  <c r="S128" i="36"/>
  <c r="T128" i="36" s="1"/>
  <c r="U128" i="36" s="1"/>
  <c r="S102" i="36"/>
  <c r="T102" i="36" s="1"/>
  <c r="U102" i="36" s="1"/>
  <c r="S225" i="36"/>
  <c r="T225" i="36" s="1"/>
  <c r="U225" i="36" s="1"/>
  <c r="S113" i="36"/>
  <c r="T113" i="36" s="1"/>
  <c r="U113" i="36" s="1"/>
  <c r="S47" i="36"/>
  <c r="T47" i="36" s="1"/>
  <c r="U47" i="36" s="1"/>
  <c r="S110" i="36"/>
  <c r="T110" i="36" s="1"/>
  <c r="U110" i="36" s="1"/>
  <c r="S119" i="36"/>
  <c r="T119" i="36" s="1"/>
  <c r="U119" i="36" s="1"/>
  <c r="S223" i="36"/>
  <c r="T223" i="36" s="1"/>
  <c r="U223" i="36" s="1"/>
  <c r="S194" i="36"/>
  <c r="T194" i="36" s="1"/>
  <c r="U194" i="36" s="1"/>
  <c r="S120" i="36"/>
  <c r="T120" i="36" s="1"/>
  <c r="U120" i="36" s="1"/>
  <c r="S221" i="36"/>
  <c r="T221" i="36" s="1"/>
  <c r="U221" i="36" s="1"/>
  <c r="S294" i="36"/>
  <c r="T294" i="36" s="1"/>
  <c r="U294" i="36" s="1"/>
  <c r="S23" i="36"/>
  <c r="T23" i="36" s="1"/>
  <c r="U23" i="36" s="1"/>
  <c r="S297" i="36"/>
  <c r="T297" i="36" s="1"/>
  <c r="U297" i="36" s="1"/>
  <c r="S123" i="36"/>
  <c r="T123" i="36" s="1"/>
  <c r="U123" i="36" s="1"/>
  <c r="S250" i="36"/>
  <c r="T250" i="36" s="1"/>
  <c r="U250" i="36" s="1"/>
  <c r="S76" i="36"/>
  <c r="T76" i="36" s="1"/>
  <c r="U76" i="36" s="1"/>
  <c r="S273" i="36"/>
  <c r="T273" i="36" s="1"/>
  <c r="U273" i="36" s="1"/>
  <c r="S107" i="36"/>
  <c r="T107" i="36" s="1"/>
  <c r="U107" i="36" s="1"/>
  <c r="S256" i="36"/>
  <c r="T256" i="36" s="1"/>
  <c r="U256" i="36" s="1"/>
  <c r="S22" i="36"/>
  <c r="T22" i="36" s="1"/>
  <c r="U22" i="36" s="1"/>
  <c r="S312" i="36"/>
  <c r="T312" i="36" s="1"/>
  <c r="U312" i="36" s="1"/>
  <c r="S304" i="36"/>
  <c r="T304" i="36" s="1"/>
  <c r="U304" i="36" s="1"/>
  <c r="S10" i="36"/>
  <c r="T10" i="36" s="1"/>
  <c r="U10" i="36" s="1"/>
  <c r="S300" i="36"/>
  <c r="T300" i="36" s="1"/>
  <c r="U300" i="36" s="1"/>
  <c r="S106" i="36"/>
  <c r="T106" i="36" s="1"/>
  <c r="U106" i="36" s="1"/>
  <c r="S203" i="36"/>
  <c r="T203" i="36" s="1"/>
  <c r="U203" i="36" s="1"/>
  <c r="S140" i="36"/>
  <c r="T140" i="36" s="1"/>
  <c r="U140" i="36" s="1"/>
  <c r="S220" i="36"/>
  <c r="T220" i="36" s="1"/>
  <c r="U220" i="36" s="1"/>
  <c r="S162" i="36"/>
  <c r="T162" i="36" s="1"/>
  <c r="U162" i="36" s="1"/>
  <c r="S171" i="36"/>
  <c r="T171" i="36" s="1"/>
  <c r="U171" i="36" s="1"/>
  <c r="S235" i="36"/>
  <c r="T235" i="36" s="1"/>
  <c r="U235" i="36" s="1"/>
  <c r="S143" i="36"/>
  <c r="T143" i="36" s="1"/>
  <c r="U143" i="36" s="1"/>
  <c r="S275" i="36"/>
  <c r="T275" i="36" s="1"/>
  <c r="U275" i="36" s="1"/>
  <c r="S158" i="36"/>
  <c r="T158" i="36" s="1"/>
  <c r="U158" i="36" s="1"/>
  <c r="S226" i="36"/>
  <c r="T226" i="36" s="1"/>
  <c r="U226" i="36" s="1"/>
  <c r="S217" i="36"/>
  <c r="T217" i="36" s="1"/>
  <c r="U217" i="36" s="1"/>
  <c r="S265" i="36"/>
  <c r="T265" i="36" s="1"/>
  <c r="U265" i="36" s="1"/>
  <c r="S246" i="36"/>
  <c r="T246" i="36" s="1"/>
  <c r="U246" i="36" s="1"/>
  <c r="S18" i="36"/>
  <c r="T18" i="36" s="1"/>
  <c r="U18" i="36" s="1"/>
  <c r="S41" i="36"/>
  <c r="T41" i="36" s="1"/>
  <c r="U41" i="36" s="1"/>
  <c r="S284" i="36"/>
  <c r="T284" i="36" s="1"/>
  <c r="U284" i="36" s="1"/>
  <c r="S296" i="36"/>
  <c r="T296" i="36" s="1"/>
  <c r="U296" i="36" s="1"/>
  <c r="S74" i="36"/>
  <c r="T74" i="36" s="1"/>
  <c r="U74" i="36" s="1"/>
  <c r="S25" i="36"/>
  <c r="T25" i="36" s="1"/>
  <c r="U25" i="36" s="1"/>
  <c r="S52" i="36"/>
  <c r="T52" i="36" s="1"/>
  <c r="U52" i="36" s="1"/>
  <c r="S271" i="36"/>
  <c r="T271" i="36" s="1"/>
  <c r="U271" i="36" s="1"/>
  <c r="S68" i="36"/>
  <c r="T68" i="36" s="1"/>
  <c r="U68" i="36" s="1"/>
  <c r="S303" i="36"/>
  <c r="T303" i="36" s="1"/>
  <c r="U303" i="36" s="1"/>
  <c r="S33" i="36"/>
  <c r="T33" i="36" s="1"/>
  <c r="U33" i="36" s="1"/>
  <c r="S227" i="36"/>
  <c r="T227" i="36" s="1"/>
  <c r="U227" i="36" s="1"/>
  <c r="S27" i="36"/>
  <c r="T27" i="36" s="1"/>
  <c r="U27" i="36" s="1"/>
  <c r="S181" i="36"/>
  <c r="T181" i="36" s="1"/>
  <c r="U181" i="36" s="1"/>
  <c r="S145" i="36"/>
  <c r="T145" i="36" s="1"/>
  <c r="U145" i="36" s="1"/>
  <c r="S29" i="36"/>
  <c r="T29" i="36" s="1"/>
  <c r="U29" i="36" s="1"/>
  <c r="S191" i="36"/>
  <c r="T191" i="36" s="1"/>
  <c r="U191" i="36" s="1"/>
  <c r="S305" i="36"/>
  <c r="T305" i="36" s="1"/>
  <c r="U305" i="36" s="1"/>
  <c r="S212" i="36"/>
  <c r="T212" i="36" s="1"/>
  <c r="U212" i="36" s="1"/>
  <c r="S216" i="36"/>
  <c r="T216" i="36" s="1"/>
  <c r="U216" i="36" s="1"/>
  <c r="S24" i="36"/>
  <c r="T24" i="36" s="1"/>
  <c r="U24" i="36" s="1"/>
  <c r="S176" i="36"/>
  <c r="T176" i="36" s="1"/>
  <c r="U176" i="36" s="1"/>
  <c r="S15" i="36"/>
  <c r="T15" i="36" s="1"/>
  <c r="U15" i="36" s="1"/>
  <c r="S245" i="36"/>
  <c r="T245" i="36" s="1"/>
  <c r="U245" i="36" s="1"/>
  <c r="S155" i="36"/>
  <c r="T155" i="36" s="1"/>
  <c r="U155" i="36" s="1"/>
  <c r="S160" i="36"/>
  <c r="T160" i="36" s="1"/>
  <c r="U160" i="36" s="1"/>
  <c r="S197" i="36"/>
  <c r="T197" i="36" s="1"/>
  <c r="U197" i="36" s="1"/>
  <c r="S83" i="36"/>
  <c r="T83" i="36" s="1"/>
  <c r="U83" i="36" s="1"/>
  <c r="S100" i="36"/>
  <c r="T100" i="36" s="1"/>
  <c r="U100" i="36" s="1"/>
  <c r="S179" i="36"/>
  <c r="T179" i="36" s="1"/>
  <c r="U179" i="36" s="1"/>
  <c r="S70" i="36"/>
  <c r="T70" i="36" s="1"/>
  <c r="U70" i="36" s="1"/>
  <c r="S209" i="36"/>
  <c r="T209" i="36" s="1"/>
  <c r="U209" i="36" s="1"/>
  <c r="S178" i="36"/>
  <c r="T178" i="36" s="1"/>
  <c r="U178" i="36" s="1"/>
  <c r="S166" i="36"/>
  <c r="T166" i="36" s="1"/>
  <c r="U166" i="36" s="1"/>
  <c r="S311" i="36"/>
  <c r="T311" i="36" s="1"/>
  <c r="U311" i="36" s="1"/>
  <c r="S165" i="36"/>
  <c r="T165" i="36" s="1"/>
  <c r="U165" i="36" s="1"/>
  <c r="S308" i="36"/>
  <c r="T308" i="36" s="1"/>
  <c r="U308" i="36" s="1"/>
  <c r="S116" i="36"/>
  <c r="T116" i="36" s="1"/>
  <c r="U116" i="36" s="1"/>
  <c r="S72" i="36"/>
  <c r="T72" i="36" s="1"/>
  <c r="U72" i="36" s="1"/>
  <c r="S247" i="36"/>
  <c r="T247" i="36" s="1"/>
  <c r="U247" i="36" s="1"/>
  <c r="S233" i="36"/>
  <c r="T233" i="36" s="1"/>
  <c r="U233" i="36" s="1"/>
  <c r="S43" i="36"/>
  <c r="T43" i="36" s="1"/>
  <c r="U43" i="36" s="1"/>
  <c r="S131" i="36"/>
  <c r="T131" i="36" s="1"/>
  <c r="U131" i="36" s="1"/>
  <c r="S17" i="36"/>
  <c r="T17" i="36" s="1"/>
  <c r="U17" i="36" s="1"/>
  <c r="S30" i="36"/>
  <c r="T30" i="36" s="1"/>
  <c r="U30" i="36" s="1"/>
  <c r="S299" i="36"/>
  <c r="T299" i="36" s="1"/>
  <c r="U299" i="36" s="1"/>
  <c r="S301" i="36"/>
  <c r="T301" i="36" s="1"/>
  <c r="U301" i="36" s="1"/>
  <c r="S40" i="36"/>
  <c r="T40" i="36" s="1"/>
  <c r="U40" i="36" s="1"/>
  <c r="S39" i="36"/>
  <c r="T39" i="36" s="1"/>
  <c r="U39" i="36" s="1"/>
  <c r="S254" i="36"/>
  <c r="T254" i="36" s="1"/>
  <c r="U254" i="36" s="1"/>
  <c r="S133" i="36"/>
  <c r="T133" i="36" s="1"/>
  <c r="U133" i="36" s="1"/>
  <c r="S267" i="36"/>
  <c r="T267" i="36" s="1"/>
  <c r="U267" i="36" s="1"/>
  <c r="S224" i="36"/>
  <c r="T224" i="36" s="1"/>
  <c r="U224" i="36" s="1"/>
  <c r="S14" i="36"/>
  <c r="T14" i="36" s="1"/>
  <c r="U14" i="36" s="1"/>
  <c r="S55" i="36"/>
  <c r="T55" i="36" s="1"/>
  <c r="U55" i="36" s="1"/>
  <c r="S314" i="36"/>
  <c r="T314" i="36" s="1"/>
  <c r="U314" i="36" s="1"/>
  <c r="S298" i="36"/>
  <c r="T298" i="36" s="1"/>
  <c r="U298" i="36" s="1"/>
  <c r="S206" i="36"/>
  <c r="T206" i="36" s="1"/>
  <c r="U206" i="36" s="1"/>
  <c r="S78" i="36"/>
  <c r="T78" i="36" s="1"/>
  <c r="U78" i="36" s="1"/>
  <c r="S134" i="36"/>
  <c r="T134" i="36" s="1"/>
  <c r="U134" i="36" s="1"/>
  <c r="S12" i="36"/>
  <c r="T12" i="36" s="1"/>
  <c r="U12" i="36" s="1"/>
  <c r="S289" i="36"/>
  <c r="T289" i="36" s="1"/>
  <c r="U289" i="36" s="1"/>
  <c r="S62" i="36"/>
  <c r="T62" i="36" s="1"/>
  <c r="U62" i="36" s="1"/>
  <c r="S148" i="36"/>
  <c r="T148" i="36" s="1"/>
  <c r="U148" i="36" s="1"/>
  <c r="S101" i="36"/>
  <c r="T101" i="36" s="1"/>
  <c r="U101" i="36" s="1"/>
  <c r="S201" i="36"/>
  <c r="T201" i="36" s="1"/>
  <c r="U201" i="36" s="1"/>
  <c r="S38" i="36"/>
  <c r="T38" i="36" s="1"/>
  <c r="U38" i="36" s="1"/>
  <c r="S169" i="36"/>
  <c r="T169" i="36" s="1"/>
  <c r="U169" i="36" s="1"/>
  <c r="S13" i="36"/>
  <c r="T13" i="36" s="1"/>
  <c r="U13" i="36" s="1"/>
  <c r="S129" i="36"/>
  <c r="T129" i="36" s="1"/>
  <c r="U129" i="36" s="1"/>
  <c r="S182" i="36"/>
  <c r="T182" i="36" s="1"/>
  <c r="U182" i="36" s="1"/>
  <c r="S112" i="36"/>
  <c r="T112" i="36" s="1"/>
  <c r="U112" i="36" s="1"/>
  <c r="S118" i="36"/>
  <c r="T118" i="36" s="1"/>
  <c r="U118" i="36" s="1"/>
  <c r="S204" i="36"/>
  <c r="T204" i="36" s="1"/>
  <c r="U204" i="36" s="1"/>
  <c r="S126" i="36"/>
  <c r="T126" i="36" s="1"/>
  <c r="U126" i="36" s="1"/>
  <c r="S46" i="36"/>
  <c r="T46" i="36" s="1"/>
  <c r="U46" i="36" s="1"/>
  <c r="S122" i="36"/>
  <c r="T122" i="36" s="1"/>
  <c r="U122" i="36" s="1"/>
  <c r="S276" i="36"/>
  <c r="T276" i="36" s="1"/>
  <c r="U276" i="36" s="1"/>
  <c r="S6" i="36"/>
  <c r="T6" i="36" s="1"/>
  <c r="U6" i="36" s="1"/>
  <c r="S184" i="36"/>
  <c r="T184" i="36" s="1"/>
  <c r="U184" i="36" s="1"/>
  <c r="S9" i="36"/>
  <c r="T9" i="36" s="1"/>
  <c r="U9" i="36" s="1"/>
  <c r="S200" i="36"/>
  <c r="T200" i="36" s="1"/>
  <c r="U200" i="36" s="1"/>
  <c r="S266" i="36"/>
  <c r="T266" i="36" s="1"/>
  <c r="U266" i="36" s="1"/>
  <c r="S94" i="36"/>
  <c r="T94" i="36" s="1"/>
  <c r="U94" i="36" s="1"/>
  <c r="S172" i="36"/>
  <c r="T172" i="36" s="1"/>
  <c r="U172" i="36" s="1"/>
  <c r="S258" i="36"/>
  <c r="T258" i="36" s="1"/>
  <c r="U258" i="36" s="1"/>
  <c r="S7" i="36"/>
  <c r="T7" i="36" s="1"/>
  <c r="U7" i="36" s="1"/>
  <c r="S205" i="36"/>
  <c r="T205" i="36" s="1"/>
  <c r="U205" i="36" s="1"/>
  <c r="S61" i="36"/>
  <c r="T61" i="36" s="1"/>
  <c r="U61" i="36" s="1"/>
  <c r="S125" i="36"/>
  <c r="T125" i="36" s="1"/>
  <c r="U125" i="36" s="1"/>
  <c r="S87" i="36"/>
  <c r="T87" i="36" s="1"/>
  <c r="U87" i="36" s="1"/>
  <c r="S50" i="36"/>
  <c r="T50" i="36" s="1"/>
  <c r="U50" i="36" s="1"/>
  <c r="S192" i="36"/>
  <c r="T192" i="36" s="1"/>
  <c r="U192" i="36" s="1"/>
  <c r="S248" i="36"/>
  <c r="T248" i="36" s="1"/>
  <c r="U248" i="36" s="1"/>
  <c r="S292" i="36"/>
  <c r="T292" i="36" s="1"/>
  <c r="U292" i="36" s="1"/>
  <c r="S278" i="36"/>
  <c r="T278" i="36" s="1"/>
  <c r="U278" i="36" s="1"/>
  <c r="S207" i="36"/>
  <c r="T207" i="36" s="1"/>
  <c r="U207" i="36" s="1"/>
  <c r="S137" i="36"/>
  <c r="T137" i="36" s="1"/>
  <c r="U137" i="36" s="1"/>
  <c r="S11" i="36"/>
  <c r="T11" i="36" s="1"/>
  <c r="U11" i="36" s="1"/>
  <c r="S269" i="36"/>
  <c r="T269" i="36" s="1"/>
  <c r="U269" i="36" s="1"/>
  <c r="S268" i="36"/>
  <c r="T268" i="36" s="1"/>
  <c r="U268" i="36" s="1"/>
  <c r="S85" i="36"/>
  <c r="T85" i="36" s="1"/>
  <c r="U85" i="36" s="1"/>
  <c r="S295" i="36"/>
  <c r="T295" i="36" s="1"/>
  <c r="U295" i="36" s="1"/>
  <c r="S175" i="36"/>
  <c r="T175" i="36" s="1"/>
  <c r="U175" i="36" s="1"/>
  <c r="S115" i="36"/>
  <c r="T115" i="36" s="1"/>
  <c r="U115" i="36" s="1"/>
  <c r="S92" i="36"/>
  <c r="T92" i="36" s="1"/>
  <c r="U92" i="36" s="1"/>
  <c r="S177" i="36"/>
  <c r="T177" i="36" s="1"/>
  <c r="U177" i="36" s="1"/>
  <c r="S161" i="36"/>
  <c r="T161" i="36" s="1"/>
  <c r="U161" i="36" s="1"/>
  <c r="S32" i="36"/>
  <c r="T32" i="36" s="1"/>
  <c r="U32" i="36" s="1"/>
  <c r="S236" i="36"/>
  <c r="T236" i="36" s="1"/>
  <c r="U236" i="36" s="1"/>
  <c r="S67" i="36"/>
  <c r="T67" i="36" s="1"/>
  <c r="U67" i="36" s="1"/>
  <c r="S262" i="36"/>
  <c r="T262" i="36" s="1"/>
  <c r="U262" i="36" s="1"/>
  <c r="S188" i="36"/>
  <c r="T188" i="36" s="1"/>
  <c r="U188" i="36" s="1"/>
  <c r="S53" i="36"/>
  <c r="T53" i="36" s="1"/>
  <c r="U53" i="36" s="1"/>
  <c r="S80" i="36"/>
  <c r="T80" i="36" s="1"/>
  <c r="U80" i="36" s="1"/>
  <c r="S240" i="36"/>
  <c r="T240" i="36" s="1"/>
  <c r="U240" i="36" s="1"/>
  <c r="S60" i="36"/>
  <c r="T60" i="36" s="1"/>
  <c r="U60" i="36" s="1"/>
  <c r="S183" i="36"/>
  <c r="T183" i="36" s="1"/>
  <c r="U183" i="36" s="1"/>
  <c r="S214" i="36"/>
  <c r="T214" i="36" s="1"/>
  <c r="U214" i="36" s="1"/>
  <c r="S187" i="36"/>
  <c r="T187" i="36" s="1"/>
  <c r="U187" i="36" s="1"/>
  <c r="S44" i="36"/>
  <c r="T44" i="36" s="1"/>
  <c r="U44" i="36" s="1"/>
  <c r="S90" i="36"/>
  <c r="T90" i="36" s="1"/>
  <c r="U90" i="36" s="1"/>
  <c r="S31" i="36"/>
  <c r="T31" i="36" s="1"/>
  <c r="U31" i="36" s="1"/>
  <c r="S103" i="36"/>
  <c r="T103" i="36" s="1"/>
  <c r="U103" i="36" s="1"/>
  <c r="S49" i="36"/>
  <c r="T49" i="36" s="1"/>
  <c r="U49" i="36" s="1"/>
  <c r="S238" i="36"/>
  <c r="T238" i="36" s="1"/>
  <c r="U238" i="36" s="1"/>
  <c r="S228" i="36"/>
  <c r="T228" i="36" s="1"/>
  <c r="U228" i="36" s="1"/>
  <c r="S71" i="36"/>
  <c r="T71" i="36" s="1"/>
  <c r="U71" i="36" s="1"/>
  <c r="S313" i="36"/>
  <c r="T313" i="36" s="1"/>
  <c r="U313" i="36" s="1"/>
  <c r="S48" i="36"/>
  <c r="T48" i="36" s="1"/>
  <c r="U48" i="36" s="1"/>
  <c r="S281" i="36"/>
  <c r="T281" i="36" s="1"/>
  <c r="U281" i="36" s="1"/>
  <c r="S231" i="36"/>
  <c r="T231" i="36" s="1"/>
  <c r="U231" i="36" s="1"/>
  <c r="S28" i="36"/>
  <c r="T28" i="36" s="1"/>
  <c r="U28" i="36" s="1"/>
  <c r="S291" i="36"/>
  <c r="T291" i="36" s="1"/>
  <c r="U291" i="36" s="1"/>
  <c r="S99" i="36"/>
  <c r="T99" i="36" s="1"/>
  <c r="U99" i="36" s="1"/>
  <c r="S65" i="36"/>
  <c r="T65" i="36" s="1"/>
  <c r="U65" i="36" s="1"/>
  <c r="S287" i="36"/>
  <c r="T287" i="36" s="1"/>
  <c r="U287" i="36" s="1"/>
  <c r="S89" i="36"/>
  <c r="T89" i="36" s="1"/>
  <c r="U89" i="36" s="1"/>
  <c r="S229" i="36"/>
  <c r="T229" i="36" s="1"/>
  <c r="U229" i="36" s="1"/>
  <c r="S121" i="36"/>
  <c r="T121" i="36" s="1"/>
  <c r="U121" i="36" s="1"/>
  <c r="S257" i="36"/>
  <c r="T257" i="36" s="1"/>
  <c r="U257" i="36" s="1"/>
  <c r="S81" i="36"/>
  <c r="T81" i="36" s="1"/>
  <c r="U81" i="36" s="1"/>
  <c r="S230" i="36"/>
  <c r="T230" i="36" s="1"/>
  <c r="U230" i="36" s="1"/>
  <c r="S34" i="36"/>
  <c r="T34" i="36" s="1"/>
  <c r="U34" i="36" s="1"/>
  <c r="S255" i="36"/>
  <c r="T255" i="36" s="1"/>
  <c r="U255" i="36" s="1"/>
  <c r="S196" i="36"/>
  <c r="T196" i="36" s="1"/>
  <c r="U196" i="36" s="1"/>
  <c r="S198" i="36"/>
  <c r="T198" i="36" s="1"/>
  <c r="U198" i="36" s="1"/>
  <c r="S315" i="36"/>
  <c r="T315" i="36" s="1"/>
  <c r="U315" i="36" s="1"/>
  <c r="S253" i="36"/>
  <c r="T253" i="36" s="1"/>
  <c r="U253" i="36" s="1"/>
  <c r="S286" i="36"/>
  <c r="T286" i="36" s="1"/>
  <c r="U286" i="36" s="1"/>
  <c r="S88" i="36"/>
  <c r="T88" i="36" s="1"/>
  <c r="U88" i="36" s="1"/>
  <c r="S285" i="36"/>
  <c r="T285" i="36" s="1"/>
  <c r="U285" i="36" s="1"/>
  <c r="S37" i="36"/>
  <c r="T37" i="36" s="1"/>
  <c r="U37" i="36" s="1"/>
  <c r="S141" i="36"/>
  <c r="T141" i="36" s="1"/>
  <c r="U141" i="36" s="1"/>
  <c r="S260" i="36"/>
  <c r="T260" i="36" s="1"/>
  <c r="U260" i="36" s="1"/>
  <c r="S35" i="36"/>
  <c r="T35" i="36" s="1"/>
  <c r="U35" i="36" s="1"/>
  <c r="S234" i="36"/>
  <c r="T234" i="36" s="1"/>
  <c r="U234" i="36" s="1"/>
  <c r="S56" i="36"/>
  <c r="T56" i="36" s="1"/>
  <c r="U56" i="36" s="1"/>
  <c r="S150" i="36"/>
  <c r="T150" i="36" s="1"/>
  <c r="U150" i="36" s="1"/>
  <c r="S75" i="36"/>
  <c r="T75" i="36" s="1"/>
  <c r="U75" i="36" s="1"/>
  <c r="S210" i="36"/>
  <c r="T210" i="36" s="1"/>
  <c r="U210" i="36" s="1"/>
  <c r="S309" i="36"/>
  <c r="T309" i="36" s="1"/>
  <c r="U309" i="36" s="1"/>
  <c r="S195" i="36"/>
  <c r="T195" i="36" s="1"/>
  <c r="U195" i="36" s="1"/>
  <c r="S193" i="36"/>
  <c r="T193" i="36" s="1"/>
  <c r="U193" i="36" s="1"/>
  <c r="S144" i="36"/>
  <c r="T144" i="36" s="1"/>
  <c r="U144" i="36" s="1"/>
  <c r="S232" i="36"/>
  <c r="T232" i="36" s="1"/>
  <c r="U232" i="36" s="1"/>
  <c r="S163" i="36"/>
  <c r="T163" i="36" s="1"/>
  <c r="U163" i="36" s="1"/>
  <c r="S132" i="36"/>
  <c r="T132" i="36" s="1"/>
  <c r="U132" i="36" s="1"/>
  <c r="S310" i="36"/>
  <c r="T310" i="36" s="1"/>
  <c r="U310" i="36" s="1"/>
  <c r="S237" i="36"/>
  <c r="T237" i="36" s="1"/>
  <c r="U237" i="36" s="1"/>
  <c r="S293" i="36"/>
  <c r="T293" i="36" s="1"/>
  <c r="U293" i="36" s="1"/>
  <c r="S42" i="36"/>
  <c r="T42" i="36" s="1"/>
  <c r="U42" i="36" s="1"/>
  <c r="S164" i="36"/>
  <c r="T164" i="36" s="1"/>
  <c r="U164" i="36" s="1"/>
  <c r="S111" i="36"/>
  <c r="T111" i="36" s="1"/>
  <c r="U111" i="36" s="1"/>
  <c r="S151" i="36"/>
  <c r="T151" i="36" s="1"/>
  <c r="U151" i="36" s="1"/>
  <c r="S45" i="36"/>
  <c r="T45" i="36" s="1"/>
  <c r="U45" i="36" s="1"/>
  <c r="S208" i="36"/>
  <c r="T208" i="36" s="1"/>
  <c r="U208" i="36" s="1"/>
  <c r="S91" i="36"/>
  <c r="T91" i="36" s="1"/>
  <c r="U91" i="36" s="1"/>
  <c r="S219" i="36"/>
  <c r="T219" i="36" s="1"/>
  <c r="U219" i="36" s="1"/>
  <c r="S105" i="36"/>
  <c r="T105" i="36" s="1"/>
  <c r="U105" i="36" s="1"/>
  <c r="S218" i="36"/>
  <c r="T218" i="36" s="1"/>
  <c r="U218" i="36" s="1"/>
  <c r="S244" i="36"/>
  <c r="T244" i="36" s="1"/>
  <c r="U244" i="36" s="1"/>
  <c r="S168" i="36"/>
  <c r="T168" i="36" s="1"/>
  <c r="U168" i="36" s="1"/>
  <c r="S283" i="36"/>
  <c r="T283" i="36" s="1"/>
  <c r="U283" i="36" s="1"/>
  <c r="S270" i="36"/>
  <c r="T270" i="36" s="1"/>
  <c r="U270" i="36" s="1"/>
  <c r="S63" i="36"/>
  <c r="T63" i="36" s="1"/>
  <c r="U63" i="36" s="1"/>
  <c r="S69" i="36"/>
  <c r="T69" i="36" s="1"/>
  <c r="U69" i="36" s="1"/>
  <c r="S66" i="36"/>
  <c r="T66" i="36" s="1"/>
  <c r="U66" i="36" s="1"/>
  <c r="S277" i="36"/>
  <c r="T277" i="36" s="1"/>
  <c r="U277" i="36" s="1"/>
  <c r="S138" i="36"/>
  <c r="T138" i="36" s="1"/>
  <c r="U138" i="36" s="1"/>
  <c r="S252" i="36"/>
  <c r="T252" i="36" s="1"/>
  <c r="U252" i="36" s="1"/>
  <c r="S79" i="36"/>
  <c r="T79" i="36" s="1"/>
  <c r="U79" i="36" s="1"/>
  <c r="S156" i="36"/>
  <c r="T156" i="36" s="1"/>
  <c r="U156" i="36" s="1"/>
  <c r="S243" i="36"/>
  <c r="T243" i="36" s="1"/>
  <c r="U243" i="36" s="1"/>
  <c r="S251" i="36"/>
  <c r="T251" i="36" s="1"/>
  <c r="U251" i="36" s="1"/>
  <c r="S93" i="36"/>
  <c r="T93" i="36" s="1"/>
  <c r="U93" i="36" s="1"/>
  <c r="S127" i="36"/>
  <c r="T127" i="36" s="1"/>
  <c r="U127" i="36" s="1"/>
  <c r="S222" i="36"/>
  <c r="T222" i="36" s="1"/>
  <c r="U222" i="36" s="1"/>
  <c r="S104" i="36"/>
  <c r="T104" i="36" s="1"/>
  <c r="U104" i="36" s="1"/>
  <c r="S51" i="36"/>
  <c r="T51" i="36" s="1"/>
  <c r="U51" i="36" s="1"/>
  <c r="S54" i="36"/>
  <c r="T54" i="36" s="1"/>
  <c r="U54" i="36" s="1"/>
  <c r="S98" i="36"/>
  <c r="T98" i="36" s="1"/>
  <c r="U98" i="36" s="1"/>
  <c r="S84" i="36"/>
  <c r="T84" i="36" s="1"/>
  <c r="U84" i="36" s="1"/>
  <c r="S20" i="36"/>
  <c r="T20" i="36" s="1"/>
  <c r="U20" i="36" s="1"/>
  <c r="T4" i="36" l="1"/>
  <c r="T3" i="36" s="1" a="1"/>
  <c r="T3" i="36" s="1"/>
  <c r="S3" i="36" a="1"/>
  <c r="S3" i="36" s="1"/>
  <c r="V318" i="39"/>
  <c r="S4" i="37"/>
  <c r="S4" i="38"/>
  <c r="S290" i="39"/>
  <c r="T290" i="39" s="1"/>
  <c r="U290" i="39" s="1"/>
  <c r="S250" i="39"/>
  <c r="T250" i="39" s="1"/>
  <c r="U250" i="39" s="1"/>
  <c r="S146" i="39"/>
  <c r="T146" i="39" s="1"/>
  <c r="U146" i="39" s="1"/>
  <c r="S15" i="39"/>
  <c r="T15" i="39" s="1"/>
  <c r="U15" i="39" s="1"/>
  <c r="S279" i="39"/>
  <c r="T279" i="39" s="1"/>
  <c r="U279" i="39" s="1"/>
  <c r="S9" i="39"/>
  <c r="T9" i="39" s="1"/>
  <c r="U9" i="39" s="1"/>
  <c r="S197" i="39"/>
  <c r="T197" i="39" s="1"/>
  <c r="U197" i="39" s="1"/>
  <c r="S92" i="39"/>
  <c r="T92" i="39" s="1"/>
  <c r="U92" i="39" s="1"/>
  <c r="S159" i="39"/>
  <c r="T159" i="39" s="1"/>
  <c r="U159" i="39" s="1"/>
  <c r="S66" i="39"/>
  <c r="T66" i="39" s="1"/>
  <c r="U66" i="39" s="1"/>
  <c r="S181" i="39"/>
  <c r="T181" i="39" s="1"/>
  <c r="U181" i="39" s="1"/>
  <c r="S312" i="39"/>
  <c r="T312" i="39" s="1"/>
  <c r="U312" i="39" s="1"/>
  <c r="S87" i="39"/>
  <c r="T87" i="39" s="1"/>
  <c r="U87" i="39" s="1"/>
  <c r="S232" i="39"/>
  <c r="T232" i="39" s="1"/>
  <c r="U232" i="39" s="1"/>
  <c r="S165" i="39"/>
  <c r="T165" i="39" s="1"/>
  <c r="U165" i="39" s="1"/>
  <c r="S81" i="39"/>
  <c r="T81" i="39" s="1"/>
  <c r="U81" i="39" s="1"/>
  <c r="S103" i="39"/>
  <c r="T103" i="39" s="1"/>
  <c r="U103" i="39" s="1"/>
  <c r="S283" i="39"/>
  <c r="T283" i="39" s="1"/>
  <c r="U283" i="39" s="1"/>
  <c r="S223" i="39"/>
  <c r="T223" i="39" s="1"/>
  <c r="U223" i="39" s="1"/>
  <c r="S177" i="39"/>
  <c r="T177" i="39" s="1"/>
  <c r="U177" i="39" s="1"/>
  <c r="S294" i="39"/>
  <c r="T294" i="39" s="1"/>
  <c r="U294" i="39" s="1"/>
  <c r="S69" i="39"/>
  <c r="T69" i="39" s="1"/>
  <c r="U69" i="39" s="1"/>
  <c r="S70" i="39"/>
  <c r="T70" i="39" s="1"/>
  <c r="U70" i="39" s="1"/>
  <c r="S105" i="39"/>
  <c r="T105" i="39" s="1"/>
  <c r="U105" i="39" s="1"/>
  <c r="S192" i="39"/>
  <c r="T192" i="39" s="1"/>
  <c r="U192" i="39" s="1"/>
  <c r="S104" i="39"/>
  <c r="T104" i="39" s="1"/>
  <c r="U104" i="39" s="1"/>
  <c r="S91" i="39"/>
  <c r="T91" i="39" s="1"/>
  <c r="U91" i="39" s="1"/>
  <c r="S67" i="39"/>
  <c r="T67" i="39" s="1"/>
  <c r="U67" i="39" s="1"/>
  <c r="S183" i="39"/>
  <c r="T183" i="39" s="1"/>
  <c r="U183" i="39" s="1"/>
  <c r="S166" i="39"/>
  <c r="T166" i="39" s="1"/>
  <c r="U166" i="39" s="1"/>
  <c r="S124" i="39"/>
  <c r="T124" i="39" s="1"/>
  <c r="U124" i="39" s="1"/>
  <c r="S96" i="39"/>
  <c r="T96" i="39" s="1"/>
  <c r="U96" i="39" s="1"/>
  <c r="S214" i="39"/>
  <c r="T214" i="39" s="1"/>
  <c r="U214" i="39" s="1"/>
  <c r="S190" i="39"/>
  <c r="T190" i="39" s="1"/>
  <c r="U190" i="39" s="1"/>
  <c r="S276" i="39"/>
  <c r="T276" i="39" s="1"/>
  <c r="U276" i="39" s="1"/>
  <c r="S244" i="39"/>
  <c r="T244" i="39" s="1"/>
  <c r="U244" i="39" s="1"/>
  <c r="S203" i="39"/>
  <c r="T203" i="39" s="1"/>
  <c r="U203" i="39" s="1"/>
  <c r="S247" i="39"/>
  <c r="T247" i="39" s="1"/>
  <c r="U247" i="39" s="1"/>
  <c r="S13" i="39"/>
  <c r="T13" i="39" s="1"/>
  <c r="U13" i="39" s="1"/>
  <c r="S16" i="39"/>
  <c r="T16" i="39" s="1"/>
  <c r="U16" i="39" s="1"/>
  <c r="S40" i="39"/>
  <c r="T40" i="39" s="1"/>
  <c r="U40" i="39" s="1"/>
  <c r="S235" i="39"/>
  <c r="T235" i="39" s="1"/>
  <c r="U235" i="39" s="1"/>
  <c r="S265" i="39"/>
  <c r="T265" i="39" s="1"/>
  <c r="U265" i="39" s="1"/>
  <c r="S239" i="39"/>
  <c r="T239" i="39" s="1"/>
  <c r="U239" i="39" s="1"/>
  <c r="S230" i="39"/>
  <c r="T230" i="39" s="1"/>
  <c r="U230" i="39" s="1"/>
  <c r="S61" i="39"/>
  <c r="T61" i="39" s="1"/>
  <c r="U61" i="39" s="1"/>
  <c r="S287" i="39"/>
  <c r="T287" i="39" s="1"/>
  <c r="U287" i="39" s="1"/>
  <c r="S296" i="39"/>
  <c r="T296" i="39" s="1"/>
  <c r="U296" i="39" s="1"/>
  <c r="S273" i="39"/>
  <c r="T273" i="39" s="1"/>
  <c r="U273" i="39" s="1"/>
  <c r="S252" i="39"/>
  <c r="T252" i="39" s="1"/>
  <c r="U252" i="39" s="1"/>
  <c r="S28" i="39"/>
  <c r="T28" i="39" s="1"/>
  <c r="U28" i="39" s="1"/>
  <c r="S185" i="39"/>
  <c r="T185" i="39" s="1"/>
  <c r="U185" i="39" s="1"/>
  <c r="S99" i="39"/>
  <c r="T99" i="39" s="1"/>
  <c r="U99" i="39" s="1"/>
  <c r="S196" i="39"/>
  <c r="T196" i="39" s="1"/>
  <c r="U196" i="39" s="1"/>
  <c r="S161" i="39"/>
  <c r="T161" i="39" s="1"/>
  <c r="U161" i="39" s="1"/>
  <c r="S233" i="39"/>
  <c r="T233" i="39" s="1"/>
  <c r="U233" i="39" s="1"/>
  <c r="S306" i="39"/>
  <c r="T306" i="39" s="1"/>
  <c r="U306" i="39" s="1"/>
  <c r="S145" i="39"/>
  <c r="T145" i="39" s="1"/>
  <c r="U145" i="39" s="1"/>
  <c r="S84" i="39"/>
  <c r="T84" i="39" s="1"/>
  <c r="U84" i="39" s="1"/>
  <c r="S176" i="39"/>
  <c r="T176" i="39" s="1"/>
  <c r="U176" i="39" s="1"/>
  <c r="S186" i="39"/>
  <c r="T186" i="39" s="1"/>
  <c r="U186" i="39" s="1"/>
  <c r="S97" i="39"/>
  <c r="T97" i="39" s="1"/>
  <c r="U97" i="39" s="1"/>
  <c r="S178" i="39"/>
  <c r="T178" i="39" s="1"/>
  <c r="U178" i="39" s="1"/>
  <c r="S182" i="39"/>
  <c r="T182" i="39" s="1"/>
  <c r="U182" i="39" s="1"/>
  <c r="S225" i="39"/>
  <c r="T225" i="39" s="1"/>
  <c r="U225" i="39" s="1"/>
  <c r="S271" i="39"/>
  <c r="T271" i="39" s="1"/>
  <c r="U271" i="39" s="1"/>
  <c r="S248" i="39"/>
  <c r="T248" i="39" s="1"/>
  <c r="U248" i="39" s="1"/>
  <c r="S179" i="39"/>
  <c r="T179" i="39" s="1"/>
  <c r="U179" i="39" s="1"/>
  <c r="S191" i="39"/>
  <c r="T191" i="39" s="1"/>
  <c r="U191" i="39" s="1"/>
  <c r="S237" i="39"/>
  <c r="T237" i="39" s="1"/>
  <c r="U237" i="39" s="1"/>
  <c r="S194" i="39"/>
  <c r="T194" i="39" s="1"/>
  <c r="U194" i="39" s="1"/>
  <c r="S72" i="39"/>
  <c r="T72" i="39" s="1"/>
  <c r="U72" i="39" s="1"/>
  <c r="S245" i="39"/>
  <c r="T245" i="39" s="1"/>
  <c r="U245" i="39" s="1"/>
  <c r="S208" i="39"/>
  <c r="T208" i="39" s="1"/>
  <c r="U208" i="39" s="1"/>
  <c r="S140" i="39"/>
  <c r="T140" i="39" s="1"/>
  <c r="U140" i="39" s="1"/>
  <c r="S207" i="39"/>
  <c r="T207" i="39" s="1"/>
  <c r="U207" i="39" s="1"/>
  <c r="S215" i="39"/>
  <c r="T215" i="39" s="1"/>
  <c r="U215" i="39" s="1"/>
  <c r="S85" i="39"/>
  <c r="T85" i="39" s="1"/>
  <c r="U85" i="39" s="1"/>
  <c r="S210" i="39"/>
  <c r="T210" i="39" s="1"/>
  <c r="U210" i="39" s="1"/>
  <c r="S251" i="39"/>
  <c r="T251" i="39" s="1"/>
  <c r="U251" i="39" s="1"/>
  <c r="S313" i="39"/>
  <c r="T313" i="39" s="1"/>
  <c r="U313" i="39" s="1"/>
  <c r="S78" i="39"/>
  <c r="T78" i="39" s="1"/>
  <c r="U78" i="39" s="1"/>
  <c r="S238" i="39"/>
  <c r="T238" i="39" s="1"/>
  <c r="U238" i="39" s="1"/>
  <c r="S173" i="39"/>
  <c r="T173" i="39" s="1"/>
  <c r="U173" i="39" s="1"/>
  <c r="S310" i="39"/>
  <c r="T310" i="39" s="1"/>
  <c r="U310" i="39" s="1"/>
  <c r="S98" i="39"/>
  <c r="T98" i="39" s="1"/>
  <c r="U98" i="39" s="1"/>
  <c r="S304" i="39"/>
  <c r="T304" i="39" s="1"/>
  <c r="U304" i="39" s="1"/>
  <c r="S163" i="39"/>
  <c r="T163" i="39" s="1"/>
  <c r="U163" i="39" s="1"/>
  <c r="S189" i="39"/>
  <c r="T189" i="39" s="1"/>
  <c r="U189" i="39" s="1"/>
  <c r="S263" i="39"/>
  <c r="T263" i="39" s="1"/>
  <c r="U263" i="39" s="1"/>
  <c r="S204" i="39"/>
  <c r="T204" i="39" s="1"/>
  <c r="U204" i="39" s="1"/>
  <c r="S53" i="39"/>
  <c r="T53" i="39" s="1"/>
  <c r="U53" i="39" s="1"/>
  <c r="S45" i="39"/>
  <c r="T45" i="39" s="1"/>
  <c r="U45" i="39" s="1"/>
  <c r="S307" i="39"/>
  <c r="T307" i="39" s="1"/>
  <c r="U307" i="39" s="1"/>
  <c r="S64" i="39"/>
  <c r="T64" i="39" s="1"/>
  <c r="U64" i="39" s="1"/>
  <c r="S275" i="39"/>
  <c r="T275" i="39" s="1"/>
  <c r="U275" i="39" s="1"/>
  <c r="S21" i="39"/>
  <c r="T21" i="39" s="1"/>
  <c r="U21" i="39" s="1"/>
  <c r="S33" i="39"/>
  <c r="T33" i="39" s="1"/>
  <c r="U33" i="39" s="1"/>
  <c r="S59" i="39"/>
  <c r="T59" i="39" s="1"/>
  <c r="U59" i="39" s="1"/>
  <c r="S52" i="39"/>
  <c r="T52" i="39" s="1"/>
  <c r="U52" i="39" s="1"/>
  <c r="S256" i="39"/>
  <c r="T256" i="39" s="1"/>
  <c r="U256" i="39" s="1"/>
  <c r="S90" i="39"/>
  <c r="T90" i="39" s="1"/>
  <c r="U90" i="39" s="1"/>
  <c r="S281" i="39"/>
  <c r="T281" i="39" s="1"/>
  <c r="U281" i="39" s="1"/>
  <c r="S32" i="39"/>
  <c r="T32" i="39" s="1"/>
  <c r="U32" i="39" s="1"/>
  <c r="S114" i="39"/>
  <c r="T114" i="39" s="1"/>
  <c r="U114" i="39" s="1"/>
  <c r="S120" i="39"/>
  <c r="T120" i="39" s="1"/>
  <c r="U120" i="39" s="1"/>
  <c r="S148" i="39"/>
  <c r="T148" i="39" s="1"/>
  <c r="U148" i="39" s="1"/>
  <c r="S60" i="39"/>
  <c r="T60" i="39" s="1"/>
  <c r="U60" i="39" s="1"/>
  <c r="S236" i="39"/>
  <c r="T236" i="39" s="1"/>
  <c r="U236" i="39" s="1"/>
  <c r="S257" i="39"/>
  <c r="T257" i="39" s="1"/>
  <c r="U257" i="39" s="1"/>
  <c r="S7" i="39"/>
  <c r="T7" i="39" s="1"/>
  <c r="U7" i="39" s="1"/>
  <c r="S116" i="39"/>
  <c r="T116" i="39" s="1"/>
  <c r="U116" i="39" s="1"/>
  <c r="S150" i="39"/>
  <c r="T150" i="39" s="1"/>
  <c r="U150" i="39" s="1"/>
  <c r="S46" i="39"/>
  <c r="T46" i="39" s="1"/>
  <c r="U46" i="39" s="1"/>
  <c r="S47" i="39"/>
  <c r="T47" i="39" s="1"/>
  <c r="U47" i="39" s="1"/>
  <c r="S164" i="39"/>
  <c r="T164" i="39" s="1"/>
  <c r="U164" i="39" s="1"/>
  <c r="S19" i="39"/>
  <c r="T19" i="39" s="1"/>
  <c r="U19" i="39" s="1"/>
  <c r="S20" i="39"/>
  <c r="T20" i="39" s="1"/>
  <c r="U20" i="39" s="1"/>
  <c r="S25" i="39"/>
  <c r="T25" i="39" s="1"/>
  <c r="U25" i="39" s="1"/>
  <c r="S73" i="39"/>
  <c r="T73" i="39" s="1"/>
  <c r="U73" i="39" s="1"/>
  <c r="S152" i="39"/>
  <c r="T152" i="39" s="1"/>
  <c r="U152" i="39" s="1"/>
  <c r="S54" i="39"/>
  <c r="T54" i="39" s="1"/>
  <c r="U54" i="39" s="1"/>
  <c r="S44" i="39"/>
  <c r="T44" i="39" s="1"/>
  <c r="U44" i="39" s="1"/>
  <c r="S262" i="39"/>
  <c r="T262" i="39" s="1"/>
  <c r="U262" i="39" s="1"/>
  <c r="S227" i="39"/>
  <c r="T227" i="39" s="1"/>
  <c r="U227" i="39" s="1"/>
  <c r="S174" i="39"/>
  <c r="T174" i="39" s="1"/>
  <c r="U174" i="39" s="1"/>
  <c r="S24" i="39"/>
  <c r="T24" i="39" s="1"/>
  <c r="U24" i="39" s="1"/>
  <c r="S308" i="39"/>
  <c r="T308" i="39" s="1"/>
  <c r="U308" i="39" s="1"/>
  <c r="S22" i="39"/>
  <c r="T22" i="39" s="1"/>
  <c r="U22" i="39" s="1"/>
  <c r="S302" i="39"/>
  <c r="T302" i="39" s="1"/>
  <c r="U302" i="39" s="1"/>
  <c r="S202" i="39"/>
  <c r="T202" i="39" s="1"/>
  <c r="U202" i="39" s="1"/>
  <c r="S50" i="39"/>
  <c r="T50" i="39" s="1"/>
  <c r="U50" i="39" s="1"/>
  <c r="S63" i="39"/>
  <c r="T63" i="39" s="1"/>
  <c r="U63" i="39" s="1"/>
  <c r="S299" i="39"/>
  <c r="T299" i="39" s="1"/>
  <c r="U299" i="39" s="1"/>
  <c r="S108" i="39"/>
  <c r="T108" i="39" s="1"/>
  <c r="U108" i="39" s="1"/>
  <c r="S112" i="39"/>
  <c r="T112" i="39" s="1"/>
  <c r="U112" i="39" s="1"/>
  <c r="S160" i="39"/>
  <c r="T160" i="39" s="1"/>
  <c r="U160" i="39" s="1"/>
  <c r="S254" i="39"/>
  <c r="T254" i="39" s="1"/>
  <c r="U254" i="39" s="1"/>
  <c r="S135" i="39"/>
  <c r="T135" i="39" s="1"/>
  <c r="U135" i="39" s="1"/>
  <c r="S167" i="39"/>
  <c r="T167" i="39" s="1"/>
  <c r="U167" i="39" s="1"/>
  <c r="S95" i="39"/>
  <c r="T95" i="39" s="1"/>
  <c r="U95" i="39" s="1"/>
  <c r="S93" i="39"/>
  <c r="T93" i="39" s="1"/>
  <c r="U93" i="39" s="1"/>
  <c r="S267" i="39"/>
  <c r="T267" i="39" s="1"/>
  <c r="U267" i="39" s="1"/>
  <c r="S29" i="39"/>
  <c r="T29" i="39" s="1"/>
  <c r="U29" i="39" s="1"/>
  <c r="S6" i="39"/>
  <c r="T6" i="39" s="1"/>
  <c r="U6" i="39" s="1"/>
  <c r="S125" i="39"/>
  <c r="T125" i="39" s="1"/>
  <c r="U125" i="39" s="1"/>
  <c r="S246" i="39"/>
  <c r="T246" i="39" s="1"/>
  <c r="U246" i="39" s="1"/>
  <c r="S76" i="39"/>
  <c r="T76" i="39" s="1"/>
  <c r="U76" i="39" s="1"/>
  <c r="S171" i="39"/>
  <c r="T171" i="39" s="1"/>
  <c r="U171" i="39" s="1"/>
  <c r="S142" i="39"/>
  <c r="T142" i="39" s="1"/>
  <c r="U142" i="39" s="1"/>
  <c r="S27" i="39"/>
  <c r="T27" i="39" s="1"/>
  <c r="U27" i="39" s="1"/>
  <c r="S154" i="39"/>
  <c r="T154" i="39" s="1"/>
  <c r="U154" i="39" s="1"/>
  <c r="S121" i="39"/>
  <c r="T121" i="39" s="1"/>
  <c r="U121" i="39" s="1"/>
  <c r="S109" i="39"/>
  <c r="T109" i="39" s="1"/>
  <c r="U109" i="39" s="1"/>
  <c r="S305" i="39"/>
  <c r="T305" i="39" s="1"/>
  <c r="U305" i="39" s="1"/>
  <c r="S231" i="39"/>
  <c r="T231" i="39" s="1"/>
  <c r="U231" i="39" s="1"/>
  <c r="S80" i="39"/>
  <c r="T80" i="39" s="1"/>
  <c r="U80" i="39" s="1"/>
  <c r="S129" i="39"/>
  <c r="T129" i="39" s="1"/>
  <c r="U129" i="39" s="1"/>
  <c r="S288" i="39"/>
  <c r="T288" i="39" s="1"/>
  <c r="U288" i="39" s="1"/>
  <c r="S8" i="39"/>
  <c r="T8" i="39" s="1"/>
  <c r="U8" i="39" s="1"/>
  <c r="S316" i="39"/>
  <c r="T316" i="39" s="1"/>
  <c r="U316" i="39" s="1"/>
  <c r="S221" i="39"/>
  <c r="T221" i="39" s="1"/>
  <c r="U221" i="39" s="1"/>
  <c r="S315" i="39"/>
  <c r="T315" i="39" s="1"/>
  <c r="U315" i="39" s="1"/>
  <c r="S158" i="39"/>
  <c r="T158" i="39" s="1"/>
  <c r="U158" i="39" s="1"/>
  <c r="S23" i="39"/>
  <c r="T23" i="39" s="1"/>
  <c r="U23" i="39" s="1"/>
  <c r="S285" i="39"/>
  <c r="T285" i="39" s="1"/>
  <c r="U285" i="39" s="1"/>
  <c r="S55" i="39"/>
  <c r="T55" i="39" s="1"/>
  <c r="U55" i="39" s="1"/>
  <c r="S241" i="39"/>
  <c r="T241" i="39" s="1"/>
  <c r="U241" i="39" s="1"/>
  <c r="S136" i="39"/>
  <c r="T136" i="39" s="1"/>
  <c r="U136" i="39" s="1"/>
  <c r="S180" i="39"/>
  <c r="T180" i="39" s="1"/>
  <c r="U180" i="39" s="1"/>
  <c r="S119" i="39"/>
  <c r="T119" i="39" s="1"/>
  <c r="U119" i="39" s="1"/>
  <c r="S36" i="39"/>
  <c r="T36" i="39" s="1"/>
  <c r="U36" i="39" s="1"/>
  <c r="S168" i="39"/>
  <c r="T168" i="39" s="1"/>
  <c r="U168" i="39" s="1"/>
  <c r="S199" i="39"/>
  <c r="T199" i="39" s="1"/>
  <c r="U199" i="39" s="1"/>
  <c r="S220" i="39"/>
  <c r="T220" i="39" s="1"/>
  <c r="U220" i="39" s="1"/>
  <c r="S234" i="39"/>
  <c r="T234" i="39" s="1"/>
  <c r="U234" i="39" s="1"/>
  <c r="S209" i="39"/>
  <c r="T209" i="39" s="1"/>
  <c r="U209" i="39" s="1"/>
  <c r="S278" i="39"/>
  <c r="T278" i="39" s="1"/>
  <c r="U278" i="39" s="1"/>
  <c r="S5" i="39"/>
  <c r="T5" i="39" s="1"/>
  <c r="U5" i="39" s="1"/>
  <c r="S39" i="39"/>
  <c r="T39" i="39" s="1"/>
  <c r="U39" i="39" s="1"/>
  <c r="S68" i="39"/>
  <c r="T68" i="39" s="1"/>
  <c r="U68" i="39" s="1"/>
  <c r="S222" i="39"/>
  <c r="T222" i="39" s="1"/>
  <c r="U222" i="39" s="1"/>
  <c r="S113" i="39"/>
  <c r="T113" i="39" s="1"/>
  <c r="U113" i="39" s="1"/>
  <c r="S12" i="39"/>
  <c r="T12" i="39" s="1"/>
  <c r="U12" i="39" s="1"/>
  <c r="S172" i="39"/>
  <c r="T172" i="39" s="1"/>
  <c r="U172" i="39" s="1"/>
  <c r="S243" i="39"/>
  <c r="T243" i="39" s="1"/>
  <c r="U243" i="39" s="1"/>
  <c r="S48" i="39"/>
  <c r="T48" i="39" s="1"/>
  <c r="U48" i="39" s="1"/>
  <c r="S38" i="39"/>
  <c r="T38" i="39" s="1"/>
  <c r="U38" i="39" s="1"/>
  <c r="S242" i="39"/>
  <c r="T242" i="39" s="1"/>
  <c r="U242" i="39" s="1"/>
  <c r="S143" i="39"/>
  <c r="T143" i="39" s="1"/>
  <c r="U143" i="39" s="1"/>
  <c r="S249" i="39"/>
  <c r="T249" i="39" s="1"/>
  <c r="U249" i="39" s="1"/>
  <c r="S42" i="39"/>
  <c r="T42" i="39" s="1"/>
  <c r="U42" i="39" s="1"/>
  <c r="S216" i="39"/>
  <c r="T216" i="39" s="1"/>
  <c r="U216" i="39" s="1"/>
  <c r="S198" i="39"/>
  <c r="T198" i="39" s="1"/>
  <c r="U198" i="39" s="1"/>
  <c r="S41" i="39"/>
  <c r="T41" i="39" s="1"/>
  <c r="U41" i="39" s="1"/>
  <c r="S272" i="39"/>
  <c r="T272" i="39" s="1"/>
  <c r="U272" i="39" s="1"/>
  <c r="S187" i="39"/>
  <c r="T187" i="39" s="1"/>
  <c r="U187" i="39" s="1"/>
  <c r="S188" i="39"/>
  <c r="T188" i="39" s="1"/>
  <c r="U188" i="39" s="1"/>
  <c r="S57" i="39"/>
  <c r="T57" i="39" s="1"/>
  <c r="U57" i="39" s="1"/>
  <c r="S107" i="39"/>
  <c r="T107" i="39" s="1"/>
  <c r="U107" i="39" s="1"/>
  <c r="S217" i="39"/>
  <c r="T217" i="39" s="1"/>
  <c r="U217" i="39" s="1"/>
  <c r="S293" i="39"/>
  <c r="T293" i="39" s="1"/>
  <c r="U293" i="39" s="1"/>
  <c r="S149" i="39"/>
  <c r="T149" i="39" s="1"/>
  <c r="U149" i="39" s="1"/>
  <c r="S133" i="39"/>
  <c r="T133" i="39" s="1"/>
  <c r="U133" i="39" s="1"/>
  <c r="S184" i="39"/>
  <c r="T184" i="39" s="1"/>
  <c r="U184" i="39" s="1"/>
  <c r="S309" i="39"/>
  <c r="T309" i="39" s="1"/>
  <c r="U309" i="39" s="1"/>
  <c r="S259" i="39"/>
  <c r="T259" i="39" s="1"/>
  <c r="U259" i="39" s="1"/>
  <c r="S255" i="39"/>
  <c r="T255" i="39" s="1"/>
  <c r="U255" i="39" s="1"/>
  <c r="S139" i="39"/>
  <c r="T139" i="39" s="1"/>
  <c r="U139" i="39" s="1"/>
  <c r="S117" i="39"/>
  <c r="T117" i="39" s="1"/>
  <c r="U117" i="39" s="1"/>
  <c r="S10" i="39"/>
  <c r="T10" i="39" s="1"/>
  <c r="U10" i="39" s="1"/>
  <c r="S175" i="39"/>
  <c r="T175" i="39" s="1"/>
  <c r="U175" i="39" s="1"/>
  <c r="S147" i="39"/>
  <c r="T147" i="39" s="1"/>
  <c r="U147" i="39" s="1"/>
  <c r="S277" i="39"/>
  <c r="T277" i="39" s="1"/>
  <c r="U277" i="39" s="1"/>
  <c r="S224" i="39"/>
  <c r="T224" i="39" s="1"/>
  <c r="U224" i="39" s="1"/>
  <c r="S65" i="39"/>
  <c r="T65" i="39" s="1"/>
  <c r="U65" i="39" s="1"/>
  <c r="S74" i="39"/>
  <c r="T74" i="39" s="1"/>
  <c r="U74" i="39" s="1"/>
  <c r="S101" i="39"/>
  <c r="T101" i="39" s="1"/>
  <c r="U101" i="39" s="1"/>
  <c r="S228" i="39"/>
  <c r="T228" i="39" s="1"/>
  <c r="U228" i="39" s="1"/>
  <c r="S106" i="39"/>
  <c r="T106" i="39" s="1"/>
  <c r="U106" i="39" s="1"/>
  <c r="S134" i="39"/>
  <c r="T134" i="39" s="1"/>
  <c r="U134" i="39" s="1"/>
  <c r="S86" i="39"/>
  <c r="T86" i="39" s="1"/>
  <c r="U86" i="39" s="1"/>
  <c r="S122" i="39"/>
  <c r="T122" i="39" s="1"/>
  <c r="U122" i="39" s="1"/>
  <c r="S128" i="39"/>
  <c r="T128" i="39" s="1"/>
  <c r="U128" i="39" s="1"/>
  <c r="S253" i="39"/>
  <c r="T253" i="39" s="1"/>
  <c r="U253" i="39" s="1"/>
  <c r="S295" i="39"/>
  <c r="T295" i="39" s="1"/>
  <c r="U295" i="39" s="1"/>
  <c r="S75" i="39"/>
  <c r="T75" i="39" s="1"/>
  <c r="U75" i="39" s="1"/>
  <c r="S62" i="39"/>
  <c r="T62" i="39" s="1"/>
  <c r="U62" i="39" s="1"/>
  <c r="S291" i="39"/>
  <c r="T291" i="39" s="1"/>
  <c r="U291" i="39" s="1"/>
  <c r="S110" i="39"/>
  <c r="T110" i="39" s="1"/>
  <c r="U110" i="39" s="1"/>
  <c r="S200" i="39"/>
  <c r="T200" i="39" s="1"/>
  <c r="U200" i="39" s="1"/>
  <c r="S17" i="39"/>
  <c r="T17" i="39" s="1"/>
  <c r="U17" i="39" s="1"/>
  <c r="S37" i="39"/>
  <c r="T37" i="39" s="1"/>
  <c r="U37" i="39" s="1"/>
  <c r="S43" i="39"/>
  <c r="T43" i="39" s="1"/>
  <c r="U43" i="39" s="1"/>
  <c r="S289" i="39"/>
  <c r="T289" i="39" s="1"/>
  <c r="U289" i="39" s="1"/>
  <c r="S274" i="39"/>
  <c r="T274" i="39" s="1"/>
  <c r="U274" i="39" s="1"/>
  <c r="S195" i="39"/>
  <c r="T195" i="39" s="1"/>
  <c r="U195" i="39" s="1"/>
  <c r="S292" i="39"/>
  <c r="T292" i="39" s="1"/>
  <c r="U292" i="39" s="1"/>
  <c r="S144" i="39"/>
  <c r="T144" i="39" s="1"/>
  <c r="U144" i="39" s="1"/>
  <c r="S138" i="39"/>
  <c r="T138" i="39" s="1"/>
  <c r="U138" i="39" s="1"/>
  <c r="S162" i="39"/>
  <c r="T162" i="39" s="1"/>
  <c r="U162" i="39" s="1"/>
  <c r="S118" i="39"/>
  <c r="T118" i="39" s="1"/>
  <c r="U118" i="39" s="1"/>
  <c r="S284" i="39"/>
  <c r="T284" i="39" s="1"/>
  <c r="U284" i="39" s="1"/>
  <c r="S226" i="39"/>
  <c r="T226" i="39" s="1"/>
  <c r="U226" i="39" s="1"/>
  <c r="S314" i="39"/>
  <c r="T314" i="39" s="1"/>
  <c r="U314" i="39" s="1"/>
  <c r="S213" i="39"/>
  <c r="T213" i="39" s="1"/>
  <c r="U213" i="39" s="1"/>
  <c r="S94" i="39"/>
  <c r="T94" i="39" s="1"/>
  <c r="U94" i="39" s="1"/>
  <c r="S77" i="39"/>
  <c r="T77" i="39" s="1"/>
  <c r="U77" i="39" s="1"/>
  <c r="S89" i="39"/>
  <c r="T89" i="39" s="1"/>
  <c r="U89" i="39" s="1"/>
  <c r="S201" i="39"/>
  <c r="T201" i="39" s="1"/>
  <c r="U201" i="39" s="1"/>
  <c r="S126" i="39"/>
  <c r="T126" i="39" s="1"/>
  <c r="U126" i="39" s="1"/>
  <c r="S30" i="39"/>
  <c r="T30" i="39" s="1"/>
  <c r="U30" i="39" s="1"/>
  <c r="S71" i="39"/>
  <c r="T71" i="39" s="1"/>
  <c r="U71" i="39" s="1"/>
  <c r="S58" i="39"/>
  <c r="T58" i="39" s="1"/>
  <c r="U58" i="39" s="1"/>
  <c r="S79" i="39"/>
  <c r="T79" i="39" s="1"/>
  <c r="U79" i="39" s="1"/>
  <c r="S311" i="39"/>
  <c r="T311" i="39" s="1"/>
  <c r="U311" i="39" s="1"/>
  <c r="S132" i="39"/>
  <c r="T132" i="39" s="1"/>
  <c r="U132" i="39" s="1"/>
  <c r="S11" i="39"/>
  <c r="T11" i="39" s="1"/>
  <c r="U11" i="39" s="1"/>
  <c r="S270" i="39"/>
  <c r="T270" i="39" s="1"/>
  <c r="U270" i="39" s="1"/>
  <c r="S300" i="39"/>
  <c r="T300" i="39" s="1"/>
  <c r="U300" i="39" s="1"/>
  <c r="S82" i="39"/>
  <c r="T82" i="39" s="1"/>
  <c r="U82" i="39" s="1"/>
  <c r="S26" i="39"/>
  <c r="T26" i="39" s="1"/>
  <c r="U26" i="39" s="1"/>
  <c r="S157" i="39"/>
  <c r="T157" i="39" s="1"/>
  <c r="U157" i="39" s="1"/>
  <c r="S115" i="39"/>
  <c r="T115" i="39" s="1"/>
  <c r="U115" i="39" s="1"/>
  <c r="S264" i="39"/>
  <c r="T264" i="39" s="1"/>
  <c r="U264" i="39" s="1"/>
  <c r="S205" i="39"/>
  <c r="T205" i="39" s="1"/>
  <c r="U205" i="39" s="1"/>
  <c r="S137" i="39"/>
  <c r="T137" i="39" s="1"/>
  <c r="U137" i="39" s="1"/>
  <c r="S155" i="39"/>
  <c r="T155" i="39" s="1"/>
  <c r="U155" i="39" s="1"/>
  <c r="S260" i="39"/>
  <c r="T260" i="39" s="1"/>
  <c r="U260" i="39" s="1"/>
  <c r="S49" i="39"/>
  <c r="T49" i="39" s="1"/>
  <c r="U49" i="39" s="1"/>
  <c r="S102" i="39"/>
  <c r="T102" i="39" s="1"/>
  <c r="U102" i="39" s="1"/>
  <c r="S269" i="39"/>
  <c r="T269" i="39" s="1"/>
  <c r="U269" i="39" s="1"/>
  <c r="S206" i="39"/>
  <c r="T206" i="39" s="1"/>
  <c r="U206" i="39" s="1"/>
  <c r="S151" i="39"/>
  <c r="T151" i="39" s="1"/>
  <c r="U151" i="39" s="1"/>
  <c r="S219" i="39"/>
  <c r="T219" i="39" s="1"/>
  <c r="U219" i="39" s="1"/>
  <c r="S100" i="39"/>
  <c r="T100" i="39" s="1"/>
  <c r="U100" i="39" s="1"/>
  <c r="S83" i="39"/>
  <c r="T83" i="39" s="1"/>
  <c r="U83" i="39" s="1"/>
  <c r="S153" i="39"/>
  <c r="T153" i="39" s="1"/>
  <c r="U153" i="39" s="1"/>
  <c r="S282" i="39"/>
  <c r="T282" i="39" s="1"/>
  <c r="U282" i="39" s="1"/>
  <c r="S14" i="39"/>
  <c r="T14" i="39" s="1"/>
  <c r="U14" i="39" s="1"/>
  <c r="S258" i="39"/>
  <c r="T258" i="39" s="1"/>
  <c r="U258" i="39" s="1"/>
  <c r="S111" i="39"/>
  <c r="T111" i="39" s="1"/>
  <c r="U111" i="39" s="1"/>
  <c r="S212" i="39"/>
  <c r="T212" i="39" s="1"/>
  <c r="U212" i="39" s="1"/>
  <c r="S51" i="39"/>
  <c r="T51" i="39" s="1"/>
  <c r="U51" i="39" s="1"/>
  <c r="S261" i="39"/>
  <c r="T261" i="39" s="1"/>
  <c r="U261" i="39" s="1"/>
  <c r="S240" i="39"/>
  <c r="T240" i="39" s="1"/>
  <c r="U240" i="39" s="1"/>
  <c r="S18" i="39"/>
  <c r="T18" i="39" s="1"/>
  <c r="U18" i="39" s="1"/>
  <c r="S130" i="39"/>
  <c r="T130" i="39" s="1"/>
  <c r="U130" i="39" s="1"/>
  <c r="S218" i="39"/>
  <c r="T218" i="39" s="1"/>
  <c r="U218" i="39" s="1"/>
  <c r="S169" i="39"/>
  <c r="T169" i="39" s="1"/>
  <c r="U169" i="39" s="1"/>
  <c r="S268" i="39"/>
  <c r="T268" i="39" s="1"/>
  <c r="U268" i="39" s="1"/>
  <c r="S88" i="39"/>
  <c r="T88" i="39" s="1"/>
  <c r="U88" i="39" s="1"/>
  <c r="S35" i="39"/>
  <c r="T35" i="39" s="1"/>
  <c r="U35" i="39" s="1"/>
  <c r="S34" i="39"/>
  <c r="T34" i="39" s="1"/>
  <c r="U34" i="39" s="1"/>
  <c r="S286" i="39"/>
  <c r="T286" i="39" s="1"/>
  <c r="U286" i="39" s="1"/>
  <c r="S123" i="39"/>
  <c r="T123" i="39" s="1"/>
  <c r="U123" i="39" s="1"/>
  <c r="S229" i="39"/>
  <c r="T229" i="39" s="1"/>
  <c r="U229" i="39" s="1"/>
  <c r="S193" i="39"/>
  <c r="T193" i="39" s="1"/>
  <c r="U193" i="39" s="1"/>
  <c r="S298" i="39"/>
  <c r="T298" i="39" s="1"/>
  <c r="U298" i="39" s="1"/>
  <c r="S127" i="39"/>
  <c r="T127" i="39" s="1"/>
  <c r="U127" i="39" s="1"/>
  <c r="S131" i="39"/>
  <c r="T131" i="39" s="1"/>
  <c r="U131" i="39" s="1"/>
  <c r="S141" i="39"/>
  <c r="T141" i="39" s="1"/>
  <c r="U141" i="39" s="1"/>
  <c r="S280" i="39"/>
  <c r="T280" i="39" s="1"/>
  <c r="U280" i="39" s="1"/>
  <c r="S156" i="39"/>
  <c r="T156" i="39" s="1"/>
  <c r="U156" i="39" s="1"/>
  <c r="S303" i="39"/>
  <c r="T303" i="39" s="1"/>
  <c r="U303" i="39" s="1"/>
  <c r="S170" i="39"/>
  <c r="T170" i="39" s="1"/>
  <c r="U170" i="39" s="1"/>
  <c r="S56" i="39"/>
  <c r="T56" i="39" s="1"/>
  <c r="U56" i="39" s="1"/>
  <c r="S31" i="39"/>
  <c r="T31" i="39" s="1"/>
  <c r="U31" i="39" s="1"/>
  <c r="S211" i="39"/>
  <c r="T211" i="39" s="1"/>
  <c r="U211" i="39" s="1"/>
  <c r="S266" i="39"/>
  <c r="T266" i="39" s="1"/>
  <c r="U266" i="39" s="1"/>
  <c r="S301" i="39"/>
  <c r="T301" i="39" s="1"/>
  <c r="U301" i="39" s="1"/>
  <c r="S297" i="39"/>
  <c r="T297" i="39" s="1"/>
  <c r="U297" i="39" s="1"/>
  <c r="S4" i="39"/>
  <c r="S103" i="38"/>
  <c r="T103" i="38" s="1"/>
  <c r="U103" i="38" s="1"/>
  <c r="S39" i="38"/>
  <c r="T39" i="38" s="1"/>
  <c r="U39" i="38" s="1"/>
  <c r="S162" i="38"/>
  <c r="T162" i="38" s="1"/>
  <c r="U162" i="38" s="1"/>
  <c r="S299" i="38"/>
  <c r="T299" i="38" s="1"/>
  <c r="U299" i="38" s="1"/>
  <c r="S306" i="38"/>
  <c r="T306" i="38" s="1"/>
  <c r="U306" i="38" s="1"/>
  <c r="S297" i="38"/>
  <c r="T297" i="38" s="1"/>
  <c r="U297" i="38" s="1"/>
  <c r="S30" i="38"/>
  <c r="T30" i="38" s="1"/>
  <c r="U30" i="38" s="1"/>
  <c r="S205" i="38"/>
  <c r="T205" i="38" s="1"/>
  <c r="U205" i="38" s="1"/>
  <c r="S265" i="38"/>
  <c r="T265" i="38" s="1"/>
  <c r="U265" i="38" s="1"/>
  <c r="S217" i="38"/>
  <c r="T217" i="38" s="1"/>
  <c r="U217" i="38" s="1"/>
  <c r="S95" i="38"/>
  <c r="T95" i="38" s="1"/>
  <c r="U95" i="38" s="1"/>
  <c r="S204" i="38"/>
  <c r="T204" i="38" s="1"/>
  <c r="U204" i="38" s="1"/>
  <c r="S33" i="38"/>
  <c r="T33" i="38" s="1"/>
  <c r="U33" i="38" s="1"/>
  <c r="S206" i="38"/>
  <c r="T206" i="38" s="1"/>
  <c r="U206" i="38" s="1"/>
  <c r="S172" i="38"/>
  <c r="T172" i="38" s="1"/>
  <c r="U172" i="38" s="1"/>
  <c r="S228" i="38"/>
  <c r="T228" i="38" s="1"/>
  <c r="U228" i="38" s="1"/>
  <c r="S84" i="38"/>
  <c r="T84" i="38" s="1"/>
  <c r="U84" i="38" s="1"/>
  <c r="S111" i="38"/>
  <c r="T111" i="38" s="1"/>
  <c r="U111" i="38" s="1"/>
  <c r="S88" i="38"/>
  <c r="T88" i="38" s="1"/>
  <c r="U88" i="38" s="1"/>
  <c r="S304" i="38"/>
  <c r="T304" i="38" s="1"/>
  <c r="U304" i="38" s="1"/>
  <c r="S133" i="38"/>
  <c r="T133" i="38" s="1"/>
  <c r="U133" i="38" s="1"/>
  <c r="S216" i="38"/>
  <c r="T216" i="38" s="1"/>
  <c r="U216" i="38" s="1"/>
  <c r="S169" i="38"/>
  <c r="T169" i="38" s="1"/>
  <c r="U169" i="38" s="1"/>
  <c r="S10" i="38"/>
  <c r="T10" i="38" s="1"/>
  <c r="U10" i="38" s="1"/>
  <c r="S196" i="38"/>
  <c r="T196" i="38" s="1"/>
  <c r="U196" i="38" s="1"/>
  <c r="S164" i="38"/>
  <c r="T164" i="38" s="1"/>
  <c r="U164" i="38" s="1"/>
  <c r="S313" i="38"/>
  <c r="T313" i="38" s="1"/>
  <c r="U313" i="38" s="1"/>
  <c r="S243" i="38"/>
  <c r="T243" i="38" s="1"/>
  <c r="U243" i="38" s="1"/>
  <c r="S64" i="38"/>
  <c r="T64" i="38" s="1"/>
  <c r="U64" i="38" s="1"/>
  <c r="S23" i="38"/>
  <c r="T23" i="38" s="1"/>
  <c r="U23" i="38" s="1"/>
  <c r="S194" i="38"/>
  <c r="T194" i="38" s="1"/>
  <c r="U194" i="38" s="1"/>
  <c r="S128" i="38"/>
  <c r="T128" i="38" s="1"/>
  <c r="U128" i="38" s="1"/>
  <c r="S40" i="38"/>
  <c r="T40" i="38" s="1"/>
  <c r="U40" i="38" s="1"/>
  <c r="S168" i="38"/>
  <c r="T168" i="38" s="1"/>
  <c r="U168" i="38" s="1"/>
  <c r="S12" i="38"/>
  <c r="T12" i="38" s="1"/>
  <c r="U12" i="38" s="1"/>
  <c r="S8" i="38"/>
  <c r="T8" i="38" s="1"/>
  <c r="U8" i="38" s="1"/>
  <c r="S161" i="38"/>
  <c r="T161" i="38" s="1"/>
  <c r="U161" i="38" s="1"/>
  <c r="S75" i="38"/>
  <c r="T75" i="38" s="1"/>
  <c r="U75" i="38" s="1"/>
  <c r="S142" i="38"/>
  <c r="T142" i="38" s="1"/>
  <c r="U142" i="38" s="1"/>
  <c r="S288" i="38"/>
  <c r="T288" i="38" s="1"/>
  <c r="U288" i="38" s="1"/>
  <c r="S215" i="38"/>
  <c r="T215" i="38" s="1"/>
  <c r="U215" i="38" s="1"/>
  <c r="S85" i="38"/>
  <c r="T85" i="38" s="1"/>
  <c r="U85" i="38" s="1"/>
  <c r="S58" i="38"/>
  <c r="T58" i="38" s="1"/>
  <c r="U58" i="38" s="1"/>
  <c r="S193" i="38"/>
  <c r="T193" i="38" s="1"/>
  <c r="U193" i="38" s="1"/>
  <c r="S174" i="38"/>
  <c r="T174" i="38" s="1"/>
  <c r="U174" i="38" s="1"/>
  <c r="S27" i="38"/>
  <c r="T27" i="38" s="1"/>
  <c r="U27" i="38" s="1"/>
  <c r="S280" i="38"/>
  <c r="T280" i="38" s="1"/>
  <c r="U280" i="38" s="1"/>
  <c r="S221" i="38"/>
  <c r="T221" i="38" s="1"/>
  <c r="U221" i="38" s="1"/>
  <c r="S239" i="38"/>
  <c r="T239" i="38" s="1"/>
  <c r="U239" i="38" s="1"/>
  <c r="S98" i="38"/>
  <c r="T98" i="38" s="1"/>
  <c r="U98" i="38" s="1"/>
  <c r="S42" i="38"/>
  <c r="T42" i="38" s="1"/>
  <c r="U42" i="38" s="1"/>
  <c r="S200" i="38"/>
  <c r="T200" i="38" s="1"/>
  <c r="U200" i="38" s="1"/>
  <c r="S257" i="38"/>
  <c r="T257" i="38" s="1"/>
  <c r="U257" i="38" s="1"/>
  <c r="S147" i="38"/>
  <c r="T147" i="38" s="1"/>
  <c r="U147" i="38" s="1"/>
  <c r="S269" i="38"/>
  <c r="T269" i="38" s="1"/>
  <c r="U269" i="38" s="1"/>
  <c r="S113" i="38"/>
  <c r="T113" i="38" s="1"/>
  <c r="U113" i="38" s="1"/>
  <c r="S114" i="38"/>
  <c r="T114" i="38" s="1"/>
  <c r="U114" i="38" s="1"/>
  <c r="S127" i="38"/>
  <c r="T127" i="38" s="1"/>
  <c r="U127" i="38" s="1"/>
  <c r="S152" i="38"/>
  <c r="T152" i="38" s="1"/>
  <c r="U152" i="38" s="1"/>
  <c r="S286" i="38"/>
  <c r="T286" i="38" s="1"/>
  <c r="U286" i="38" s="1"/>
  <c r="S292" i="38"/>
  <c r="T292" i="38" s="1"/>
  <c r="U292" i="38" s="1"/>
  <c r="S159" i="38"/>
  <c r="T159" i="38" s="1"/>
  <c r="U159" i="38" s="1"/>
  <c r="S214" i="38"/>
  <c r="T214" i="38" s="1"/>
  <c r="U214" i="38" s="1"/>
  <c r="S38" i="38"/>
  <c r="T38" i="38" s="1"/>
  <c r="U38" i="38" s="1"/>
  <c r="S266" i="38"/>
  <c r="T266" i="38" s="1"/>
  <c r="U266" i="38" s="1"/>
  <c r="S123" i="38"/>
  <c r="T123" i="38" s="1"/>
  <c r="U123" i="38" s="1"/>
  <c r="S34" i="38"/>
  <c r="T34" i="38" s="1"/>
  <c r="U34" i="38" s="1"/>
  <c r="S52" i="38"/>
  <c r="T52" i="38" s="1"/>
  <c r="U52" i="38" s="1"/>
  <c r="S7" i="38"/>
  <c r="T7" i="38" s="1"/>
  <c r="U7" i="38" s="1"/>
  <c r="S69" i="38"/>
  <c r="T69" i="38" s="1"/>
  <c r="U69" i="38" s="1"/>
  <c r="S43" i="38"/>
  <c r="T43" i="38" s="1"/>
  <c r="U43" i="38" s="1"/>
  <c r="S218" i="38"/>
  <c r="T218" i="38" s="1"/>
  <c r="U218" i="38" s="1"/>
  <c r="S116" i="38"/>
  <c r="T116" i="38" s="1"/>
  <c r="U116" i="38" s="1"/>
  <c r="S284" i="38"/>
  <c r="T284" i="38" s="1"/>
  <c r="U284" i="38" s="1"/>
  <c r="S285" i="38"/>
  <c r="T285" i="38" s="1"/>
  <c r="U285" i="38" s="1"/>
  <c r="S277" i="38"/>
  <c r="T277" i="38" s="1"/>
  <c r="U277" i="38" s="1"/>
  <c r="S80" i="38"/>
  <c r="T80" i="38" s="1"/>
  <c r="U80" i="38" s="1"/>
  <c r="S303" i="38"/>
  <c r="T303" i="38" s="1"/>
  <c r="U303" i="38" s="1"/>
  <c r="S118" i="38"/>
  <c r="T118" i="38" s="1"/>
  <c r="U118" i="38" s="1"/>
  <c r="S212" i="38"/>
  <c r="T212" i="38" s="1"/>
  <c r="U212" i="38" s="1"/>
  <c r="S136" i="38"/>
  <c r="T136" i="38" s="1"/>
  <c r="U136" i="38" s="1"/>
  <c r="S315" i="38"/>
  <c r="T315" i="38" s="1"/>
  <c r="U315" i="38" s="1"/>
  <c r="S203" i="38"/>
  <c r="T203" i="38" s="1"/>
  <c r="U203" i="38" s="1"/>
  <c r="S311" i="38"/>
  <c r="T311" i="38" s="1"/>
  <c r="U311" i="38" s="1"/>
  <c r="S225" i="38"/>
  <c r="T225" i="38" s="1"/>
  <c r="U225" i="38" s="1"/>
  <c r="S245" i="38"/>
  <c r="T245" i="38" s="1"/>
  <c r="U245" i="38" s="1"/>
  <c r="S256" i="38"/>
  <c r="T256" i="38" s="1"/>
  <c r="U256" i="38" s="1"/>
  <c r="S155" i="38"/>
  <c r="T155" i="38" s="1"/>
  <c r="U155" i="38" s="1"/>
  <c r="S223" i="38"/>
  <c r="T223" i="38" s="1"/>
  <c r="U223" i="38" s="1"/>
  <c r="S226" i="38"/>
  <c r="T226" i="38" s="1"/>
  <c r="U226" i="38" s="1"/>
  <c r="S249" i="38"/>
  <c r="T249" i="38" s="1"/>
  <c r="U249" i="38" s="1"/>
  <c r="S148" i="38"/>
  <c r="T148" i="38" s="1"/>
  <c r="U148" i="38" s="1"/>
  <c r="S235" i="38"/>
  <c r="T235" i="38" s="1"/>
  <c r="U235" i="38" s="1"/>
  <c r="S183" i="38"/>
  <c r="T183" i="38" s="1"/>
  <c r="U183" i="38" s="1"/>
  <c r="S126" i="38"/>
  <c r="T126" i="38" s="1"/>
  <c r="U126" i="38" s="1"/>
  <c r="S177" i="38"/>
  <c r="T177" i="38" s="1"/>
  <c r="U177" i="38" s="1"/>
  <c r="S310" i="38"/>
  <c r="T310" i="38" s="1"/>
  <c r="U310" i="38" s="1"/>
  <c r="S115" i="38"/>
  <c r="T115" i="38" s="1"/>
  <c r="U115" i="38" s="1"/>
  <c r="S160" i="38"/>
  <c r="T160" i="38" s="1"/>
  <c r="U160" i="38" s="1"/>
  <c r="S208" i="38"/>
  <c r="T208" i="38" s="1"/>
  <c r="U208" i="38" s="1"/>
  <c r="S63" i="38"/>
  <c r="T63" i="38" s="1"/>
  <c r="U63" i="38" s="1"/>
  <c r="S106" i="38"/>
  <c r="T106" i="38" s="1"/>
  <c r="U106" i="38" s="1"/>
  <c r="S207" i="38"/>
  <c r="T207" i="38" s="1"/>
  <c r="U207" i="38" s="1"/>
  <c r="S125" i="38"/>
  <c r="T125" i="38" s="1"/>
  <c r="U125" i="38" s="1"/>
  <c r="S140" i="38"/>
  <c r="T140" i="38" s="1"/>
  <c r="U140" i="38" s="1"/>
  <c r="S57" i="38"/>
  <c r="T57" i="38" s="1"/>
  <c r="U57" i="38" s="1"/>
  <c r="S181" i="38"/>
  <c r="T181" i="38" s="1"/>
  <c r="U181" i="38" s="1"/>
  <c r="S112" i="38"/>
  <c r="T112" i="38" s="1"/>
  <c r="U112" i="38" s="1"/>
  <c r="S289" i="38"/>
  <c r="T289" i="38" s="1"/>
  <c r="U289" i="38" s="1"/>
  <c r="S163" i="38"/>
  <c r="T163" i="38" s="1"/>
  <c r="U163" i="38" s="1"/>
  <c r="S267" i="38"/>
  <c r="T267" i="38" s="1"/>
  <c r="U267" i="38" s="1"/>
  <c r="S37" i="38"/>
  <c r="T37" i="38" s="1"/>
  <c r="U37" i="38" s="1"/>
  <c r="S191" i="38"/>
  <c r="T191" i="38" s="1"/>
  <c r="U191" i="38" s="1"/>
  <c r="S48" i="38"/>
  <c r="T48" i="38" s="1"/>
  <c r="U48" i="38" s="1"/>
  <c r="S108" i="38"/>
  <c r="T108" i="38" s="1"/>
  <c r="U108" i="38" s="1"/>
  <c r="S195" i="38"/>
  <c r="T195" i="38" s="1"/>
  <c r="U195" i="38" s="1"/>
  <c r="S240" i="38"/>
  <c r="T240" i="38" s="1"/>
  <c r="U240" i="38" s="1"/>
  <c r="S132" i="38"/>
  <c r="T132" i="38" s="1"/>
  <c r="U132" i="38" s="1"/>
  <c r="S308" i="38"/>
  <c r="T308" i="38" s="1"/>
  <c r="U308" i="38" s="1"/>
  <c r="S188" i="38"/>
  <c r="T188" i="38" s="1"/>
  <c r="U188" i="38" s="1"/>
  <c r="S82" i="38"/>
  <c r="T82" i="38" s="1"/>
  <c r="U82" i="38" s="1"/>
  <c r="S233" i="38"/>
  <c r="T233" i="38" s="1"/>
  <c r="U233" i="38" s="1"/>
  <c r="S199" i="38"/>
  <c r="T199" i="38" s="1"/>
  <c r="U199" i="38" s="1"/>
  <c r="S309" i="38"/>
  <c r="T309" i="38" s="1"/>
  <c r="U309" i="38" s="1"/>
  <c r="S202" i="38"/>
  <c r="T202" i="38" s="1"/>
  <c r="U202" i="38" s="1"/>
  <c r="S130" i="38"/>
  <c r="T130" i="38" s="1"/>
  <c r="U130" i="38" s="1"/>
  <c r="S19" i="38"/>
  <c r="T19" i="38" s="1"/>
  <c r="U19" i="38" s="1"/>
  <c r="S74" i="38"/>
  <c r="T74" i="38" s="1"/>
  <c r="U74" i="38" s="1"/>
  <c r="S54" i="38"/>
  <c r="T54" i="38" s="1"/>
  <c r="U54" i="38" s="1"/>
  <c r="S15" i="38"/>
  <c r="T15" i="38" s="1"/>
  <c r="U15" i="38" s="1"/>
  <c r="S13" i="38"/>
  <c r="T13" i="38" s="1"/>
  <c r="U13" i="38" s="1"/>
  <c r="S274" i="38"/>
  <c r="T274" i="38" s="1"/>
  <c r="U274" i="38" s="1"/>
  <c r="S55" i="38"/>
  <c r="T55" i="38" s="1"/>
  <c r="U55" i="38" s="1"/>
  <c r="S62" i="38"/>
  <c r="T62" i="38" s="1"/>
  <c r="U62" i="38" s="1"/>
  <c r="S129" i="38"/>
  <c r="T129" i="38" s="1"/>
  <c r="U129" i="38" s="1"/>
  <c r="S182" i="38"/>
  <c r="T182" i="38" s="1"/>
  <c r="U182" i="38" s="1"/>
  <c r="S73" i="38"/>
  <c r="T73" i="38" s="1"/>
  <c r="U73" i="38" s="1"/>
  <c r="S124" i="38"/>
  <c r="T124" i="38" s="1"/>
  <c r="U124" i="38" s="1"/>
  <c r="S36" i="38"/>
  <c r="T36" i="38" s="1"/>
  <c r="U36" i="38" s="1"/>
  <c r="S90" i="38"/>
  <c r="T90" i="38" s="1"/>
  <c r="U90" i="38" s="1"/>
  <c r="S268" i="38"/>
  <c r="T268" i="38" s="1"/>
  <c r="U268" i="38" s="1"/>
  <c r="S79" i="38"/>
  <c r="T79" i="38" s="1"/>
  <c r="U79" i="38" s="1"/>
  <c r="S305" i="38"/>
  <c r="T305" i="38" s="1"/>
  <c r="U305" i="38" s="1"/>
  <c r="S25" i="38"/>
  <c r="T25" i="38" s="1"/>
  <c r="U25" i="38" s="1"/>
  <c r="S16" i="38"/>
  <c r="T16" i="38" s="1"/>
  <c r="U16" i="38" s="1"/>
  <c r="S271" i="38"/>
  <c r="T271" i="38" s="1"/>
  <c r="U271" i="38" s="1"/>
  <c r="S145" i="38"/>
  <c r="T145" i="38" s="1"/>
  <c r="U145" i="38" s="1"/>
  <c r="S276" i="38"/>
  <c r="T276" i="38" s="1"/>
  <c r="U276" i="38" s="1"/>
  <c r="S32" i="38"/>
  <c r="T32" i="38" s="1"/>
  <c r="U32" i="38" s="1"/>
  <c r="S247" i="38"/>
  <c r="T247" i="38" s="1"/>
  <c r="U247" i="38" s="1"/>
  <c r="S187" i="38"/>
  <c r="T187" i="38" s="1"/>
  <c r="U187" i="38" s="1"/>
  <c r="S241" i="38"/>
  <c r="T241" i="38" s="1"/>
  <c r="U241" i="38" s="1"/>
  <c r="S49" i="38"/>
  <c r="T49" i="38" s="1"/>
  <c r="U49" i="38" s="1"/>
  <c r="S131" i="38"/>
  <c r="T131" i="38" s="1"/>
  <c r="U131" i="38" s="1"/>
  <c r="S281" i="38"/>
  <c r="T281" i="38" s="1"/>
  <c r="U281" i="38" s="1"/>
  <c r="S171" i="38"/>
  <c r="T171" i="38" s="1"/>
  <c r="U171" i="38" s="1"/>
  <c r="S35" i="38"/>
  <c r="T35" i="38" s="1"/>
  <c r="U35" i="38" s="1"/>
  <c r="S31" i="38"/>
  <c r="T31" i="38" s="1"/>
  <c r="U31" i="38" s="1"/>
  <c r="S110" i="38"/>
  <c r="T110" i="38" s="1"/>
  <c r="U110" i="38" s="1"/>
  <c r="S173" i="38"/>
  <c r="T173" i="38" s="1"/>
  <c r="U173" i="38" s="1"/>
  <c r="S146" i="38"/>
  <c r="T146" i="38" s="1"/>
  <c r="U146" i="38" s="1"/>
  <c r="S26" i="38"/>
  <c r="T26" i="38" s="1"/>
  <c r="U26" i="38" s="1"/>
  <c r="S264" i="38"/>
  <c r="T264" i="38" s="1"/>
  <c r="U264" i="38" s="1"/>
  <c r="S44" i="38"/>
  <c r="T44" i="38" s="1"/>
  <c r="U44" i="38" s="1"/>
  <c r="S121" i="38"/>
  <c r="T121" i="38" s="1"/>
  <c r="U121" i="38" s="1"/>
  <c r="S176" i="38"/>
  <c r="T176" i="38" s="1"/>
  <c r="U176" i="38" s="1"/>
  <c r="S21" i="38"/>
  <c r="T21" i="38" s="1"/>
  <c r="U21" i="38" s="1"/>
  <c r="S166" i="38"/>
  <c r="T166" i="38" s="1"/>
  <c r="U166" i="38" s="1"/>
  <c r="S314" i="38"/>
  <c r="T314" i="38" s="1"/>
  <c r="U314" i="38" s="1"/>
  <c r="S28" i="38"/>
  <c r="T28" i="38" s="1"/>
  <c r="U28" i="38" s="1"/>
  <c r="S150" i="38"/>
  <c r="T150" i="38" s="1"/>
  <c r="U150" i="38" s="1"/>
  <c r="S156" i="38"/>
  <c r="T156" i="38" s="1"/>
  <c r="U156" i="38" s="1"/>
  <c r="S232" i="38"/>
  <c r="T232" i="38" s="1"/>
  <c r="U232" i="38" s="1"/>
  <c r="S143" i="38"/>
  <c r="T143" i="38" s="1"/>
  <c r="U143" i="38" s="1"/>
  <c r="S278" i="38"/>
  <c r="T278" i="38" s="1"/>
  <c r="U278" i="38" s="1"/>
  <c r="S117" i="38"/>
  <c r="T117" i="38" s="1"/>
  <c r="U117" i="38" s="1"/>
  <c r="S83" i="38"/>
  <c r="T83" i="38" s="1"/>
  <c r="U83" i="38" s="1"/>
  <c r="S296" i="38"/>
  <c r="T296" i="38" s="1"/>
  <c r="U296" i="38" s="1"/>
  <c r="S178" i="38"/>
  <c r="T178" i="38" s="1"/>
  <c r="U178" i="38" s="1"/>
  <c r="S120" i="38"/>
  <c r="T120" i="38" s="1"/>
  <c r="U120" i="38" s="1"/>
  <c r="S242" i="38"/>
  <c r="T242" i="38" s="1"/>
  <c r="U242" i="38" s="1"/>
  <c r="S238" i="38"/>
  <c r="T238" i="38" s="1"/>
  <c r="U238" i="38" s="1"/>
  <c r="S122" i="38"/>
  <c r="T122" i="38" s="1"/>
  <c r="U122" i="38" s="1"/>
  <c r="S201" i="38"/>
  <c r="T201" i="38" s="1"/>
  <c r="U201" i="38" s="1"/>
  <c r="S86" i="38"/>
  <c r="T86" i="38" s="1"/>
  <c r="U86" i="38" s="1"/>
  <c r="S246" i="38"/>
  <c r="T246" i="38" s="1"/>
  <c r="U246" i="38" s="1"/>
  <c r="S263" i="38"/>
  <c r="T263" i="38" s="1"/>
  <c r="U263" i="38" s="1"/>
  <c r="S273" i="38"/>
  <c r="T273" i="38" s="1"/>
  <c r="U273" i="38" s="1"/>
  <c r="S91" i="38"/>
  <c r="T91" i="38" s="1"/>
  <c r="U91" i="38" s="1"/>
  <c r="S252" i="38"/>
  <c r="T252" i="38" s="1"/>
  <c r="U252" i="38" s="1"/>
  <c r="S282" i="38"/>
  <c r="T282" i="38" s="1"/>
  <c r="U282" i="38" s="1"/>
  <c r="S14" i="38"/>
  <c r="T14" i="38" s="1"/>
  <c r="U14" i="38" s="1"/>
  <c r="S104" i="38"/>
  <c r="T104" i="38" s="1"/>
  <c r="U104" i="38" s="1"/>
  <c r="S93" i="38"/>
  <c r="T93" i="38" s="1"/>
  <c r="U93" i="38" s="1"/>
  <c r="S151" i="38"/>
  <c r="T151" i="38" s="1"/>
  <c r="U151" i="38" s="1"/>
  <c r="S197" i="38"/>
  <c r="T197" i="38" s="1"/>
  <c r="U197" i="38" s="1"/>
  <c r="S94" i="38"/>
  <c r="T94" i="38" s="1"/>
  <c r="U94" i="38" s="1"/>
  <c r="S234" i="38"/>
  <c r="T234" i="38" s="1"/>
  <c r="U234" i="38" s="1"/>
  <c r="S295" i="38"/>
  <c r="T295" i="38" s="1"/>
  <c r="U295" i="38" s="1"/>
  <c r="S230" i="38"/>
  <c r="T230" i="38" s="1"/>
  <c r="U230" i="38" s="1"/>
  <c r="S72" i="38"/>
  <c r="T72" i="38" s="1"/>
  <c r="U72" i="38" s="1"/>
  <c r="S65" i="38"/>
  <c r="T65" i="38" s="1"/>
  <c r="U65" i="38" s="1"/>
  <c r="S158" i="38"/>
  <c r="T158" i="38" s="1"/>
  <c r="U158" i="38" s="1"/>
  <c r="S100" i="38"/>
  <c r="T100" i="38" s="1"/>
  <c r="U100" i="38" s="1"/>
  <c r="S67" i="38"/>
  <c r="T67" i="38" s="1"/>
  <c r="U67" i="38" s="1"/>
  <c r="S56" i="38"/>
  <c r="T56" i="38" s="1"/>
  <c r="U56" i="38" s="1"/>
  <c r="S41" i="38"/>
  <c r="T41" i="38" s="1"/>
  <c r="U41" i="38" s="1"/>
  <c r="S283" i="38"/>
  <c r="T283" i="38" s="1"/>
  <c r="U283" i="38" s="1"/>
  <c r="S138" i="38"/>
  <c r="T138" i="38" s="1"/>
  <c r="U138" i="38" s="1"/>
  <c r="S198" i="38"/>
  <c r="T198" i="38" s="1"/>
  <c r="U198" i="38" s="1"/>
  <c r="S192" i="38"/>
  <c r="T192" i="38" s="1"/>
  <c r="U192" i="38" s="1"/>
  <c r="S81" i="38"/>
  <c r="T81" i="38" s="1"/>
  <c r="U81" i="38" s="1"/>
  <c r="S89" i="38"/>
  <c r="T89" i="38" s="1"/>
  <c r="U89" i="38" s="1"/>
  <c r="S244" i="38"/>
  <c r="T244" i="38" s="1"/>
  <c r="U244" i="38" s="1"/>
  <c r="S291" i="38"/>
  <c r="T291" i="38" s="1"/>
  <c r="U291" i="38" s="1"/>
  <c r="S101" i="38"/>
  <c r="T101" i="38" s="1"/>
  <c r="U101" i="38" s="1"/>
  <c r="S294" i="38"/>
  <c r="T294" i="38" s="1"/>
  <c r="U294" i="38" s="1"/>
  <c r="S105" i="38"/>
  <c r="T105" i="38" s="1"/>
  <c r="U105" i="38" s="1"/>
  <c r="S251" i="38"/>
  <c r="T251" i="38" s="1"/>
  <c r="U251" i="38" s="1"/>
  <c r="S224" i="38"/>
  <c r="T224" i="38" s="1"/>
  <c r="U224" i="38" s="1"/>
  <c r="S261" i="38"/>
  <c r="T261" i="38" s="1"/>
  <c r="U261" i="38" s="1"/>
  <c r="S6" i="38"/>
  <c r="T6" i="38" s="1"/>
  <c r="U6" i="38" s="1"/>
  <c r="S153" i="38"/>
  <c r="T153" i="38" s="1"/>
  <c r="U153" i="38" s="1"/>
  <c r="S189" i="38"/>
  <c r="T189" i="38" s="1"/>
  <c r="U189" i="38" s="1"/>
  <c r="S157" i="38"/>
  <c r="T157" i="38" s="1"/>
  <c r="U157" i="38" s="1"/>
  <c r="S139" i="38"/>
  <c r="T139" i="38" s="1"/>
  <c r="U139" i="38" s="1"/>
  <c r="S222" i="38"/>
  <c r="T222" i="38" s="1"/>
  <c r="U222" i="38" s="1"/>
  <c r="S60" i="38"/>
  <c r="T60" i="38" s="1"/>
  <c r="U60" i="38" s="1"/>
  <c r="S179" i="38"/>
  <c r="T179" i="38" s="1"/>
  <c r="U179" i="38" s="1"/>
  <c r="S262" i="38"/>
  <c r="T262" i="38" s="1"/>
  <c r="U262" i="38" s="1"/>
  <c r="S185" i="38"/>
  <c r="T185" i="38" s="1"/>
  <c r="U185" i="38" s="1"/>
  <c r="S316" i="38"/>
  <c r="T316" i="38" s="1"/>
  <c r="U316" i="38" s="1"/>
  <c r="S109" i="38"/>
  <c r="T109" i="38" s="1"/>
  <c r="U109" i="38" s="1"/>
  <c r="S227" i="38"/>
  <c r="T227" i="38" s="1"/>
  <c r="U227" i="38" s="1"/>
  <c r="S298" i="38"/>
  <c r="T298" i="38" s="1"/>
  <c r="U298" i="38" s="1"/>
  <c r="S92" i="38"/>
  <c r="T92" i="38" s="1"/>
  <c r="U92" i="38" s="1"/>
  <c r="S258" i="38"/>
  <c r="T258" i="38" s="1"/>
  <c r="U258" i="38" s="1"/>
  <c r="S50" i="38"/>
  <c r="T50" i="38" s="1"/>
  <c r="U50" i="38" s="1"/>
  <c r="S137" i="38"/>
  <c r="T137" i="38" s="1"/>
  <c r="U137" i="38" s="1"/>
  <c r="S96" i="38"/>
  <c r="T96" i="38" s="1"/>
  <c r="U96" i="38" s="1"/>
  <c r="S213" i="38"/>
  <c r="T213" i="38" s="1"/>
  <c r="U213" i="38" s="1"/>
  <c r="S71" i="38"/>
  <c r="T71" i="38" s="1"/>
  <c r="U71" i="38" s="1"/>
  <c r="S287" i="38"/>
  <c r="T287" i="38" s="1"/>
  <c r="U287" i="38" s="1"/>
  <c r="S66" i="38"/>
  <c r="T66" i="38" s="1"/>
  <c r="U66" i="38" s="1"/>
  <c r="S144" i="38"/>
  <c r="T144" i="38" s="1"/>
  <c r="U144" i="38" s="1"/>
  <c r="S99" i="38"/>
  <c r="T99" i="38" s="1"/>
  <c r="U99" i="38" s="1"/>
  <c r="S68" i="38"/>
  <c r="T68" i="38" s="1"/>
  <c r="U68" i="38" s="1"/>
  <c r="S102" i="38"/>
  <c r="T102" i="38" s="1"/>
  <c r="U102" i="38" s="1"/>
  <c r="S272" i="38"/>
  <c r="T272" i="38" s="1"/>
  <c r="U272" i="38" s="1"/>
  <c r="S22" i="38"/>
  <c r="T22" i="38" s="1"/>
  <c r="U22" i="38" s="1"/>
  <c r="S312" i="38"/>
  <c r="T312" i="38" s="1"/>
  <c r="U312" i="38" s="1"/>
  <c r="S170" i="38"/>
  <c r="T170" i="38" s="1"/>
  <c r="U170" i="38" s="1"/>
  <c r="S210" i="38"/>
  <c r="T210" i="38" s="1"/>
  <c r="U210" i="38" s="1"/>
  <c r="S46" i="38"/>
  <c r="T46" i="38" s="1"/>
  <c r="U46" i="38" s="1"/>
  <c r="S254" i="38"/>
  <c r="T254" i="38" s="1"/>
  <c r="U254" i="38" s="1"/>
  <c r="S5" i="38"/>
  <c r="T5" i="38" s="1"/>
  <c r="U5" i="38" s="1"/>
  <c r="S59" i="38"/>
  <c r="T59" i="38" s="1"/>
  <c r="U59" i="38" s="1"/>
  <c r="S11" i="38"/>
  <c r="T11" i="38" s="1"/>
  <c r="U11" i="38" s="1"/>
  <c r="S165" i="38"/>
  <c r="T165" i="38" s="1"/>
  <c r="U165" i="38" s="1"/>
  <c r="S250" i="38"/>
  <c r="T250" i="38" s="1"/>
  <c r="U250" i="38" s="1"/>
  <c r="S18" i="38"/>
  <c r="T18" i="38" s="1"/>
  <c r="U18" i="38" s="1"/>
  <c r="S231" i="38"/>
  <c r="T231" i="38" s="1"/>
  <c r="U231" i="38" s="1"/>
  <c r="S175" i="38"/>
  <c r="T175" i="38" s="1"/>
  <c r="U175" i="38" s="1"/>
  <c r="S77" i="38"/>
  <c r="T77" i="38" s="1"/>
  <c r="U77" i="38" s="1"/>
  <c r="S87" i="38"/>
  <c r="T87" i="38" s="1"/>
  <c r="U87" i="38" s="1"/>
  <c r="S20" i="38"/>
  <c r="T20" i="38" s="1"/>
  <c r="U20" i="38" s="1"/>
  <c r="S53" i="38"/>
  <c r="T53" i="38" s="1"/>
  <c r="U53" i="38" s="1"/>
  <c r="S51" i="38"/>
  <c r="T51" i="38" s="1"/>
  <c r="U51" i="38" s="1"/>
  <c r="S220" i="38"/>
  <c r="T220" i="38" s="1"/>
  <c r="U220" i="38" s="1"/>
  <c r="S275" i="38"/>
  <c r="T275" i="38" s="1"/>
  <c r="U275" i="38" s="1"/>
  <c r="S209" i="38"/>
  <c r="T209" i="38" s="1"/>
  <c r="U209" i="38" s="1"/>
  <c r="S211" i="38"/>
  <c r="T211" i="38" s="1"/>
  <c r="U211" i="38" s="1"/>
  <c r="S154" i="38"/>
  <c r="T154" i="38" s="1"/>
  <c r="U154" i="38" s="1"/>
  <c r="S229" i="38"/>
  <c r="T229" i="38" s="1"/>
  <c r="U229" i="38" s="1"/>
  <c r="S24" i="38"/>
  <c r="T24" i="38" s="1"/>
  <c r="U24" i="38" s="1"/>
  <c r="S135" i="38"/>
  <c r="T135" i="38" s="1"/>
  <c r="U135" i="38" s="1"/>
  <c r="S186" i="38"/>
  <c r="T186" i="38" s="1"/>
  <c r="U186" i="38" s="1"/>
  <c r="S78" i="38"/>
  <c r="T78" i="38" s="1"/>
  <c r="U78" i="38" s="1"/>
  <c r="S302" i="38"/>
  <c r="T302" i="38" s="1"/>
  <c r="U302" i="38" s="1"/>
  <c r="S237" i="38"/>
  <c r="T237" i="38" s="1"/>
  <c r="U237" i="38" s="1"/>
  <c r="S141" i="38"/>
  <c r="T141" i="38" s="1"/>
  <c r="U141" i="38" s="1"/>
  <c r="S119" i="38"/>
  <c r="T119" i="38" s="1"/>
  <c r="U119" i="38" s="1"/>
  <c r="S180" i="38"/>
  <c r="T180" i="38" s="1"/>
  <c r="U180" i="38" s="1"/>
  <c r="S107" i="38"/>
  <c r="T107" i="38" s="1"/>
  <c r="U107" i="38" s="1"/>
  <c r="S219" i="38"/>
  <c r="T219" i="38" s="1"/>
  <c r="U219" i="38" s="1"/>
  <c r="S260" i="38"/>
  <c r="T260" i="38" s="1"/>
  <c r="U260" i="38" s="1"/>
  <c r="S76" i="38"/>
  <c r="T76" i="38" s="1"/>
  <c r="U76" i="38" s="1"/>
  <c r="S190" i="38"/>
  <c r="T190" i="38" s="1"/>
  <c r="U190" i="38" s="1"/>
  <c r="S253" i="38"/>
  <c r="T253" i="38" s="1"/>
  <c r="U253" i="38" s="1"/>
  <c r="S236" i="38"/>
  <c r="T236" i="38" s="1"/>
  <c r="U236" i="38" s="1"/>
  <c r="S167" i="38"/>
  <c r="T167" i="38" s="1"/>
  <c r="U167" i="38" s="1"/>
  <c r="S279" i="38"/>
  <c r="T279" i="38" s="1"/>
  <c r="U279" i="38" s="1"/>
  <c r="S290" i="38"/>
  <c r="T290" i="38" s="1"/>
  <c r="U290" i="38" s="1"/>
  <c r="S97" i="38"/>
  <c r="T97" i="38" s="1"/>
  <c r="U97" i="38" s="1"/>
  <c r="S45" i="38"/>
  <c r="T45" i="38" s="1"/>
  <c r="U45" i="38" s="1"/>
  <c r="S293" i="38"/>
  <c r="T293" i="38" s="1"/>
  <c r="U293" i="38" s="1"/>
  <c r="S47" i="38"/>
  <c r="T47" i="38" s="1"/>
  <c r="U47" i="38" s="1"/>
  <c r="S134" i="38"/>
  <c r="T134" i="38" s="1"/>
  <c r="U134" i="38" s="1"/>
  <c r="S70" i="38"/>
  <c r="T70" i="38" s="1"/>
  <c r="U70" i="38" s="1"/>
  <c r="S9" i="38"/>
  <c r="T9" i="38" s="1"/>
  <c r="U9" i="38" s="1"/>
  <c r="S149" i="38"/>
  <c r="T149" i="38" s="1"/>
  <c r="U149" i="38" s="1"/>
  <c r="S61" i="38"/>
  <c r="T61" i="38" s="1"/>
  <c r="U61" i="38" s="1"/>
  <c r="S259" i="38"/>
  <c r="T259" i="38" s="1"/>
  <c r="U259" i="38" s="1"/>
  <c r="S184" i="38"/>
  <c r="T184" i="38" s="1"/>
  <c r="U184" i="38" s="1"/>
  <c r="S17" i="38"/>
  <c r="T17" i="38" s="1"/>
  <c r="U17" i="38" s="1"/>
  <c r="S29" i="38"/>
  <c r="T29" i="38" s="1"/>
  <c r="U29" i="38" s="1"/>
  <c r="S255" i="38"/>
  <c r="T255" i="38" s="1"/>
  <c r="U255" i="38" s="1"/>
  <c r="S270" i="38"/>
  <c r="T270" i="38" s="1"/>
  <c r="U270" i="38" s="1"/>
  <c r="S307" i="38"/>
  <c r="T307" i="38" s="1"/>
  <c r="U307" i="38" s="1"/>
  <c r="S301" i="38"/>
  <c r="T301" i="38" s="1"/>
  <c r="U301" i="38" s="1"/>
  <c r="S248" i="38"/>
  <c r="T248" i="38" s="1"/>
  <c r="U248" i="38" s="1"/>
  <c r="S300" i="38"/>
  <c r="T300" i="38" s="1"/>
  <c r="U300" i="38" s="1"/>
  <c r="S74" i="37"/>
  <c r="T74" i="37" s="1"/>
  <c r="U74" i="37" s="1"/>
  <c r="S307" i="37"/>
  <c r="T307" i="37" s="1"/>
  <c r="U307" i="37" s="1"/>
  <c r="S224" i="37"/>
  <c r="T224" i="37" s="1"/>
  <c r="U224" i="37" s="1"/>
  <c r="S85" i="37"/>
  <c r="T85" i="37" s="1"/>
  <c r="U85" i="37" s="1"/>
  <c r="S275" i="37"/>
  <c r="T275" i="37" s="1"/>
  <c r="U275" i="37" s="1"/>
  <c r="S169" i="37"/>
  <c r="T169" i="37" s="1"/>
  <c r="U169" i="37" s="1"/>
  <c r="S29" i="37"/>
  <c r="T29" i="37" s="1"/>
  <c r="U29" i="37" s="1"/>
  <c r="S190" i="37"/>
  <c r="T190" i="37" s="1"/>
  <c r="U190" i="37" s="1"/>
  <c r="S59" i="37"/>
  <c r="T59" i="37" s="1"/>
  <c r="U59" i="37" s="1"/>
  <c r="S313" i="37"/>
  <c r="T313" i="37" s="1"/>
  <c r="U313" i="37" s="1"/>
  <c r="S127" i="37"/>
  <c r="T127" i="37" s="1"/>
  <c r="U127" i="37" s="1"/>
  <c r="S20" i="37"/>
  <c r="T20" i="37" s="1"/>
  <c r="U20" i="37" s="1"/>
  <c r="S132" i="37"/>
  <c r="T132" i="37" s="1"/>
  <c r="U132" i="37" s="1"/>
  <c r="S130" i="37"/>
  <c r="T130" i="37" s="1"/>
  <c r="U130" i="37" s="1"/>
  <c r="S241" i="37"/>
  <c r="T241" i="37" s="1"/>
  <c r="U241" i="37" s="1"/>
  <c r="S49" i="37"/>
  <c r="T49" i="37" s="1"/>
  <c r="U49" i="37" s="1"/>
  <c r="S276" i="37"/>
  <c r="T276" i="37" s="1"/>
  <c r="U276" i="37" s="1"/>
  <c r="S136" i="37"/>
  <c r="T136" i="37" s="1"/>
  <c r="U136" i="37" s="1"/>
  <c r="S181" i="37"/>
  <c r="T181" i="37" s="1"/>
  <c r="U181" i="37" s="1"/>
  <c r="S129" i="37"/>
  <c r="T129" i="37" s="1"/>
  <c r="U129" i="37" s="1"/>
  <c r="S178" i="37"/>
  <c r="T178" i="37" s="1"/>
  <c r="U178" i="37" s="1"/>
  <c r="S141" i="37"/>
  <c r="T141" i="37" s="1"/>
  <c r="U141" i="37" s="1"/>
  <c r="S12" i="37"/>
  <c r="T12" i="37" s="1"/>
  <c r="U12" i="37" s="1"/>
  <c r="S177" i="37"/>
  <c r="T177" i="37" s="1"/>
  <c r="U177" i="37" s="1"/>
  <c r="S306" i="37"/>
  <c r="T306" i="37" s="1"/>
  <c r="U306" i="37" s="1"/>
  <c r="S294" i="37"/>
  <c r="T294" i="37" s="1"/>
  <c r="U294" i="37" s="1"/>
  <c r="S164" i="37"/>
  <c r="T164" i="37" s="1"/>
  <c r="U164" i="37" s="1"/>
  <c r="S35" i="37"/>
  <c r="T35" i="37" s="1"/>
  <c r="U35" i="37" s="1"/>
  <c r="S152" i="37"/>
  <c r="T152" i="37" s="1"/>
  <c r="U152" i="37" s="1"/>
  <c r="S218" i="37"/>
  <c r="T218" i="37" s="1"/>
  <c r="U218" i="37" s="1"/>
  <c r="S144" i="37"/>
  <c r="T144" i="37" s="1"/>
  <c r="U144" i="37" s="1"/>
  <c r="S118" i="37"/>
  <c r="T118" i="37" s="1"/>
  <c r="U118" i="37" s="1"/>
  <c r="S161" i="37"/>
  <c r="T161" i="37" s="1"/>
  <c r="U161" i="37" s="1"/>
  <c r="S106" i="37"/>
  <c r="T106" i="37" s="1"/>
  <c r="U106" i="37" s="1"/>
  <c r="S281" i="37"/>
  <c r="T281" i="37" s="1"/>
  <c r="U281" i="37" s="1"/>
  <c r="S134" i="37"/>
  <c r="T134" i="37" s="1"/>
  <c r="U134" i="37" s="1"/>
  <c r="S75" i="37"/>
  <c r="T75" i="37" s="1"/>
  <c r="U75" i="37" s="1"/>
  <c r="S304" i="37"/>
  <c r="T304" i="37" s="1"/>
  <c r="U304" i="37" s="1"/>
  <c r="S259" i="37"/>
  <c r="T259" i="37" s="1"/>
  <c r="U259" i="37" s="1"/>
  <c r="S42" i="37"/>
  <c r="T42" i="37" s="1"/>
  <c r="U42" i="37" s="1"/>
  <c r="S71" i="37"/>
  <c r="T71" i="37" s="1"/>
  <c r="U71" i="37" s="1"/>
  <c r="S228" i="37"/>
  <c r="T228" i="37" s="1"/>
  <c r="U228" i="37" s="1"/>
  <c r="S33" i="37"/>
  <c r="T33" i="37" s="1"/>
  <c r="U33" i="37" s="1"/>
  <c r="S73" i="37"/>
  <c r="T73" i="37" s="1"/>
  <c r="U73" i="37" s="1"/>
  <c r="S215" i="37"/>
  <c r="T215" i="37" s="1"/>
  <c r="U215" i="37" s="1"/>
  <c r="S297" i="37"/>
  <c r="T297" i="37" s="1"/>
  <c r="U297" i="37" s="1"/>
  <c r="S153" i="37"/>
  <c r="T153" i="37" s="1"/>
  <c r="U153" i="37" s="1"/>
  <c r="S264" i="37"/>
  <c r="T264" i="37" s="1"/>
  <c r="U264" i="37" s="1"/>
  <c r="S165" i="37"/>
  <c r="T165" i="37" s="1"/>
  <c r="U165" i="37" s="1"/>
  <c r="S188" i="37"/>
  <c r="T188" i="37" s="1"/>
  <c r="U188" i="37" s="1"/>
  <c r="S174" i="37"/>
  <c r="T174" i="37" s="1"/>
  <c r="U174" i="37" s="1"/>
  <c r="S125" i="37"/>
  <c r="T125" i="37" s="1"/>
  <c r="U125" i="37" s="1"/>
  <c r="S221" i="37"/>
  <c r="T221" i="37" s="1"/>
  <c r="U221" i="37" s="1"/>
  <c r="S70" i="37"/>
  <c r="T70" i="37" s="1"/>
  <c r="U70" i="37" s="1"/>
  <c r="S105" i="37"/>
  <c r="T105" i="37" s="1"/>
  <c r="U105" i="37" s="1"/>
  <c r="S91" i="37"/>
  <c r="T91" i="37" s="1"/>
  <c r="U91" i="37" s="1"/>
  <c r="S247" i="37"/>
  <c r="T247" i="37" s="1"/>
  <c r="U247" i="37" s="1"/>
  <c r="S289" i="37"/>
  <c r="T289" i="37" s="1"/>
  <c r="U289" i="37" s="1"/>
  <c r="S219" i="37"/>
  <c r="T219" i="37" s="1"/>
  <c r="U219" i="37" s="1"/>
  <c r="S6" i="37"/>
  <c r="T6" i="37" s="1"/>
  <c r="U6" i="37" s="1"/>
  <c r="S269" i="37"/>
  <c r="T269" i="37" s="1"/>
  <c r="U269" i="37" s="1"/>
  <c r="S24" i="37"/>
  <c r="T24" i="37" s="1"/>
  <c r="U24" i="37" s="1"/>
  <c r="S96" i="37"/>
  <c r="T96" i="37" s="1"/>
  <c r="U96" i="37" s="1"/>
  <c r="S51" i="37"/>
  <c r="T51" i="37" s="1"/>
  <c r="U51" i="37" s="1"/>
  <c r="S162" i="37"/>
  <c r="T162" i="37" s="1"/>
  <c r="U162" i="37" s="1"/>
  <c r="S256" i="37"/>
  <c r="T256" i="37" s="1"/>
  <c r="U256" i="37" s="1"/>
  <c r="S285" i="37"/>
  <c r="T285" i="37" s="1"/>
  <c r="U285" i="37" s="1"/>
  <c r="S184" i="37"/>
  <c r="T184" i="37" s="1"/>
  <c r="U184" i="37" s="1"/>
  <c r="S148" i="37"/>
  <c r="T148" i="37" s="1"/>
  <c r="U148" i="37" s="1"/>
  <c r="S115" i="37"/>
  <c r="T115" i="37" s="1"/>
  <c r="U115" i="37" s="1"/>
  <c r="S160" i="37"/>
  <c r="T160" i="37" s="1"/>
  <c r="U160" i="37" s="1"/>
  <c r="S61" i="37"/>
  <c r="T61" i="37" s="1"/>
  <c r="U61" i="37" s="1"/>
  <c r="S94" i="37"/>
  <c r="T94" i="37" s="1"/>
  <c r="U94" i="37" s="1"/>
  <c r="S254" i="37"/>
  <c r="T254" i="37" s="1"/>
  <c r="U254" i="37" s="1"/>
  <c r="S13" i="37"/>
  <c r="T13" i="37" s="1"/>
  <c r="U13" i="37" s="1"/>
  <c r="S194" i="37"/>
  <c r="T194" i="37" s="1"/>
  <c r="U194" i="37" s="1"/>
  <c r="S155" i="37"/>
  <c r="T155" i="37" s="1"/>
  <c r="U155" i="37" s="1"/>
  <c r="S309" i="37"/>
  <c r="T309" i="37" s="1"/>
  <c r="U309" i="37" s="1"/>
  <c r="S237" i="37"/>
  <c r="T237" i="37" s="1"/>
  <c r="U237" i="37" s="1"/>
  <c r="S311" i="37"/>
  <c r="T311" i="37" s="1"/>
  <c r="U311" i="37" s="1"/>
  <c r="S226" i="37"/>
  <c r="T226" i="37" s="1"/>
  <c r="U226" i="37" s="1"/>
  <c r="S139" i="37"/>
  <c r="T139" i="37" s="1"/>
  <c r="U139" i="37" s="1"/>
  <c r="S242" i="37"/>
  <c r="T242" i="37" s="1"/>
  <c r="U242" i="37" s="1"/>
  <c r="S186" i="37"/>
  <c r="T186" i="37" s="1"/>
  <c r="U186" i="37" s="1"/>
  <c r="S175" i="37"/>
  <c r="T175" i="37" s="1"/>
  <c r="U175" i="37" s="1"/>
  <c r="S47" i="37"/>
  <c r="T47" i="37" s="1"/>
  <c r="U47" i="37" s="1"/>
  <c r="S157" i="37"/>
  <c r="T157" i="37" s="1"/>
  <c r="U157" i="37" s="1"/>
  <c r="S300" i="37"/>
  <c r="T300" i="37" s="1"/>
  <c r="U300" i="37" s="1"/>
  <c r="S114" i="37"/>
  <c r="T114" i="37" s="1"/>
  <c r="U114" i="37" s="1"/>
  <c r="S154" i="37"/>
  <c r="T154" i="37" s="1"/>
  <c r="U154" i="37" s="1"/>
  <c r="S32" i="37"/>
  <c r="T32" i="37" s="1"/>
  <c r="U32" i="37" s="1"/>
  <c r="S193" i="37"/>
  <c r="T193" i="37" s="1"/>
  <c r="U193" i="37" s="1"/>
  <c r="S252" i="37"/>
  <c r="T252" i="37" s="1"/>
  <c r="U252" i="37" s="1"/>
  <c r="S98" i="37"/>
  <c r="T98" i="37" s="1"/>
  <c r="U98" i="37" s="1"/>
  <c r="S62" i="37"/>
  <c r="T62" i="37" s="1"/>
  <c r="U62" i="37" s="1"/>
  <c r="S196" i="37"/>
  <c r="T196" i="37" s="1"/>
  <c r="U196" i="37" s="1"/>
  <c r="S112" i="37"/>
  <c r="T112" i="37" s="1"/>
  <c r="U112" i="37" s="1"/>
  <c r="S308" i="37"/>
  <c r="T308" i="37" s="1"/>
  <c r="U308" i="37" s="1"/>
  <c r="S305" i="37"/>
  <c r="T305" i="37" s="1"/>
  <c r="U305" i="37" s="1"/>
  <c r="S117" i="37"/>
  <c r="T117" i="37" s="1"/>
  <c r="U117" i="37" s="1"/>
  <c r="S189" i="37"/>
  <c r="T189" i="37" s="1"/>
  <c r="U189" i="37" s="1"/>
  <c r="S111" i="37"/>
  <c r="T111" i="37" s="1"/>
  <c r="U111" i="37" s="1"/>
  <c r="S216" i="37"/>
  <c r="T216" i="37" s="1"/>
  <c r="U216" i="37" s="1"/>
  <c r="S235" i="37"/>
  <c r="T235" i="37" s="1"/>
  <c r="U235" i="37" s="1"/>
  <c r="S243" i="37"/>
  <c r="T243" i="37" s="1"/>
  <c r="U243" i="37" s="1"/>
  <c r="S30" i="37"/>
  <c r="T30" i="37" s="1"/>
  <c r="U30" i="37" s="1"/>
  <c r="S102" i="37"/>
  <c r="T102" i="37" s="1"/>
  <c r="U102" i="37" s="1"/>
  <c r="S271" i="37"/>
  <c r="T271" i="37" s="1"/>
  <c r="U271" i="37" s="1"/>
  <c r="S119" i="37"/>
  <c r="T119" i="37" s="1"/>
  <c r="U119" i="37" s="1"/>
  <c r="S249" i="37"/>
  <c r="T249" i="37" s="1"/>
  <c r="U249" i="37" s="1"/>
  <c r="S238" i="37"/>
  <c r="T238" i="37" s="1"/>
  <c r="U238" i="37" s="1"/>
  <c r="S173" i="37"/>
  <c r="T173" i="37" s="1"/>
  <c r="U173" i="37" s="1"/>
  <c r="S245" i="37"/>
  <c r="T245" i="37" s="1"/>
  <c r="U245" i="37" s="1"/>
  <c r="S8" i="37"/>
  <c r="T8" i="37" s="1"/>
  <c r="U8" i="37" s="1"/>
  <c r="S46" i="37"/>
  <c r="T46" i="37" s="1"/>
  <c r="U46" i="37" s="1"/>
  <c r="S163" i="37"/>
  <c r="T163" i="37" s="1"/>
  <c r="U163" i="37" s="1"/>
  <c r="S296" i="37"/>
  <c r="T296" i="37" s="1"/>
  <c r="U296" i="37" s="1"/>
  <c r="S222" i="37"/>
  <c r="T222" i="37" s="1"/>
  <c r="U222" i="37" s="1"/>
  <c r="S315" i="37"/>
  <c r="T315" i="37" s="1"/>
  <c r="U315" i="37" s="1"/>
  <c r="S122" i="37"/>
  <c r="T122" i="37" s="1"/>
  <c r="U122" i="37" s="1"/>
  <c r="S282" i="37"/>
  <c r="T282" i="37" s="1"/>
  <c r="U282" i="37" s="1"/>
  <c r="S110" i="37"/>
  <c r="T110" i="37" s="1"/>
  <c r="U110" i="37" s="1"/>
  <c r="S55" i="37"/>
  <c r="T55" i="37" s="1"/>
  <c r="U55" i="37" s="1"/>
  <c r="S257" i="37"/>
  <c r="T257" i="37" s="1"/>
  <c r="U257" i="37" s="1"/>
  <c r="S11" i="37"/>
  <c r="T11" i="37" s="1"/>
  <c r="U11" i="37" s="1"/>
  <c r="S121" i="37"/>
  <c r="T121" i="37" s="1"/>
  <c r="U121" i="37" s="1"/>
  <c r="S210" i="37"/>
  <c r="T210" i="37" s="1"/>
  <c r="U210" i="37" s="1"/>
  <c r="S90" i="37"/>
  <c r="T90" i="37" s="1"/>
  <c r="U90" i="37" s="1"/>
  <c r="S204" i="37"/>
  <c r="T204" i="37" s="1"/>
  <c r="U204" i="37" s="1"/>
  <c r="S146" i="37"/>
  <c r="T146" i="37" s="1"/>
  <c r="U146" i="37" s="1"/>
  <c r="S22" i="37"/>
  <c r="T22" i="37" s="1"/>
  <c r="U22" i="37" s="1"/>
  <c r="S265" i="37"/>
  <c r="T265" i="37" s="1"/>
  <c r="U265" i="37" s="1"/>
  <c r="S84" i="37"/>
  <c r="T84" i="37" s="1"/>
  <c r="U84" i="37" s="1"/>
  <c r="S126" i="37"/>
  <c r="T126" i="37" s="1"/>
  <c r="U126" i="37" s="1"/>
  <c r="S262" i="37"/>
  <c r="T262" i="37" s="1"/>
  <c r="U262" i="37" s="1"/>
  <c r="S9" i="37"/>
  <c r="T9" i="37" s="1"/>
  <c r="U9" i="37" s="1"/>
  <c r="S149" i="37"/>
  <c r="T149" i="37" s="1"/>
  <c r="U149" i="37" s="1"/>
  <c r="S240" i="37"/>
  <c r="T240" i="37" s="1"/>
  <c r="U240" i="37" s="1"/>
  <c r="S93" i="37"/>
  <c r="T93" i="37" s="1"/>
  <c r="U93" i="37" s="1"/>
  <c r="S251" i="37"/>
  <c r="T251" i="37" s="1"/>
  <c r="U251" i="37" s="1"/>
  <c r="S151" i="37"/>
  <c r="T151" i="37" s="1"/>
  <c r="U151" i="37" s="1"/>
  <c r="S176" i="37"/>
  <c r="T176" i="37" s="1"/>
  <c r="U176" i="37" s="1"/>
  <c r="S227" i="37"/>
  <c r="T227" i="37" s="1"/>
  <c r="U227" i="37" s="1"/>
  <c r="S109" i="37"/>
  <c r="T109" i="37" s="1"/>
  <c r="U109" i="37" s="1"/>
  <c r="S44" i="37"/>
  <c r="T44" i="37" s="1"/>
  <c r="U44" i="37" s="1"/>
  <c r="S137" i="37"/>
  <c r="T137" i="37" s="1"/>
  <c r="U137" i="37" s="1"/>
  <c r="S65" i="37"/>
  <c r="T65" i="37" s="1"/>
  <c r="U65" i="37" s="1"/>
  <c r="S45" i="37"/>
  <c r="T45" i="37" s="1"/>
  <c r="U45" i="37" s="1"/>
  <c r="S7" i="37"/>
  <c r="T7" i="37" s="1"/>
  <c r="U7" i="37" s="1"/>
  <c r="S232" i="37"/>
  <c r="T232" i="37" s="1"/>
  <c r="U232" i="37" s="1"/>
  <c r="S78" i="37"/>
  <c r="T78" i="37" s="1"/>
  <c r="U78" i="37" s="1"/>
  <c r="S239" i="37"/>
  <c r="T239" i="37" s="1"/>
  <c r="U239" i="37" s="1"/>
  <c r="S138" i="37"/>
  <c r="T138" i="37" s="1"/>
  <c r="U138" i="37" s="1"/>
  <c r="S214" i="37"/>
  <c r="T214" i="37" s="1"/>
  <c r="U214" i="37" s="1"/>
  <c r="S270" i="37"/>
  <c r="T270" i="37" s="1"/>
  <c r="U270" i="37" s="1"/>
  <c r="S302" i="37"/>
  <c r="T302" i="37" s="1"/>
  <c r="U302" i="37" s="1"/>
  <c r="S212" i="37"/>
  <c r="T212" i="37" s="1"/>
  <c r="U212" i="37" s="1"/>
  <c r="S211" i="37"/>
  <c r="T211" i="37" s="1"/>
  <c r="U211" i="37" s="1"/>
  <c r="S278" i="37"/>
  <c r="T278" i="37" s="1"/>
  <c r="U278" i="37" s="1"/>
  <c r="S206" i="37"/>
  <c r="T206" i="37" s="1"/>
  <c r="U206" i="37" s="1"/>
  <c r="S56" i="37"/>
  <c r="T56" i="37" s="1"/>
  <c r="U56" i="37" s="1"/>
  <c r="S19" i="37"/>
  <c r="T19" i="37" s="1"/>
  <c r="U19" i="37" s="1"/>
  <c r="S156" i="37"/>
  <c r="T156" i="37" s="1"/>
  <c r="U156" i="37" s="1"/>
  <c r="S104" i="37"/>
  <c r="T104" i="37" s="1"/>
  <c r="U104" i="37" s="1"/>
  <c r="S217" i="37"/>
  <c r="T217" i="37" s="1"/>
  <c r="U217" i="37" s="1"/>
  <c r="S50" i="37"/>
  <c r="T50" i="37" s="1"/>
  <c r="U50" i="37" s="1"/>
  <c r="S283" i="37"/>
  <c r="T283" i="37" s="1"/>
  <c r="U283" i="37" s="1"/>
  <c r="S170" i="37"/>
  <c r="T170" i="37" s="1"/>
  <c r="U170" i="37" s="1"/>
  <c r="S301" i="37"/>
  <c r="T301" i="37" s="1"/>
  <c r="U301" i="37" s="1"/>
  <c r="S99" i="37"/>
  <c r="T99" i="37" s="1"/>
  <c r="U99" i="37" s="1"/>
  <c r="S34" i="37"/>
  <c r="T34" i="37" s="1"/>
  <c r="U34" i="37" s="1"/>
  <c r="S279" i="37"/>
  <c r="T279" i="37" s="1"/>
  <c r="U279" i="37" s="1"/>
  <c r="S145" i="37"/>
  <c r="T145" i="37" s="1"/>
  <c r="U145" i="37" s="1"/>
  <c r="S233" i="37"/>
  <c r="T233" i="37" s="1"/>
  <c r="U233" i="37" s="1"/>
  <c r="S266" i="37"/>
  <c r="T266" i="37" s="1"/>
  <c r="U266" i="37" s="1"/>
  <c r="S48" i="37"/>
  <c r="T48" i="37" s="1"/>
  <c r="U48" i="37" s="1"/>
  <c r="S182" i="37"/>
  <c r="T182" i="37" s="1"/>
  <c r="U182" i="37" s="1"/>
  <c r="S180" i="37"/>
  <c r="T180" i="37" s="1"/>
  <c r="U180" i="37" s="1"/>
  <c r="S72" i="37"/>
  <c r="T72" i="37" s="1"/>
  <c r="U72" i="37" s="1"/>
  <c r="S5" i="37"/>
  <c r="T5" i="37" s="1"/>
  <c r="U5" i="37" s="1"/>
  <c r="S95" i="37"/>
  <c r="T95" i="37" s="1"/>
  <c r="U95" i="37" s="1"/>
  <c r="S168" i="37"/>
  <c r="T168" i="37" s="1"/>
  <c r="U168" i="37" s="1"/>
  <c r="S113" i="37"/>
  <c r="T113" i="37" s="1"/>
  <c r="U113" i="37" s="1"/>
  <c r="S260" i="37"/>
  <c r="T260" i="37" s="1"/>
  <c r="U260" i="37" s="1"/>
  <c r="S293" i="37"/>
  <c r="T293" i="37" s="1"/>
  <c r="U293" i="37" s="1"/>
  <c r="S143" i="37"/>
  <c r="T143" i="37" s="1"/>
  <c r="U143" i="37" s="1"/>
  <c r="S54" i="37"/>
  <c r="T54" i="37" s="1"/>
  <c r="U54" i="37" s="1"/>
  <c r="S167" i="37"/>
  <c r="T167" i="37" s="1"/>
  <c r="U167" i="37" s="1"/>
  <c r="S273" i="37"/>
  <c r="T273" i="37" s="1"/>
  <c r="U273" i="37" s="1"/>
  <c r="S88" i="37"/>
  <c r="T88" i="37" s="1"/>
  <c r="U88" i="37" s="1"/>
  <c r="S76" i="37"/>
  <c r="T76" i="37" s="1"/>
  <c r="U76" i="37" s="1"/>
  <c r="S131" i="37"/>
  <c r="T131" i="37" s="1"/>
  <c r="U131" i="37" s="1"/>
  <c r="S123" i="37"/>
  <c r="T123" i="37" s="1"/>
  <c r="U123" i="37" s="1"/>
  <c r="S116" i="37"/>
  <c r="T116" i="37" s="1"/>
  <c r="U116" i="37" s="1"/>
  <c r="S52" i="37"/>
  <c r="T52" i="37" s="1"/>
  <c r="U52" i="37" s="1"/>
  <c r="S316" i="37"/>
  <c r="T316" i="37" s="1"/>
  <c r="U316" i="37" s="1"/>
  <c r="S37" i="37"/>
  <c r="T37" i="37" s="1"/>
  <c r="U37" i="37" s="1"/>
  <c r="S171" i="37"/>
  <c r="T171" i="37" s="1"/>
  <c r="U171" i="37" s="1"/>
  <c r="S284" i="37"/>
  <c r="T284" i="37" s="1"/>
  <c r="U284" i="37" s="1"/>
  <c r="S18" i="37"/>
  <c r="T18" i="37" s="1"/>
  <c r="U18" i="37" s="1"/>
  <c r="S290" i="37"/>
  <c r="T290" i="37" s="1"/>
  <c r="U290" i="37" s="1"/>
  <c r="S292" i="37"/>
  <c r="T292" i="37" s="1"/>
  <c r="U292" i="37" s="1"/>
  <c r="S83" i="37"/>
  <c r="T83" i="37" s="1"/>
  <c r="U83" i="37" s="1"/>
  <c r="S100" i="37"/>
  <c r="T100" i="37" s="1"/>
  <c r="U100" i="37" s="1"/>
  <c r="S205" i="37"/>
  <c r="T205" i="37" s="1"/>
  <c r="U205" i="37" s="1"/>
  <c r="S280" i="37"/>
  <c r="T280" i="37" s="1"/>
  <c r="U280" i="37" s="1"/>
  <c r="S299" i="37"/>
  <c r="T299" i="37" s="1"/>
  <c r="U299" i="37" s="1"/>
  <c r="S40" i="37"/>
  <c r="T40" i="37" s="1"/>
  <c r="U40" i="37" s="1"/>
  <c r="S158" i="37"/>
  <c r="T158" i="37" s="1"/>
  <c r="U158" i="37" s="1"/>
  <c r="S147" i="37"/>
  <c r="T147" i="37" s="1"/>
  <c r="U147" i="37" s="1"/>
  <c r="S195" i="37"/>
  <c r="T195" i="37" s="1"/>
  <c r="U195" i="37" s="1"/>
  <c r="S25" i="37"/>
  <c r="T25" i="37" s="1"/>
  <c r="U25" i="37" s="1"/>
  <c r="S23" i="37"/>
  <c r="T23" i="37" s="1"/>
  <c r="U23" i="37" s="1"/>
  <c r="S150" i="37"/>
  <c r="T150" i="37" s="1"/>
  <c r="U150" i="37" s="1"/>
  <c r="S60" i="37"/>
  <c r="T60" i="37" s="1"/>
  <c r="U60" i="37" s="1"/>
  <c r="S277" i="37"/>
  <c r="T277" i="37" s="1"/>
  <c r="U277" i="37" s="1"/>
  <c r="S38" i="37"/>
  <c r="T38" i="37" s="1"/>
  <c r="U38" i="37" s="1"/>
  <c r="S26" i="37"/>
  <c r="T26" i="37" s="1"/>
  <c r="U26" i="37" s="1"/>
  <c r="S223" i="37"/>
  <c r="T223" i="37" s="1"/>
  <c r="U223" i="37" s="1"/>
  <c r="S140" i="37"/>
  <c r="T140" i="37" s="1"/>
  <c r="U140" i="37" s="1"/>
  <c r="S303" i="37"/>
  <c r="T303" i="37" s="1"/>
  <c r="U303" i="37" s="1"/>
  <c r="S79" i="37"/>
  <c r="T79" i="37" s="1"/>
  <c r="U79" i="37" s="1"/>
  <c r="S67" i="37"/>
  <c r="T67" i="37" s="1"/>
  <c r="U67" i="37" s="1"/>
  <c r="S66" i="37"/>
  <c r="T66" i="37" s="1"/>
  <c r="U66" i="37" s="1"/>
  <c r="S41" i="37"/>
  <c r="T41" i="37" s="1"/>
  <c r="U41" i="37" s="1"/>
  <c r="S202" i="37"/>
  <c r="T202" i="37" s="1"/>
  <c r="U202" i="37" s="1"/>
  <c r="S310" i="37"/>
  <c r="T310" i="37" s="1"/>
  <c r="U310" i="37" s="1"/>
  <c r="S92" i="37"/>
  <c r="T92" i="37" s="1"/>
  <c r="U92" i="37" s="1"/>
  <c r="S268" i="37"/>
  <c r="T268" i="37" s="1"/>
  <c r="U268" i="37" s="1"/>
  <c r="S255" i="37"/>
  <c r="T255" i="37" s="1"/>
  <c r="U255" i="37" s="1"/>
  <c r="S261" i="37"/>
  <c r="T261" i="37" s="1"/>
  <c r="U261" i="37" s="1"/>
  <c r="S101" i="37"/>
  <c r="T101" i="37" s="1"/>
  <c r="U101" i="37" s="1"/>
  <c r="S198" i="37"/>
  <c r="T198" i="37" s="1"/>
  <c r="U198" i="37" s="1"/>
  <c r="S80" i="37"/>
  <c r="T80" i="37" s="1"/>
  <c r="U80" i="37" s="1"/>
  <c r="S258" i="37"/>
  <c r="T258" i="37" s="1"/>
  <c r="U258" i="37" s="1"/>
  <c r="S53" i="37"/>
  <c r="T53" i="37" s="1"/>
  <c r="U53" i="37" s="1"/>
  <c r="S77" i="37"/>
  <c r="T77" i="37" s="1"/>
  <c r="U77" i="37" s="1"/>
  <c r="S36" i="37"/>
  <c r="T36" i="37" s="1"/>
  <c r="U36" i="37" s="1"/>
  <c r="S191" i="37"/>
  <c r="T191" i="37" s="1"/>
  <c r="U191" i="37" s="1"/>
  <c r="S135" i="37"/>
  <c r="T135" i="37" s="1"/>
  <c r="U135" i="37" s="1"/>
  <c r="S200" i="37"/>
  <c r="T200" i="37" s="1"/>
  <c r="U200" i="37" s="1"/>
  <c r="S64" i="37"/>
  <c r="T64" i="37" s="1"/>
  <c r="U64" i="37" s="1"/>
  <c r="S82" i="37"/>
  <c r="T82" i="37" s="1"/>
  <c r="U82" i="37" s="1"/>
  <c r="S246" i="37"/>
  <c r="T246" i="37" s="1"/>
  <c r="U246" i="37" s="1"/>
  <c r="S229" i="37"/>
  <c r="T229" i="37" s="1"/>
  <c r="U229" i="37" s="1"/>
  <c r="S179" i="37"/>
  <c r="T179" i="37" s="1"/>
  <c r="U179" i="37" s="1"/>
  <c r="S15" i="37"/>
  <c r="T15" i="37" s="1"/>
  <c r="U15" i="37" s="1"/>
  <c r="S244" i="37"/>
  <c r="T244" i="37" s="1"/>
  <c r="U244" i="37" s="1"/>
  <c r="S250" i="37"/>
  <c r="T250" i="37" s="1"/>
  <c r="U250" i="37" s="1"/>
  <c r="S63" i="37"/>
  <c r="T63" i="37" s="1"/>
  <c r="U63" i="37" s="1"/>
  <c r="S31" i="37"/>
  <c r="T31" i="37" s="1"/>
  <c r="U31" i="37" s="1"/>
  <c r="S201" i="37"/>
  <c r="T201" i="37" s="1"/>
  <c r="U201" i="37" s="1"/>
  <c r="S213" i="37"/>
  <c r="T213" i="37" s="1"/>
  <c r="U213" i="37" s="1"/>
  <c r="S253" i="37"/>
  <c r="T253" i="37" s="1"/>
  <c r="U253" i="37" s="1"/>
  <c r="S27" i="37"/>
  <c r="T27" i="37" s="1"/>
  <c r="U27" i="37" s="1"/>
  <c r="S314" i="37"/>
  <c r="T314" i="37" s="1"/>
  <c r="U314" i="37" s="1"/>
  <c r="S248" i="37"/>
  <c r="T248" i="37" s="1"/>
  <c r="U248" i="37" s="1"/>
  <c r="S197" i="37"/>
  <c r="T197" i="37" s="1"/>
  <c r="U197" i="37" s="1"/>
  <c r="S87" i="37"/>
  <c r="T87" i="37" s="1"/>
  <c r="U87" i="37" s="1"/>
  <c r="S21" i="37"/>
  <c r="T21" i="37" s="1"/>
  <c r="U21" i="37" s="1"/>
  <c r="S185" i="37"/>
  <c r="T185" i="37" s="1"/>
  <c r="U185" i="37" s="1"/>
  <c r="S295" i="37"/>
  <c r="T295" i="37" s="1"/>
  <c r="U295" i="37" s="1"/>
  <c r="S274" i="37"/>
  <c r="T274" i="37" s="1"/>
  <c r="U274" i="37" s="1"/>
  <c r="S81" i="37"/>
  <c r="T81" i="37" s="1"/>
  <c r="U81" i="37" s="1"/>
  <c r="S128" i="37"/>
  <c r="T128" i="37" s="1"/>
  <c r="U128" i="37" s="1"/>
  <c r="S220" i="37"/>
  <c r="T220" i="37" s="1"/>
  <c r="U220" i="37" s="1"/>
  <c r="S10" i="37"/>
  <c r="T10" i="37" s="1"/>
  <c r="U10" i="37" s="1"/>
  <c r="S142" i="37"/>
  <c r="T142" i="37" s="1"/>
  <c r="U142" i="37" s="1"/>
  <c r="S286" i="37"/>
  <c r="T286" i="37" s="1"/>
  <c r="U286" i="37" s="1"/>
  <c r="S208" i="37"/>
  <c r="T208" i="37" s="1"/>
  <c r="U208" i="37" s="1"/>
  <c r="S103" i="37"/>
  <c r="T103" i="37" s="1"/>
  <c r="U103" i="37" s="1"/>
  <c r="S58" i="37"/>
  <c r="T58" i="37" s="1"/>
  <c r="U58" i="37" s="1"/>
  <c r="S187" i="37"/>
  <c r="T187" i="37" s="1"/>
  <c r="U187" i="37" s="1"/>
  <c r="S28" i="37"/>
  <c r="T28" i="37" s="1"/>
  <c r="U28" i="37" s="1"/>
  <c r="S263" i="37"/>
  <c r="T263" i="37" s="1"/>
  <c r="U263" i="37" s="1"/>
  <c r="S312" i="37"/>
  <c r="T312" i="37" s="1"/>
  <c r="U312" i="37" s="1"/>
  <c r="S89" i="37"/>
  <c r="T89" i="37" s="1"/>
  <c r="U89" i="37" s="1"/>
  <c r="S272" i="37"/>
  <c r="T272" i="37" s="1"/>
  <c r="U272" i="37" s="1"/>
  <c r="S39" i="37"/>
  <c r="T39" i="37" s="1"/>
  <c r="U39" i="37" s="1"/>
  <c r="S287" i="37"/>
  <c r="T287" i="37" s="1"/>
  <c r="U287" i="37" s="1"/>
  <c r="S298" i="37"/>
  <c r="T298" i="37" s="1"/>
  <c r="U298" i="37" s="1"/>
  <c r="S86" i="37"/>
  <c r="T86" i="37" s="1"/>
  <c r="U86" i="37" s="1"/>
  <c r="S203" i="37"/>
  <c r="T203" i="37" s="1"/>
  <c r="U203" i="37" s="1"/>
  <c r="S97" i="37"/>
  <c r="T97" i="37" s="1"/>
  <c r="U97" i="37" s="1"/>
  <c r="S291" i="37"/>
  <c r="T291" i="37" s="1"/>
  <c r="U291" i="37" s="1"/>
  <c r="S230" i="37"/>
  <c r="T230" i="37" s="1"/>
  <c r="U230" i="37" s="1"/>
  <c r="S225" i="37"/>
  <c r="T225" i="37" s="1"/>
  <c r="U225" i="37" s="1"/>
  <c r="S133" i="37"/>
  <c r="T133" i="37" s="1"/>
  <c r="U133" i="37" s="1"/>
  <c r="S120" i="37"/>
  <c r="T120" i="37" s="1"/>
  <c r="U120" i="37" s="1"/>
  <c r="S236" i="37"/>
  <c r="T236" i="37" s="1"/>
  <c r="U236" i="37" s="1"/>
  <c r="S172" i="37"/>
  <c r="T172" i="37" s="1"/>
  <c r="U172" i="37" s="1"/>
  <c r="S108" i="37"/>
  <c r="T108" i="37" s="1"/>
  <c r="U108" i="37" s="1"/>
  <c r="S183" i="37"/>
  <c r="T183" i="37" s="1"/>
  <c r="U183" i="37" s="1"/>
  <c r="S69" i="37"/>
  <c r="T69" i="37" s="1"/>
  <c r="U69" i="37" s="1"/>
  <c r="S267" i="37"/>
  <c r="T267" i="37" s="1"/>
  <c r="U267" i="37" s="1"/>
  <c r="S209" i="37"/>
  <c r="T209" i="37" s="1"/>
  <c r="U209" i="37" s="1"/>
  <c r="S43" i="37"/>
  <c r="T43" i="37" s="1"/>
  <c r="U43" i="37" s="1"/>
  <c r="S199" i="37"/>
  <c r="T199" i="37" s="1"/>
  <c r="U199" i="37" s="1"/>
  <c r="S14" i="37"/>
  <c r="T14" i="37" s="1"/>
  <c r="U14" i="37" s="1"/>
  <c r="S124" i="37"/>
  <c r="T124" i="37" s="1"/>
  <c r="U124" i="37" s="1"/>
  <c r="S68" i="37"/>
  <c r="T68" i="37" s="1"/>
  <c r="U68" i="37" s="1"/>
  <c r="S57" i="37"/>
  <c r="T57" i="37" s="1"/>
  <c r="U57" i="37" s="1"/>
  <c r="S16" i="37"/>
  <c r="T16" i="37" s="1"/>
  <c r="U16" i="37" s="1"/>
  <c r="S207" i="37"/>
  <c r="T207" i="37" s="1"/>
  <c r="U207" i="37" s="1"/>
  <c r="S288" i="37"/>
  <c r="T288" i="37" s="1"/>
  <c r="U288" i="37" s="1"/>
  <c r="S159" i="37"/>
  <c r="T159" i="37" s="1"/>
  <c r="U159" i="37" s="1"/>
  <c r="S231" i="37"/>
  <c r="T231" i="37" s="1"/>
  <c r="U231" i="37" s="1"/>
  <c r="S107" i="37"/>
  <c r="T107" i="37" s="1"/>
  <c r="U107" i="37" s="1"/>
  <c r="S166" i="37"/>
  <c r="T166" i="37" s="1"/>
  <c r="U166" i="37" s="1"/>
  <c r="S234" i="37"/>
  <c r="T234" i="37" s="1"/>
  <c r="U234" i="37" s="1"/>
  <c r="S192" i="37"/>
  <c r="T192" i="37" s="1"/>
  <c r="U192" i="37" s="1"/>
  <c r="S17" i="37"/>
  <c r="T17" i="37" s="1"/>
  <c r="U17" i="37" s="1"/>
  <c r="V210" i="36"/>
  <c r="V37" i="36"/>
  <c r="V287" i="36"/>
  <c r="V44" i="36"/>
  <c r="V115" i="36"/>
  <c r="V61" i="36"/>
  <c r="V118" i="36"/>
  <c r="V298" i="36"/>
  <c r="V233" i="36"/>
  <c r="V194" i="36"/>
  <c r="V222" i="36"/>
  <c r="V138" i="36"/>
  <c r="V244" i="36"/>
  <c r="V111" i="36"/>
  <c r="V132" i="36"/>
  <c r="V75" i="36"/>
  <c r="V285" i="36"/>
  <c r="V34" i="36"/>
  <c r="V65" i="36"/>
  <c r="V71" i="36"/>
  <c r="V187" i="36"/>
  <c r="V262" i="36"/>
  <c r="V175" i="36"/>
  <c r="V278" i="36"/>
  <c r="V205" i="36"/>
  <c r="V184" i="36"/>
  <c r="V112" i="36"/>
  <c r="V148" i="36"/>
  <c r="V314" i="36"/>
  <c r="V40" i="36"/>
  <c r="V247" i="36"/>
  <c r="V209" i="36"/>
  <c r="V245" i="36"/>
  <c r="V29" i="36"/>
  <c r="V271" i="36"/>
  <c r="V246" i="36"/>
  <c r="V235" i="36"/>
  <c r="V10" i="36"/>
  <c r="V250" i="36"/>
  <c r="V223" i="36"/>
  <c r="V136" i="36"/>
  <c r="V185" i="36"/>
  <c r="V117" i="36"/>
  <c r="V147" i="36"/>
  <c r="V58" i="36"/>
  <c r="V261" i="36"/>
  <c r="V239" i="36"/>
  <c r="V114" i="36"/>
  <c r="V252" i="36"/>
  <c r="V127" i="36"/>
  <c r="V277" i="36"/>
  <c r="V218" i="36"/>
  <c r="V164" i="36"/>
  <c r="V163" i="36"/>
  <c r="V150" i="36"/>
  <c r="V88" i="36"/>
  <c r="V230" i="36"/>
  <c r="V99" i="36"/>
  <c r="V228" i="36"/>
  <c r="V214" i="36"/>
  <c r="V67" i="36"/>
  <c r="V295" i="36"/>
  <c r="V292" i="36"/>
  <c r="V7" i="36"/>
  <c r="V6" i="36"/>
  <c r="V182" i="36"/>
  <c r="V62" i="36"/>
  <c r="V55" i="36"/>
  <c r="V301" i="36"/>
  <c r="V72" i="36"/>
  <c r="V70" i="36"/>
  <c r="V15" i="36"/>
  <c r="V145" i="36"/>
  <c r="V52" i="36"/>
  <c r="V265" i="36"/>
  <c r="V171" i="36"/>
  <c r="V304" i="36"/>
  <c r="V123" i="36"/>
  <c r="V119" i="36"/>
  <c r="V135" i="36"/>
  <c r="V19" i="36"/>
  <c r="V306" i="36"/>
  <c r="V213" i="36"/>
  <c r="V124" i="36"/>
  <c r="V154" i="36"/>
  <c r="V26" i="36"/>
  <c r="V139" i="36"/>
  <c r="V170" i="36"/>
  <c r="V20" i="36"/>
  <c r="V93" i="36"/>
  <c r="V66" i="36"/>
  <c r="V105" i="36"/>
  <c r="V42" i="36"/>
  <c r="V232" i="36"/>
  <c r="V56" i="36"/>
  <c r="V286" i="36"/>
  <c r="V81" i="36"/>
  <c r="V291" i="36"/>
  <c r="V238" i="36"/>
  <c r="V183" i="36"/>
  <c r="V236" i="36"/>
  <c r="V85" i="36"/>
  <c r="V248" i="36"/>
  <c r="V258" i="36"/>
  <c r="V276" i="36"/>
  <c r="V129" i="36"/>
  <c r="V289" i="36"/>
  <c r="V14" i="36"/>
  <c r="V299" i="36"/>
  <c r="V116" i="36"/>
  <c r="V179" i="36"/>
  <c r="V176" i="36"/>
  <c r="V181" i="36"/>
  <c r="V25" i="36"/>
  <c r="V217" i="36"/>
  <c r="V162" i="36"/>
  <c r="V312" i="36"/>
  <c r="V297" i="36"/>
  <c r="V110" i="36"/>
  <c r="V186" i="36"/>
  <c r="V280" i="36"/>
  <c r="V288" i="36"/>
  <c r="V159" i="36"/>
  <c r="V316" i="36"/>
  <c r="V82" i="36"/>
  <c r="V242" i="36"/>
  <c r="V95" i="36"/>
  <c r="V264" i="36"/>
  <c r="V151" i="36"/>
  <c r="V84" i="36"/>
  <c r="V251" i="36"/>
  <c r="V69" i="36"/>
  <c r="V219" i="36"/>
  <c r="V293" i="36"/>
  <c r="V144" i="36"/>
  <c r="V234" i="36"/>
  <c r="V253" i="36"/>
  <c r="V257" i="36"/>
  <c r="V28" i="36"/>
  <c r="V49" i="36"/>
  <c r="V60" i="36"/>
  <c r="V32" i="36"/>
  <c r="V268" i="36"/>
  <c r="V192" i="36"/>
  <c r="V172" i="36"/>
  <c r="V122" i="36"/>
  <c r="V13" i="36"/>
  <c r="V12" i="36"/>
  <c r="V224" i="36"/>
  <c r="V30" i="36"/>
  <c r="V308" i="36"/>
  <c r="V100" i="36"/>
  <c r="V24" i="36"/>
  <c r="V27" i="36"/>
  <c r="V74" i="36"/>
  <c r="V226" i="36"/>
  <c r="V220" i="36"/>
  <c r="V22" i="36"/>
  <c r="V23" i="36"/>
  <c r="V47" i="36"/>
  <c r="V57" i="36"/>
  <c r="V149" i="36"/>
  <c r="V263" i="36"/>
  <c r="V211" i="36"/>
  <c r="V152" i="36"/>
  <c r="V189" i="36"/>
  <c r="V36" i="36"/>
  <c r="V279" i="36"/>
  <c r="V5" i="36"/>
  <c r="V168" i="36"/>
  <c r="V98" i="36"/>
  <c r="V243" i="36"/>
  <c r="V63" i="36"/>
  <c r="V91" i="36"/>
  <c r="V193" i="36"/>
  <c r="V35" i="36"/>
  <c r="V315" i="36"/>
  <c r="V121" i="36"/>
  <c r="V231" i="36"/>
  <c r="V103" i="36"/>
  <c r="V240" i="36"/>
  <c r="V161" i="36"/>
  <c r="V269" i="36"/>
  <c r="V50" i="36"/>
  <c r="V94" i="36"/>
  <c r="V46" i="36"/>
  <c r="V169" i="36"/>
  <c r="V134" i="36"/>
  <c r="V267" i="36"/>
  <c r="V17" i="36"/>
  <c r="V165" i="36"/>
  <c r="V83" i="36"/>
  <c r="V216" i="36"/>
  <c r="V227" i="36"/>
  <c r="V296" i="36"/>
  <c r="V140" i="36"/>
  <c r="V256" i="36"/>
  <c r="V294" i="36"/>
  <c r="V113" i="36"/>
  <c r="V215" i="36"/>
  <c r="V259" i="36"/>
  <c r="V157" i="36"/>
  <c r="V64" i="36"/>
  <c r="V302" i="36"/>
  <c r="V21" i="36"/>
  <c r="V86" i="36"/>
  <c r="V96" i="36"/>
  <c r="V77" i="36"/>
  <c r="V104" i="36"/>
  <c r="V54" i="36"/>
  <c r="V156" i="36"/>
  <c r="V270" i="36"/>
  <c r="V208" i="36"/>
  <c r="V237" i="36"/>
  <c r="V195" i="36"/>
  <c r="V260" i="36"/>
  <c r="V198" i="36"/>
  <c r="V229" i="36"/>
  <c r="V281" i="36"/>
  <c r="V31" i="36"/>
  <c r="V80" i="36"/>
  <c r="V177" i="36"/>
  <c r="V11" i="36"/>
  <c r="V87" i="36"/>
  <c r="V266" i="36"/>
  <c r="V126" i="36"/>
  <c r="V38" i="36"/>
  <c r="V78" i="36"/>
  <c r="V133" i="36"/>
  <c r="V131" i="36"/>
  <c r="V311" i="36"/>
  <c r="V197" i="36"/>
  <c r="V212" i="36"/>
  <c r="V33" i="36"/>
  <c r="V284" i="36"/>
  <c r="V158" i="36"/>
  <c r="V203" i="36"/>
  <c r="V107" i="36"/>
  <c r="V221" i="36"/>
  <c r="V225" i="36"/>
  <c r="V16" i="36"/>
  <c r="V202" i="36"/>
  <c r="V290" i="36"/>
  <c r="V199" i="36"/>
  <c r="V307" i="36"/>
  <c r="V249" i="36"/>
  <c r="V108" i="36"/>
  <c r="V174" i="36"/>
  <c r="V274" i="36"/>
  <c r="V51" i="36"/>
  <c r="V79" i="36"/>
  <c r="V283" i="36"/>
  <c r="V45" i="36"/>
  <c r="V310" i="36"/>
  <c r="V309" i="36"/>
  <c r="V141" i="36"/>
  <c r="V196" i="36"/>
  <c r="V89" i="36"/>
  <c r="V48" i="36"/>
  <c r="V90" i="36"/>
  <c r="V53" i="36"/>
  <c r="V92" i="36"/>
  <c r="V137" i="36"/>
  <c r="V125" i="36"/>
  <c r="V200" i="36"/>
  <c r="V204" i="36"/>
  <c r="V201" i="36"/>
  <c r="V206" i="36"/>
  <c r="V254" i="36"/>
  <c r="V43" i="36"/>
  <c r="V166" i="36"/>
  <c r="V160" i="36"/>
  <c r="V305" i="36"/>
  <c r="V303" i="36"/>
  <c r="V41" i="36"/>
  <c r="V275" i="36"/>
  <c r="V106" i="36"/>
  <c r="V273" i="36"/>
  <c r="V120" i="36"/>
  <c r="V102" i="36"/>
  <c r="V190" i="36"/>
  <c r="V130" i="36"/>
  <c r="V8" i="36"/>
  <c r="V73" i="36"/>
  <c r="V142" i="36"/>
  <c r="V282" i="36"/>
  <c r="V59" i="36"/>
  <c r="V109" i="36"/>
  <c r="U4" i="36"/>
  <c r="U3" i="36" s="1" a="1"/>
  <c r="U3" i="36" s="1"/>
  <c r="V255" i="36"/>
  <c r="V313" i="36"/>
  <c r="V188" i="36"/>
  <c r="V207" i="36"/>
  <c r="V9" i="36"/>
  <c r="V101" i="36"/>
  <c r="V39" i="36"/>
  <c r="V178" i="36"/>
  <c r="V155" i="36"/>
  <c r="V191" i="36"/>
  <c r="V68" i="36"/>
  <c r="V18" i="36"/>
  <c r="V143" i="36"/>
  <c r="V300" i="36"/>
  <c r="V76" i="36"/>
  <c r="V128" i="36"/>
  <c r="V173" i="36"/>
  <c r="V180" i="36"/>
  <c r="V146" i="36"/>
  <c r="V241" i="36"/>
  <c r="V272" i="36"/>
  <c r="V167" i="36"/>
  <c r="V97" i="36"/>
  <c r="V153" i="36"/>
  <c r="S3" i="39" l="1" a="1"/>
  <c r="S3" i="39" s="1"/>
  <c r="S3" i="38" a="1"/>
  <c r="S3" i="38" s="1"/>
  <c r="S3" i="37" a="1"/>
  <c r="S3" i="37" s="1"/>
  <c r="T4" i="38"/>
  <c r="T3" i="38" s="1" a="1"/>
  <c r="T3" i="38" s="1"/>
  <c r="T4" i="37"/>
  <c r="T3" i="37" s="1" a="1"/>
  <c r="T3" i="37" s="1"/>
  <c r="V31" i="39"/>
  <c r="V127" i="39"/>
  <c r="V88" i="39"/>
  <c r="V51" i="39"/>
  <c r="V100" i="39"/>
  <c r="V155" i="39"/>
  <c r="V300" i="39"/>
  <c r="V30" i="39"/>
  <c r="V226" i="39"/>
  <c r="V274" i="39"/>
  <c r="V62" i="39"/>
  <c r="V106" i="39"/>
  <c r="V175" i="39"/>
  <c r="V133" i="39"/>
  <c r="V187" i="39"/>
  <c r="V242" i="39"/>
  <c r="V68" i="39"/>
  <c r="V168" i="39"/>
  <c r="V23" i="39"/>
  <c r="V80" i="39"/>
  <c r="V171" i="39"/>
  <c r="V95" i="39"/>
  <c r="V63" i="39"/>
  <c r="V227" i="39"/>
  <c r="V20" i="39"/>
  <c r="V257" i="39"/>
  <c r="V90" i="39"/>
  <c r="V307" i="39"/>
  <c r="V98" i="39"/>
  <c r="V85" i="39"/>
  <c r="V194" i="39"/>
  <c r="V178" i="39"/>
  <c r="V161" i="39"/>
  <c r="V296" i="39"/>
  <c r="V16" i="39"/>
  <c r="V96" i="39"/>
  <c r="V105" i="39"/>
  <c r="V81" i="39"/>
  <c r="V92" i="39"/>
  <c r="V56" i="39"/>
  <c r="V298" i="39"/>
  <c r="V268" i="39"/>
  <c r="V212" i="39"/>
  <c r="V219" i="39"/>
  <c r="V137" i="39"/>
  <c r="V270" i="39"/>
  <c r="V126" i="39"/>
  <c r="V284" i="39"/>
  <c r="V289" i="39"/>
  <c r="V75" i="39"/>
  <c r="V228" i="39"/>
  <c r="V10" i="39"/>
  <c r="V149" i="39"/>
  <c r="V272" i="39"/>
  <c r="V38" i="39"/>
  <c r="V39" i="39"/>
  <c r="V36" i="39"/>
  <c r="V158" i="39"/>
  <c r="V231" i="39"/>
  <c r="V76" i="39"/>
  <c r="V167" i="39"/>
  <c r="V50" i="39"/>
  <c r="V262" i="39"/>
  <c r="V19" i="39"/>
  <c r="V236" i="39"/>
  <c r="V256" i="39"/>
  <c r="V45" i="39"/>
  <c r="V310" i="39"/>
  <c r="V215" i="39"/>
  <c r="V237" i="39"/>
  <c r="V97" i="39"/>
  <c r="V196" i="39"/>
  <c r="V287" i="39"/>
  <c r="V13" i="39"/>
  <c r="V124" i="39"/>
  <c r="V70" i="39"/>
  <c r="V165" i="39"/>
  <c r="V197" i="39"/>
  <c r="T4" i="39"/>
  <c r="T3" i="39" s="1" a="1"/>
  <c r="T3" i="39" s="1"/>
  <c r="V218" i="39"/>
  <c r="V132" i="39"/>
  <c r="V253" i="39"/>
  <c r="V243" i="39"/>
  <c r="V109" i="39"/>
  <c r="V47" i="39"/>
  <c r="V238" i="39"/>
  <c r="V279" i="39"/>
  <c r="V297" i="39"/>
  <c r="V156" i="39"/>
  <c r="V123" i="39"/>
  <c r="V130" i="39"/>
  <c r="V14" i="39"/>
  <c r="V269" i="39"/>
  <c r="V115" i="39"/>
  <c r="V311" i="39"/>
  <c r="V77" i="39"/>
  <c r="V138" i="39"/>
  <c r="V17" i="39"/>
  <c r="V128" i="39"/>
  <c r="V65" i="39"/>
  <c r="V255" i="39"/>
  <c r="V107" i="39"/>
  <c r="V216" i="39"/>
  <c r="V172" i="39"/>
  <c r="V209" i="39"/>
  <c r="V136" i="39"/>
  <c r="V316" i="39"/>
  <c r="V121" i="39"/>
  <c r="V6" i="39"/>
  <c r="V160" i="39"/>
  <c r="V22" i="39"/>
  <c r="V152" i="39"/>
  <c r="V46" i="39"/>
  <c r="V120" i="39"/>
  <c r="V33" i="39"/>
  <c r="V263" i="39"/>
  <c r="V78" i="39"/>
  <c r="V208" i="39"/>
  <c r="V248" i="39"/>
  <c r="V84" i="39"/>
  <c r="V185" i="39"/>
  <c r="V239" i="39"/>
  <c r="V244" i="39"/>
  <c r="V67" i="39"/>
  <c r="V177" i="39"/>
  <c r="V312" i="39"/>
  <c r="V15" i="39"/>
  <c r="V193" i="39"/>
  <c r="V151" i="39"/>
  <c r="V201" i="39"/>
  <c r="V295" i="39"/>
  <c r="V293" i="39"/>
  <c r="V5" i="39"/>
  <c r="V305" i="39"/>
  <c r="V135" i="39"/>
  <c r="V60" i="39"/>
  <c r="V53" i="39"/>
  <c r="V191" i="39"/>
  <c r="V247" i="39"/>
  <c r="V9" i="39"/>
  <c r="V303" i="39"/>
  <c r="V206" i="39"/>
  <c r="V162" i="39"/>
  <c r="V139" i="39"/>
  <c r="V278" i="39"/>
  <c r="V125" i="39"/>
  <c r="V54" i="39"/>
  <c r="V204" i="39"/>
  <c r="V179" i="39"/>
  <c r="V99" i="39"/>
  <c r="V294" i="39"/>
  <c r="V301" i="39"/>
  <c r="V280" i="39"/>
  <c r="V286" i="39"/>
  <c r="V18" i="39"/>
  <c r="V282" i="39"/>
  <c r="V102" i="39"/>
  <c r="V157" i="39"/>
  <c r="V79" i="39"/>
  <c r="V94" i="39"/>
  <c r="V144" i="39"/>
  <c r="V200" i="39"/>
  <c r="V122" i="39"/>
  <c r="V224" i="39"/>
  <c r="V259" i="39"/>
  <c r="V57" i="39"/>
  <c r="V42" i="39"/>
  <c r="V12" i="39"/>
  <c r="V234" i="39"/>
  <c r="V241" i="39"/>
  <c r="V8" i="39"/>
  <c r="V154" i="39"/>
  <c r="V29" i="39"/>
  <c r="V112" i="39"/>
  <c r="V308" i="39"/>
  <c r="V150" i="39"/>
  <c r="V114" i="39"/>
  <c r="V21" i="39"/>
  <c r="V189" i="39"/>
  <c r="V313" i="39"/>
  <c r="V245" i="39"/>
  <c r="V271" i="39"/>
  <c r="V145" i="39"/>
  <c r="V28" i="39"/>
  <c r="V265" i="39"/>
  <c r="V276" i="39"/>
  <c r="V91" i="39"/>
  <c r="V223" i="39"/>
  <c r="V181" i="39"/>
  <c r="V146" i="39"/>
  <c r="V170" i="39"/>
  <c r="V111" i="39"/>
  <c r="V11" i="39"/>
  <c r="V43" i="39"/>
  <c r="V101" i="39"/>
  <c r="V41" i="39"/>
  <c r="V119" i="39"/>
  <c r="V246" i="39"/>
  <c r="V44" i="39"/>
  <c r="V52" i="39"/>
  <c r="V207" i="39"/>
  <c r="V166" i="39"/>
  <c r="V69" i="39"/>
  <c r="V258" i="39"/>
  <c r="V89" i="39"/>
  <c r="V74" i="39"/>
  <c r="V198" i="39"/>
  <c r="V221" i="39"/>
  <c r="V302" i="39"/>
  <c r="V59" i="39"/>
  <c r="V140" i="39"/>
  <c r="V203" i="39"/>
  <c r="V87" i="39"/>
  <c r="V266" i="39"/>
  <c r="V141" i="39"/>
  <c r="V34" i="39"/>
  <c r="V240" i="39"/>
  <c r="V153" i="39"/>
  <c r="V49" i="39"/>
  <c r="V26" i="39"/>
  <c r="V58" i="39"/>
  <c r="V213" i="39"/>
  <c r="V292" i="39"/>
  <c r="V110" i="39"/>
  <c r="V86" i="39"/>
  <c r="V277" i="39"/>
  <c r="V309" i="39"/>
  <c r="V249" i="39"/>
  <c r="V113" i="39"/>
  <c r="V220" i="39"/>
  <c r="V55" i="39"/>
  <c r="V288" i="39"/>
  <c r="V27" i="39"/>
  <c r="V267" i="39"/>
  <c r="V108" i="39"/>
  <c r="V24" i="39"/>
  <c r="V73" i="39"/>
  <c r="V116" i="39"/>
  <c r="V32" i="39"/>
  <c r="V275" i="39"/>
  <c r="V163" i="39"/>
  <c r="V251" i="39"/>
  <c r="V72" i="39"/>
  <c r="V225" i="39"/>
  <c r="V306" i="39"/>
  <c r="V252" i="39"/>
  <c r="V235" i="39"/>
  <c r="V190" i="39"/>
  <c r="V104" i="39"/>
  <c r="V283" i="39"/>
  <c r="V66" i="39"/>
  <c r="V250" i="39"/>
  <c r="V169" i="39"/>
  <c r="V205" i="39"/>
  <c r="V118" i="39"/>
  <c r="V117" i="39"/>
  <c r="V48" i="39"/>
  <c r="V315" i="39"/>
  <c r="V202" i="39"/>
  <c r="V164" i="39"/>
  <c r="V173" i="39"/>
  <c r="V186" i="39"/>
  <c r="V61" i="39"/>
  <c r="V232" i="39"/>
  <c r="V229" i="39"/>
  <c r="V264" i="39"/>
  <c r="V37" i="39"/>
  <c r="V217" i="39"/>
  <c r="V180" i="39"/>
  <c r="V254" i="39"/>
  <c r="V148" i="39"/>
  <c r="V176" i="39"/>
  <c r="V230" i="39"/>
  <c r="V183" i="39"/>
  <c r="V211" i="39"/>
  <c r="V131" i="39"/>
  <c r="V35" i="39"/>
  <c r="V261" i="39"/>
  <c r="V83" i="39"/>
  <c r="V260" i="39"/>
  <c r="V82" i="39"/>
  <c r="V71" i="39"/>
  <c r="V314" i="39"/>
  <c r="V195" i="39"/>
  <c r="V291" i="39"/>
  <c r="V134" i="39"/>
  <c r="V147" i="39"/>
  <c r="V184" i="39"/>
  <c r="V188" i="39"/>
  <c r="V143" i="39"/>
  <c r="V222" i="39"/>
  <c r="V199" i="39"/>
  <c r="V285" i="39"/>
  <c r="V129" i="39"/>
  <c r="V142" i="39"/>
  <c r="V93" i="39"/>
  <c r="V299" i="39"/>
  <c r="V174" i="39"/>
  <c r="V25" i="39"/>
  <c r="V7" i="39"/>
  <c r="V281" i="39"/>
  <c r="V64" i="39"/>
  <c r="V304" i="39"/>
  <c r="V210" i="39"/>
  <c r="V182" i="39"/>
  <c r="V233" i="39"/>
  <c r="V273" i="39"/>
  <c r="V40" i="39"/>
  <c r="V214" i="39"/>
  <c r="V192" i="39"/>
  <c r="V103" i="39"/>
  <c r="V159" i="39"/>
  <c r="V290" i="39"/>
  <c r="V236" i="38"/>
  <c r="V312" i="38"/>
  <c r="V224" i="38"/>
  <c r="V252" i="38"/>
  <c r="V31" i="38"/>
  <c r="V62" i="38"/>
  <c r="V245" i="38"/>
  <c r="V23" i="38"/>
  <c r="V253" i="38"/>
  <c r="V87" i="38"/>
  <c r="V287" i="38"/>
  <c r="V251" i="38"/>
  <c r="V94" i="38"/>
  <c r="V242" i="38"/>
  <c r="V35" i="38"/>
  <c r="V55" i="38"/>
  <c r="V235" i="38"/>
  <c r="V7" i="38"/>
  <c r="V257" i="38"/>
  <c r="V161" i="38"/>
  <c r="V33" i="38"/>
  <c r="V300" i="38"/>
  <c r="V184" i="38"/>
  <c r="V293" i="38"/>
  <c r="V190" i="38"/>
  <c r="V237" i="38"/>
  <c r="V211" i="38"/>
  <c r="V77" i="38"/>
  <c r="V59" i="38"/>
  <c r="V272" i="38"/>
  <c r="V71" i="38"/>
  <c r="V227" i="38"/>
  <c r="V139" i="38"/>
  <c r="V105" i="38"/>
  <c r="V198" i="38"/>
  <c r="V158" i="38"/>
  <c r="V197" i="38"/>
  <c r="V273" i="38"/>
  <c r="V120" i="38"/>
  <c r="V156" i="38"/>
  <c r="V44" i="38"/>
  <c r="V171" i="38"/>
  <c r="V276" i="38"/>
  <c r="V90" i="38"/>
  <c r="V274" i="38"/>
  <c r="V309" i="38"/>
  <c r="V195" i="38"/>
  <c r="V112" i="38"/>
  <c r="V208" i="38"/>
  <c r="V148" i="38"/>
  <c r="V311" i="38"/>
  <c r="V277" i="38"/>
  <c r="V52" i="38"/>
  <c r="V286" i="38"/>
  <c r="V200" i="38"/>
  <c r="V193" i="38"/>
  <c r="V8" i="38"/>
  <c r="V243" i="38"/>
  <c r="V304" i="38"/>
  <c r="V204" i="38"/>
  <c r="V299" i="38"/>
  <c r="V29" i="38"/>
  <c r="V119" i="38"/>
  <c r="V92" i="38"/>
  <c r="V67" i="38"/>
  <c r="V143" i="38"/>
  <c r="V79" i="38"/>
  <c r="V132" i="38"/>
  <c r="V183" i="38"/>
  <c r="V159" i="38"/>
  <c r="V147" i="38"/>
  <c r="V206" i="38"/>
  <c r="V17" i="38"/>
  <c r="V154" i="38"/>
  <c r="V22" i="38"/>
  <c r="V222" i="38"/>
  <c r="V100" i="38"/>
  <c r="V232" i="38"/>
  <c r="V32" i="38"/>
  <c r="V289" i="38"/>
  <c r="V63" i="38"/>
  <c r="V80" i="38"/>
  <c r="V292" i="38"/>
  <c r="V174" i="38"/>
  <c r="V64" i="38"/>
  <c r="V306" i="38"/>
  <c r="V248" i="38"/>
  <c r="V259" i="38"/>
  <c r="V45" i="38"/>
  <c r="V76" i="38"/>
  <c r="V302" i="38"/>
  <c r="V209" i="38"/>
  <c r="V5" i="38"/>
  <c r="V102" i="38"/>
  <c r="V213" i="38"/>
  <c r="V109" i="38"/>
  <c r="V157" i="38"/>
  <c r="V294" i="38"/>
  <c r="V138" i="38"/>
  <c r="V151" i="38"/>
  <c r="V263" i="38"/>
  <c r="V178" i="38"/>
  <c r="V150" i="38"/>
  <c r="V264" i="38"/>
  <c r="V281" i="38"/>
  <c r="V145" i="38"/>
  <c r="V36" i="38"/>
  <c r="V13" i="38"/>
  <c r="V199" i="38"/>
  <c r="V108" i="38"/>
  <c r="V181" i="38"/>
  <c r="V160" i="38"/>
  <c r="V249" i="38"/>
  <c r="V203" i="38"/>
  <c r="V285" i="38"/>
  <c r="V34" i="38"/>
  <c r="V152" i="38"/>
  <c r="V42" i="38"/>
  <c r="V58" i="38"/>
  <c r="V12" i="38"/>
  <c r="V313" i="38"/>
  <c r="V88" i="38"/>
  <c r="V95" i="38"/>
  <c r="V162" i="38"/>
  <c r="V20" i="38"/>
  <c r="V297" i="38"/>
  <c r="V301" i="38"/>
  <c r="V61" i="38"/>
  <c r="V97" i="38"/>
  <c r="V260" i="38"/>
  <c r="V78" i="38"/>
  <c r="V275" i="38"/>
  <c r="V175" i="38"/>
  <c r="V254" i="38"/>
  <c r="V68" i="38"/>
  <c r="V96" i="38"/>
  <c r="V316" i="38"/>
  <c r="V189" i="38"/>
  <c r="V101" i="38"/>
  <c r="V283" i="38"/>
  <c r="V65" i="38"/>
  <c r="V93" i="38"/>
  <c r="V246" i="38"/>
  <c r="V296" i="38"/>
  <c r="V28" i="38"/>
  <c r="V26" i="38"/>
  <c r="V131" i="38"/>
  <c r="V271" i="38"/>
  <c r="V124" i="38"/>
  <c r="V15" i="38"/>
  <c r="V233" i="38"/>
  <c r="V48" i="38"/>
  <c r="V57" i="38"/>
  <c r="V115" i="38"/>
  <c r="V226" i="38"/>
  <c r="V315" i="38"/>
  <c r="V284" i="38"/>
  <c r="V123" i="38"/>
  <c r="V127" i="38"/>
  <c r="V98" i="38"/>
  <c r="V85" i="38"/>
  <c r="V168" i="38"/>
  <c r="V164" i="38"/>
  <c r="V111" i="38"/>
  <c r="V217" i="38"/>
  <c r="V39" i="38"/>
  <c r="V134" i="38"/>
  <c r="V165" i="38"/>
  <c r="V60" i="38"/>
  <c r="V234" i="38"/>
  <c r="V176" i="38"/>
  <c r="V163" i="38"/>
  <c r="V303" i="38"/>
  <c r="V75" i="38"/>
  <c r="V47" i="38"/>
  <c r="V141" i="38"/>
  <c r="V11" i="38"/>
  <c r="V298" i="38"/>
  <c r="V192" i="38"/>
  <c r="V91" i="38"/>
  <c r="V121" i="38"/>
  <c r="V268" i="38"/>
  <c r="V240" i="38"/>
  <c r="V225" i="38"/>
  <c r="V133" i="38"/>
  <c r="V307" i="38"/>
  <c r="V149" i="38"/>
  <c r="V290" i="38"/>
  <c r="V219" i="38"/>
  <c r="V186" i="38"/>
  <c r="V220" i="38"/>
  <c r="V231" i="38"/>
  <c r="V46" i="38"/>
  <c r="V99" i="38"/>
  <c r="V137" i="38"/>
  <c r="V185" i="38"/>
  <c r="V153" i="38"/>
  <c r="V291" i="38"/>
  <c r="V72" i="38"/>
  <c r="V104" i="38"/>
  <c r="V86" i="38"/>
  <c r="V83" i="38"/>
  <c r="V314" i="38"/>
  <c r="V146" i="38"/>
  <c r="V49" i="38"/>
  <c r="V16" i="38"/>
  <c r="V73" i="38"/>
  <c r="V54" i="38"/>
  <c r="V82" i="38"/>
  <c r="V191" i="38"/>
  <c r="V140" i="38"/>
  <c r="V310" i="38"/>
  <c r="V223" i="38"/>
  <c r="V136" i="38"/>
  <c r="V116" i="38"/>
  <c r="V266" i="38"/>
  <c r="V114" i="38"/>
  <c r="V239" i="38"/>
  <c r="V215" i="38"/>
  <c r="V40" i="38"/>
  <c r="V196" i="38"/>
  <c r="V84" i="38"/>
  <c r="V265" i="38"/>
  <c r="V103" i="38"/>
  <c r="V270" i="38"/>
  <c r="V9" i="38"/>
  <c r="V279" i="38"/>
  <c r="V107" i="38"/>
  <c r="V135" i="38"/>
  <c r="V51" i="38"/>
  <c r="V18" i="38"/>
  <c r="V210" i="38"/>
  <c r="V144" i="38"/>
  <c r="V50" i="38"/>
  <c r="V262" i="38"/>
  <c r="V6" i="38"/>
  <c r="V244" i="38"/>
  <c r="V41" i="38"/>
  <c r="V230" i="38"/>
  <c r="V14" i="38"/>
  <c r="V201" i="38"/>
  <c r="V117" i="38"/>
  <c r="V166" i="38"/>
  <c r="V173" i="38"/>
  <c r="V241" i="38"/>
  <c r="V25" i="38"/>
  <c r="V182" i="38"/>
  <c r="V74" i="38"/>
  <c r="V188" i="38"/>
  <c r="V37" i="38"/>
  <c r="V125" i="38"/>
  <c r="V177" i="38"/>
  <c r="V155" i="38"/>
  <c r="V212" i="38"/>
  <c r="V218" i="38"/>
  <c r="V38" i="38"/>
  <c r="V113" i="38"/>
  <c r="V221" i="38"/>
  <c r="V288" i="38"/>
  <c r="V128" i="38"/>
  <c r="V10" i="38"/>
  <c r="V228" i="38"/>
  <c r="V205" i="38"/>
  <c r="V229" i="38"/>
  <c r="V66" i="38"/>
  <c r="V81" i="38"/>
  <c r="V238" i="38"/>
  <c r="V247" i="38"/>
  <c r="V130" i="38"/>
  <c r="V106" i="38"/>
  <c r="V69" i="38"/>
  <c r="V27" i="38"/>
  <c r="V216" i="38"/>
  <c r="V202" i="38"/>
  <c r="V255" i="38"/>
  <c r="V70" i="38"/>
  <c r="V167" i="38"/>
  <c r="V180" i="38"/>
  <c r="V24" i="38"/>
  <c r="V53" i="38"/>
  <c r="V250" i="38"/>
  <c r="V170" i="38"/>
  <c r="V258" i="38"/>
  <c r="V179" i="38"/>
  <c r="V261" i="38"/>
  <c r="V89" i="38"/>
  <c r="V56" i="38"/>
  <c r="V295" i="38"/>
  <c r="V282" i="38"/>
  <c r="V122" i="38"/>
  <c r="V278" i="38"/>
  <c r="V21" i="38"/>
  <c r="V110" i="38"/>
  <c r="V187" i="38"/>
  <c r="V305" i="38"/>
  <c r="V129" i="38"/>
  <c r="V19" i="38"/>
  <c r="V308" i="38"/>
  <c r="V267" i="38"/>
  <c r="V207" i="38"/>
  <c r="V126" i="38"/>
  <c r="V256" i="38"/>
  <c r="V118" i="38"/>
  <c r="V43" i="38"/>
  <c r="V214" i="38"/>
  <c r="V269" i="38"/>
  <c r="V280" i="38"/>
  <c r="V142" i="38"/>
  <c r="V194" i="38"/>
  <c r="V169" i="38"/>
  <c r="V172" i="38"/>
  <c r="V30" i="38"/>
  <c r="V82" i="37"/>
  <c r="V195" i="37"/>
  <c r="V34" i="37"/>
  <c r="V7" i="37"/>
  <c r="V11" i="37"/>
  <c r="V189" i="37"/>
  <c r="V309" i="37"/>
  <c r="V70" i="37"/>
  <c r="V130" i="37"/>
  <c r="V43" i="37"/>
  <c r="V197" i="37"/>
  <c r="V26" i="37"/>
  <c r="V143" i="37"/>
  <c r="V302" i="37"/>
  <c r="V265" i="37"/>
  <c r="V271" i="37"/>
  <c r="V252" i="37"/>
  <c r="V155" i="37"/>
  <c r="V221" i="37"/>
  <c r="V75" i="37"/>
  <c r="V275" i="37"/>
  <c r="V17" i="37"/>
  <c r="V207" i="37"/>
  <c r="V209" i="37"/>
  <c r="V120" i="37"/>
  <c r="V298" i="37"/>
  <c r="V187" i="37"/>
  <c r="V128" i="37"/>
  <c r="V248" i="37"/>
  <c r="V250" i="37"/>
  <c r="V200" i="37"/>
  <c r="V198" i="37"/>
  <c r="V41" i="37"/>
  <c r="V38" i="37"/>
  <c r="V158" i="37"/>
  <c r="V290" i="37"/>
  <c r="V123" i="37"/>
  <c r="V293" i="37"/>
  <c r="V182" i="37"/>
  <c r="V301" i="37"/>
  <c r="V156" i="37"/>
  <c r="V270" i="37"/>
  <c r="V65" i="37"/>
  <c r="V93" i="37"/>
  <c r="V22" i="37"/>
  <c r="V55" i="37"/>
  <c r="V46" i="37"/>
  <c r="V102" i="37"/>
  <c r="V305" i="37"/>
  <c r="V193" i="37"/>
  <c r="V186" i="37"/>
  <c r="V194" i="37"/>
  <c r="V184" i="37"/>
  <c r="V6" i="37"/>
  <c r="V125" i="37"/>
  <c r="V73" i="37"/>
  <c r="V134" i="37"/>
  <c r="V35" i="37"/>
  <c r="V129" i="37"/>
  <c r="V20" i="37"/>
  <c r="V85" i="37"/>
  <c r="V263" i="37"/>
  <c r="V304" i="37"/>
  <c r="V28" i="37"/>
  <c r="V64" i="37"/>
  <c r="V147" i="37"/>
  <c r="V180" i="37"/>
  <c r="V45" i="37"/>
  <c r="V152" i="37"/>
  <c r="V192" i="37"/>
  <c r="V16" i="37"/>
  <c r="V267" i="37"/>
  <c r="V133" i="37"/>
  <c r="V287" i="37"/>
  <c r="V58" i="37"/>
  <c r="V81" i="37"/>
  <c r="V314" i="37"/>
  <c r="V244" i="37"/>
  <c r="V135" i="37"/>
  <c r="V101" i="37"/>
  <c r="V66" i="37"/>
  <c r="V277" i="37"/>
  <c r="V40" i="37"/>
  <c r="V18" i="37"/>
  <c r="V131" i="37"/>
  <c r="V260" i="37"/>
  <c r="V48" i="37"/>
  <c r="V170" i="37"/>
  <c r="V19" i="37"/>
  <c r="V214" i="37"/>
  <c r="V137" i="37"/>
  <c r="V240" i="37"/>
  <c r="V146" i="37"/>
  <c r="V110" i="37"/>
  <c r="V8" i="37"/>
  <c r="V30" i="37"/>
  <c r="V308" i="37"/>
  <c r="V32" i="37"/>
  <c r="V242" i="37"/>
  <c r="V13" i="37"/>
  <c r="V285" i="37"/>
  <c r="V219" i="37"/>
  <c r="V174" i="37"/>
  <c r="V33" i="37"/>
  <c r="V281" i="37"/>
  <c r="V164" i="37"/>
  <c r="V181" i="37"/>
  <c r="V127" i="37"/>
  <c r="V224" i="37"/>
  <c r="V203" i="37"/>
  <c r="V258" i="37"/>
  <c r="V52" i="37"/>
  <c r="V151" i="37"/>
  <c r="V218" i="37"/>
  <c r="V288" i="37"/>
  <c r="V220" i="37"/>
  <c r="V80" i="37"/>
  <c r="V292" i="37"/>
  <c r="V99" i="37"/>
  <c r="V257" i="37"/>
  <c r="V178" i="37"/>
  <c r="V234" i="37"/>
  <c r="V57" i="37"/>
  <c r="V69" i="37"/>
  <c r="V225" i="37"/>
  <c r="V39" i="37"/>
  <c r="V103" i="37"/>
  <c r="V274" i="37"/>
  <c r="V27" i="37"/>
  <c r="V15" i="37"/>
  <c r="V191" i="37"/>
  <c r="V261" i="37"/>
  <c r="V67" i="37"/>
  <c r="V60" i="37"/>
  <c r="V299" i="37"/>
  <c r="V284" i="37"/>
  <c r="V76" i="37"/>
  <c r="V113" i="37"/>
  <c r="V266" i="37"/>
  <c r="V283" i="37"/>
  <c r="V56" i="37"/>
  <c r="V138" i="37"/>
  <c r="V44" i="37"/>
  <c r="V149" i="37"/>
  <c r="V204" i="37"/>
  <c r="V282" i="37"/>
  <c r="V245" i="37"/>
  <c r="V243" i="37"/>
  <c r="V112" i="37"/>
  <c r="V154" i="37"/>
  <c r="V139" i="37"/>
  <c r="V254" i="37"/>
  <c r="V256" i="37"/>
  <c r="V289" i="37"/>
  <c r="V188" i="37"/>
  <c r="V228" i="37"/>
  <c r="V106" i="37"/>
  <c r="V294" i="37"/>
  <c r="V136" i="37"/>
  <c r="V313" i="37"/>
  <c r="V307" i="37"/>
  <c r="V159" i="37"/>
  <c r="V87" i="37"/>
  <c r="V223" i="37"/>
  <c r="V72" i="37"/>
  <c r="V212" i="37"/>
  <c r="V84" i="37"/>
  <c r="V119" i="37"/>
  <c r="V47" i="37"/>
  <c r="V24" i="37"/>
  <c r="V169" i="37"/>
  <c r="V236" i="37"/>
  <c r="V63" i="37"/>
  <c r="V202" i="37"/>
  <c r="V116" i="37"/>
  <c r="V104" i="37"/>
  <c r="V251" i="37"/>
  <c r="V163" i="37"/>
  <c r="V117" i="37"/>
  <c r="V175" i="37"/>
  <c r="V148" i="37"/>
  <c r="V215" i="37"/>
  <c r="V132" i="37"/>
  <c r="V166" i="37"/>
  <c r="V68" i="37"/>
  <c r="V183" i="37"/>
  <c r="V230" i="37"/>
  <c r="V272" i="37"/>
  <c r="V208" i="37"/>
  <c r="V295" i="37"/>
  <c r="V253" i="37"/>
  <c r="V179" i="37"/>
  <c r="V36" i="37"/>
  <c r="V255" i="37"/>
  <c r="V79" i="37"/>
  <c r="V150" i="37"/>
  <c r="V280" i="37"/>
  <c r="V171" i="37"/>
  <c r="V88" i="37"/>
  <c r="V168" i="37"/>
  <c r="V233" i="37"/>
  <c r="V206" i="37"/>
  <c r="V239" i="37"/>
  <c r="V109" i="37"/>
  <c r="V9" i="37"/>
  <c r="V90" i="37"/>
  <c r="V122" i="37"/>
  <c r="V173" i="37"/>
  <c r="V235" i="37"/>
  <c r="V114" i="37"/>
  <c r="V226" i="37"/>
  <c r="V94" i="37"/>
  <c r="V162" i="37"/>
  <c r="V247" i="37"/>
  <c r="V165" i="37"/>
  <c r="V71" i="37"/>
  <c r="V161" i="37"/>
  <c r="V306" i="37"/>
  <c r="V276" i="37"/>
  <c r="V59" i="37"/>
  <c r="V74" i="37"/>
  <c r="V10" i="37"/>
  <c r="V310" i="37"/>
  <c r="V54" i="37"/>
  <c r="V296" i="37"/>
  <c r="V98" i="37"/>
  <c r="V115" i="37"/>
  <c r="V141" i="37"/>
  <c r="V86" i="37"/>
  <c r="V269" i="37"/>
  <c r="V107" i="37"/>
  <c r="V124" i="37"/>
  <c r="V108" i="37"/>
  <c r="V291" i="37"/>
  <c r="V89" i="37"/>
  <c r="V286" i="37"/>
  <c r="V185" i="37"/>
  <c r="V213" i="37"/>
  <c r="V229" i="37"/>
  <c r="V77" i="37"/>
  <c r="V268" i="37"/>
  <c r="V303" i="37"/>
  <c r="V23" i="37"/>
  <c r="V205" i="37"/>
  <c r="V37" i="37"/>
  <c r="V273" i="37"/>
  <c r="V95" i="37"/>
  <c r="V145" i="37"/>
  <c r="V50" i="37"/>
  <c r="V278" i="37"/>
  <c r="V78" i="37"/>
  <c r="V227" i="37"/>
  <c r="V262" i="37"/>
  <c r="V210" i="37"/>
  <c r="V315" i="37"/>
  <c r="V238" i="37"/>
  <c r="V216" i="37"/>
  <c r="V196" i="37"/>
  <c r="V300" i="37"/>
  <c r="V311" i="37"/>
  <c r="V61" i="37"/>
  <c r="V51" i="37"/>
  <c r="V91" i="37"/>
  <c r="V264" i="37"/>
  <c r="V42" i="37"/>
  <c r="V118" i="37"/>
  <c r="V177" i="37"/>
  <c r="V49" i="37"/>
  <c r="V190" i="37"/>
  <c r="V199" i="37"/>
  <c r="V31" i="37"/>
  <c r="V83" i="37"/>
  <c r="V297" i="37"/>
  <c r="V231" i="37"/>
  <c r="V14" i="37"/>
  <c r="V172" i="37"/>
  <c r="V97" i="37"/>
  <c r="V312" i="37"/>
  <c r="V142" i="37"/>
  <c r="V21" i="37"/>
  <c r="V201" i="37"/>
  <c r="V246" i="37"/>
  <c r="V53" i="37"/>
  <c r="V92" i="37"/>
  <c r="V140" i="37"/>
  <c r="V25" i="37"/>
  <c r="V100" i="37"/>
  <c r="V316" i="37"/>
  <c r="V167" i="37"/>
  <c r="V5" i="37"/>
  <c r="V279" i="37"/>
  <c r="V217" i="37"/>
  <c r="V211" i="37"/>
  <c r="V232" i="37"/>
  <c r="V176" i="37"/>
  <c r="V126" i="37"/>
  <c r="V121" i="37"/>
  <c r="V222" i="37"/>
  <c r="V249" i="37"/>
  <c r="V111" i="37"/>
  <c r="V62" i="37"/>
  <c r="V157" i="37"/>
  <c r="V237" i="37"/>
  <c r="V160" i="37"/>
  <c r="V96" i="37"/>
  <c r="V105" i="37"/>
  <c r="V153" i="37"/>
  <c r="V259" i="37"/>
  <c r="V144" i="37"/>
  <c r="V12" i="37"/>
  <c r="V241" i="37"/>
  <c r="V29" i="37"/>
  <c r="V4" i="36"/>
  <c r="V3" i="36" s="1" a="1"/>
  <c r="V3" i="36" s="1"/>
  <c r="U4" i="38" l="1"/>
  <c r="U3" i="38" s="1" a="1"/>
  <c r="U3" i="38" s="1"/>
  <c r="U4" i="37"/>
  <c r="U3" i="37" s="1" a="1"/>
  <c r="U3" i="37" s="1"/>
  <c r="U4" i="39"/>
  <c r="U3" i="39" s="1" a="1"/>
  <c r="U3" i="39" s="1"/>
  <c r="W317" i="36" l="1"/>
  <c r="X317" i="36" s="1"/>
  <c r="W318" i="36"/>
  <c r="X318" i="36" s="1"/>
  <c r="V4" i="38"/>
  <c r="V3" i="38" s="1" a="1"/>
  <c r="V3" i="38" s="1"/>
  <c r="V4" i="37"/>
  <c r="V3" i="37" s="1" a="1"/>
  <c r="V3" i="37" s="1"/>
  <c r="V4" i="39"/>
  <c r="V3" i="39" s="1" a="1"/>
  <c r="V3" i="39" s="1"/>
  <c r="W18" i="36"/>
  <c r="X18" i="36" s="1"/>
  <c r="E18" i="19" s="1"/>
  <c r="W307" i="36"/>
  <c r="X307" i="36" s="1"/>
  <c r="E310" i="19" s="1"/>
  <c r="W161" i="36"/>
  <c r="X161" i="36" s="1"/>
  <c r="E162" i="19" s="1"/>
  <c r="W110" i="36"/>
  <c r="X110" i="36" s="1"/>
  <c r="E111" i="19" s="1"/>
  <c r="W213" i="36"/>
  <c r="X213" i="36" s="1"/>
  <c r="E215" i="19" s="1"/>
  <c r="W209" i="36"/>
  <c r="X209" i="36" s="1"/>
  <c r="E211" i="19" s="1"/>
  <c r="W45" i="36"/>
  <c r="X45" i="36" s="1"/>
  <c r="E45" i="19" s="1"/>
  <c r="W46" i="36"/>
  <c r="X46" i="36" s="1"/>
  <c r="E46" i="19" s="1"/>
  <c r="W159" i="36"/>
  <c r="X159" i="36" s="1"/>
  <c r="E160" i="19" s="1"/>
  <c r="W75" i="36"/>
  <c r="X75" i="36" s="1"/>
  <c r="E75" i="19" s="1"/>
  <c r="W206" i="36"/>
  <c r="X206" i="36" s="1"/>
  <c r="E208" i="19" s="1"/>
  <c r="W215" i="36"/>
  <c r="X215" i="36" s="1"/>
  <c r="E217" i="19" s="1"/>
  <c r="W22" i="36"/>
  <c r="X22" i="36" s="1"/>
  <c r="E22" i="19" s="1"/>
  <c r="W288" i="36"/>
  <c r="X288" i="36" s="1"/>
  <c r="E291" i="19" s="1"/>
  <c r="W52" i="36"/>
  <c r="X52" i="36" s="1"/>
  <c r="E52" i="19" s="1"/>
  <c r="W188" i="36"/>
  <c r="X188" i="36" s="1"/>
  <c r="E189" i="19" s="1"/>
  <c r="W31" i="36"/>
  <c r="X31" i="36" s="1"/>
  <c r="E31" i="19" s="1"/>
  <c r="W232" i="36"/>
  <c r="X232" i="36" s="1"/>
  <c r="E235" i="19" s="1"/>
  <c r="W247" i="36"/>
  <c r="X247" i="36" s="1"/>
  <c r="E250" i="19" s="1"/>
  <c r="W109" i="36"/>
  <c r="X109" i="36" s="1"/>
  <c r="E110" i="19" s="1"/>
  <c r="W41" i="36"/>
  <c r="X41" i="36" s="1"/>
  <c r="E41" i="19" s="1"/>
  <c r="W19" i="36"/>
  <c r="X19" i="36" s="1"/>
  <c r="E19" i="19" s="1"/>
  <c r="W40" i="36"/>
  <c r="X40" i="36" s="1"/>
  <c r="E40" i="19" s="1"/>
  <c r="W59" i="36"/>
  <c r="X59" i="36" s="1"/>
  <c r="E59" i="19" s="1"/>
  <c r="W311" i="36"/>
  <c r="X311" i="36" s="1"/>
  <c r="E314" i="19" s="1"/>
  <c r="W50" i="36"/>
  <c r="X50" i="36" s="1"/>
  <c r="E50" i="19" s="1"/>
  <c r="W253" i="36"/>
  <c r="X253" i="36" s="1"/>
  <c r="E256" i="19" s="1"/>
  <c r="W81" i="36"/>
  <c r="X81" i="36" s="1"/>
  <c r="E81" i="19" s="1"/>
  <c r="W111" i="36"/>
  <c r="X111" i="36" s="1"/>
  <c r="E112" i="19" s="1"/>
  <c r="W43" i="36"/>
  <c r="X43" i="36" s="1"/>
  <c r="E43" i="19" s="1"/>
  <c r="W86" i="36"/>
  <c r="X86" i="36" s="1"/>
  <c r="E86" i="19" s="1"/>
  <c r="W226" i="36"/>
  <c r="X226" i="36" s="1"/>
  <c r="E228" i="19" s="1"/>
  <c r="W258" i="36"/>
  <c r="X258" i="36" s="1"/>
  <c r="E261" i="19" s="1"/>
  <c r="W147" i="36"/>
  <c r="X147" i="36" s="1"/>
  <c r="E148" i="19" s="1"/>
  <c r="W210" i="36"/>
  <c r="X210" i="36" s="1"/>
  <c r="E212" i="19" s="1"/>
  <c r="W177" i="36"/>
  <c r="X177" i="36" s="1"/>
  <c r="E178" i="19" s="1"/>
  <c r="W49" i="36"/>
  <c r="X49" i="36" s="1"/>
  <c r="E49" i="19" s="1"/>
  <c r="W55" i="36"/>
  <c r="X55" i="36" s="1"/>
  <c r="E55" i="19" s="1"/>
  <c r="W123" i="36"/>
  <c r="X123" i="36" s="1"/>
  <c r="E124" i="19" s="1"/>
  <c r="W207" i="36"/>
  <c r="X207" i="36" s="1"/>
  <c r="E209" i="19" s="1"/>
  <c r="W212" i="36"/>
  <c r="X212" i="36" s="1"/>
  <c r="E214" i="19" s="1"/>
  <c r="W121" i="36"/>
  <c r="X121" i="36" s="1"/>
  <c r="E122" i="19" s="1"/>
  <c r="W217" i="36"/>
  <c r="X217" i="36" s="1"/>
  <c r="E219" i="19" s="1"/>
  <c r="W265" i="36"/>
  <c r="X265" i="36" s="1"/>
  <c r="E268" i="19" s="1"/>
  <c r="W148" i="36"/>
  <c r="X148" i="36" s="1"/>
  <c r="E149" i="19" s="1"/>
  <c r="W16" i="36"/>
  <c r="X16" i="36" s="1"/>
  <c r="E16" i="19" s="1"/>
  <c r="W98" i="36"/>
  <c r="X98" i="36" s="1"/>
  <c r="E98" i="19" s="1"/>
  <c r="W289" i="36"/>
  <c r="X289" i="36" s="1"/>
  <c r="E292" i="19" s="1"/>
  <c r="W298" i="36"/>
  <c r="X298" i="36" s="1"/>
  <c r="E301" i="19" s="1"/>
  <c r="W90" i="36"/>
  <c r="X90" i="36" s="1"/>
  <c r="E90" i="19" s="1"/>
  <c r="W216" i="36"/>
  <c r="X216" i="36" s="1"/>
  <c r="E218" i="19" s="1"/>
  <c r="W27" i="36"/>
  <c r="X27" i="36" s="1"/>
  <c r="E27" i="19" s="1"/>
  <c r="W25" i="36"/>
  <c r="X25" i="36" s="1"/>
  <c r="E25" i="19" s="1"/>
  <c r="W295" i="36"/>
  <c r="X295" i="36" s="1"/>
  <c r="E298" i="19" s="1"/>
  <c r="W313" i="36"/>
  <c r="X313" i="36" s="1"/>
  <c r="E316" i="19" s="1"/>
  <c r="W260" i="36"/>
  <c r="X260" i="36" s="1"/>
  <c r="E263" i="19" s="1"/>
  <c r="W306" i="36"/>
  <c r="X306" i="36" s="1"/>
  <c r="E309" i="19" s="1"/>
  <c r="W112" i="36"/>
  <c r="X112" i="36" s="1"/>
  <c r="E113" i="19" s="1"/>
  <c r="W102" i="36"/>
  <c r="X102" i="36" s="1"/>
  <c r="E102" i="19" s="1"/>
  <c r="W201" i="36"/>
  <c r="X201" i="36" s="1"/>
  <c r="E203" i="19" s="1"/>
  <c r="W152" i="36"/>
  <c r="X152" i="36" s="1"/>
  <c r="E153" i="19" s="1"/>
  <c r="W67" i="36"/>
  <c r="X67" i="36" s="1"/>
  <c r="E67" i="19" s="1"/>
  <c r="W184" i="36"/>
  <c r="X184" i="36" s="1"/>
  <c r="E185" i="19" s="1"/>
  <c r="W120" i="36"/>
  <c r="X120" i="36" s="1"/>
  <c r="E121" i="19" s="1"/>
  <c r="W38" i="36"/>
  <c r="X38" i="36" s="1"/>
  <c r="E38" i="19" s="1"/>
  <c r="W103" i="36"/>
  <c r="X103" i="36" s="1"/>
  <c r="E103" i="19" s="1"/>
  <c r="W151" i="36"/>
  <c r="X151" i="36" s="1"/>
  <c r="E152" i="19" s="1"/>
  <c r="W20" i="36"/>
  <c r="X20" i="36" s="1"/>
  <c r="E20" i="19" s="1"/>
  <c r="W61" i="36"/>
  <c r="X61" i="36" s="1"/>
  <c r="E61" i="19" s="1"/>
  <c r="W92" i="36"/>
  <c r="X92" i="36" s="1"/>
  <c r="E92" i="19" s="1"/>
  <c r="W157" i="36"/>
  <c r="X157" i="36" s="1"/>
  <c r="E158" i="19" s="1"/>
  <c r="W100" i="36"/>
  <c r="X100" i="36" s="1"/>
  <c r="E100" i="19" s="1"/>
  <c r="W183" i="36"/>
  <c r="X183" i="36" s="1"/>
  <c r="E184" i="19" s="1"/>
  <c r="W136" i="36"/>
  <c r="X136" i="36" s="1"/>
  <c r="E137" i="19" s="1"/>
  <c r="W153" i="36"/>
  <c r="X153" i="36" s="1"/>
  <c r="E154" i="19" s="1"/>
  <c r="W237" i="36"/>
  <c r="X237" i="36" s="1"/>
  <c r="E240" i="19" s="1"/>
  <c r="W234" i="36"/>
  <c r="X234" i="36" s="1"/>
  <c r="E237" i="19" s="1"/>
  <c r="W214" i="36"/>
  <c r="X214" i="36" s="1"/>
  <c r="E216" i="19" s="1"/>
  <c r="W83" i="36"/>
  <c r="X83" i="36" s="1"/>
  <c r="E83" i="19" s="1"/>
  <c r="W233" i="36"/>
  <c r="X233" i="36" s="1"/>
  <c r="E236" i="19" s="1"/>
  <c r="W246" i="36"/>
  <c r="X246" i="36" s="1"/>
  <c r="E249" i="19" s="1"/>
  <c r="W196" i="36"/>
  <c r="X196" i="36" s="1"/>
  <c r="E198" i="19" s="1"/>
  <c r="W278" i="36"/>
  <c r="X278" i="36" s="1"/>
  <c r="E281" i="19" s="1"/>
  <c r="W287" i="36"/>
  <c r="X287" i="36" s="1"/>
  <c r="E290" i="19" s="1"/>
  <c r="W167" i="36"/>
  <c r="X167" i="36" s="1"/>
  <c r="E168" i="19" s="1"/>
  <c r="W108" i="36"/>
  <c r="X108" i="36" s="1"/>
  <c r="E109" i="19" s="1"/>
  <c r="W10" i="36"/>
  <c r="X10" i="36" s="1"/>
  <c r="E10" i="19" s="1"/>
  <c r="W218" i="36"/>
  <c r="X218" i="36" s="1"/>
  <c r="E220" i="19" s="1"/>
  <c r="W303" i="36"/>
  <c r="X303" i="36" s="1"/>
  <c r="E306" i="19" s="1"/>
  <c r="W142" i="36"/>
  <c r="X142" i="36" s="1"/>
  <c r="E143" i="19" s="1"/>
  <c r="W133" i="36"/>
  <c r="X133" i="36" s="1"/>
  <c r="E134" i="19" s="1"/>
  <c r="W179" i="36"/>
  <c r="X179" i="36" s="1"/>
  <c r="E180" i="19" s="1"/>
  <c r="W70" i="36"/>
  <c r="X70" i="36" s="1"/>
  <c r="E70" i="19" s="1"/>
  <c r="W71" i="36"/>
  <c r="X71" i="36" s="1"/>
  <c r="E71" i="19" s="1"/>
  <c r="W203" i="36"/>
  <c r="X203" i="36" s="1"/>
  <c r="E205" i="19" s="1"/>
  <c r="W263" i="36"/>
  <c r="X263" i="36" s="1"/>
  <c r="E266" i="19" s="1"/>
  <c r="W119" i="36"/>
  <c r="X119" i="36" s="1"/>
  <c r="E120" i="19" s="1"/>
  <c r="W180" i="36"/>
  <c r="X180" i="36" s="1"/>
  <c r="E181" i="19" s="1"/>
  <c r="W174" i="36"/>
  <c r="X174" i="36" s="1"/>
  <c r="E175" i="19" s="1"/>
  <c r="W267" i="36"/>
  <c r="X267" i="36" s="1"/>
  <c r="E270" i="19" s="1"/>
  <c r="W30" i="36"/>
  <c r="X30" i="36" s="1"/>
  <c r="E30" i="19" s="1"/>
  <c r="W129" i="36"/>
  <c r="X129" i="36" s="1"/>
  <c r="E130" i="19" s="1"/>
  <c r="W99" i="36"/>
  <c r="X99" i="36" s="1"/>
  <c r="E99" i="19" s="1"/>
  <c r="W275" i="36"/>
  <c r="X275" i="36" s="1"/>
  <c r="E278" i="19" s="1"/>
  <c r="W140" i="36"/>
  <c r="X140" i="36" s="1"/>
  <c r="E141" i="19" s="1"/>
  <c r="W72" i="36"/>
  <c r="X72" i="36" s="1"/>
  <c r="E72" i="19" s="1"/>
  <c r="W132" i="36"/>
  <c r="X132" i="36" s="1"/>
  <c r="E133" i="19" s="1"/>
  <c r="W141" i="36"/>
  <c r="X141" i="36" s="1"/>
  <c r="E142" i="19" s="1"/>
  <c r="W290" i="36"/>
  <c r="X290" i="36" s="1"/>
  <c r="E293" i="19" s="1"/>
  <c r="W220" i="36"/>
  <c r="X220" i="36" s="1"/>
  <c r="E222" i="19" s="1"/>
  <c r="W230" i="36"/>
  <c r="X230" i="36" s="1"/>
  <c r="E233" i="19" s="1"/>
  <c r="W262" i="36"/>
  <c r="X262" i="36" s="1"/>
  <c r="E265" i="19" s="1"/>
  <c r="W166" i="36"/>
  <c r="X166" i="36" s="1"/>
  <c r="E167" i="19" s="1"/>
  <c r="W281" i="36"/>
  <c r="X281" i="36" s="1"/>
  <c r="E284" i="19" s="1"/>
  <c r="W35" i="36"/>
  <c r="X35" i="36" s="1"/>
  <c r="E35" i="19" s="1"/>
  <c r="W82" i="36"/>
  <c r="X82" i="36" s="1"/>
  <c r="E82" i="19" s="1"/>
  <c r="W154" i="36"/>
  <c r="X154" i="36" s="1"/>
  <c r="E155" i="19" s="1"/>
  <c r="W37" i="36"/>
  <c r="X37" i="36" s="1"/>
  <c r="E37" i="19" s="1"/>
  <c r="W89" i="36"/>
  <c r="X89" i="36" s="1"/>
  <c r="E89" i="19" s="1"/>
  <c r="W296" i="36"/>
  <c r="X296" i="36" s="1"/>
  <c r="E299" i="19" s="1"/>
  <c r="W12" i="36"/>
  <c r="X12" i="36" s="1"/>
  <c r="E12" i="19" s="1"/>
  <c r="W286" i="36"/>
  <c r="X286" i="36" s="1"/>
  <c r="E289" i="19" s="1"/>
  <c r="W235" i="36"/>
  <c r="X235" i="36" s="1"/>
  <c r="E238" i="19" s="1"/>
  <c r="W128" i="36"/>
  <c r="X128" i="36" s="1"/>
  <c r="E129" i="19" s="1"/>
  <c r="W54" i="36"/>
  <c r="X54" i="36" s="1"/>
  <c r="E54" i="19" s="1"/>
  <c r="W316" i="36"/>
  <c r="X316" i="36" s="1"/>
  <c r="E195" i="19" s="1"/>
  <c r="W88" i="36"/>
  <c r="X88" i="36" s="1"/>
  <c r="E88" i="19" s="1"/>
  <c r="W285" i="36"/>
  <c r="X285" i="36" s="1"/>
  <c r="E288" i="19" s="1"/>
  <c r="W65" i="36"/>
  <c r="X65" i="36" s="1"/>
  <c r="E65" i="19" s="1"/>
  <c r="W6" i="36"/>
  <c r="X6" i="36" s="1"/>
  <c r="E6" i="19" s="1"/>
  <c r="W162" i="36"/>
  <c r="X162" i="36" s="1"/>
  <c r="E163" i="19" s="1"/>
  <c r="W107" i="36"/>
  <c r="X107" i="36" s="1"/>
  <c r="E108" i="19" s="1"/>
  <c r="W274" i="36"/>
  <c r="X274" i="36" s="1"/>
  <c r="E277" i="19" s="1"/>
  <c r="W242" i="36"/>
  <c r="X242" i="36" s="1"/>
  <c r="E245" i="19" s="1"/>
  <c r="W64" i="36"/>
  <c r="X64" i="36" s="1"/>
  <c r="E64" i="19" s="1"/>
  <c r="W60" i="36"/>
  <c r="X60" i="36" s="1"/>
  <c r="E60" i="19" s="1"/>
  <c r="W47" i="36"/>
  <c r="X47" i="36" s="1"/>
  <c r="E47" i="19" s="1"/>
  <c r="W131" i="36"/>
  <c r="X131" i="36" s="1"/>
  <c r="E132" i="19" s="1"/>
  <c r="W249" i="36"/>
  <c r="X249" i="36" s="1"/>
  <c r="E252" i="19" s="1"/>
  <c r="W190" i="36"/>
  <c r="X190" i="36" s="1"/>
  <c r="E191" i="19" s="1"/>
  <c r="W266" i="36"/>
  <c r="X266" i="36" s="1"/>
  <c r="E269" i="19" s="1"/>
  <c r="W36" i="36"/>
  <c r="X36" i="36" s="1"/>
  <c r="E36" i="19" s="1"/>
  <c r="W248" i="36"/>
  <c r="X248" i="36" s="1"/>
  <c r="E251" i="19" s="1"/>
  <c r="W62" i="36"/>
  <c r="X62" i="36" s="1"/>
  <c r="E62" i="19" s="1"/>
  <c r="W138" i="36"/>
  <c r="X138" i="36" s="1"/>
  <c r="E139" i="19" s="1"/>
  <c r="W80" i="36"/>
  <c r="X80" i="36" s="1"/>
  <c r="E80" i="19" s="1"/>
  <c r="W23" i="36"/>
  <c r="X23" i="36" s="1"/>
  <c r="E23" i="19" s="1"/>
  <c r="W228" i="36"/>
  <c r="X228" i="36" s="1"/>
  <c r="E231" i="19" s="1"/>
  <c r="W300" i="36"/>
  <c r="X300" i="36" s="1"/>
  <c r="E303" i="19" s="1"/>
  <c r="W225" i="36"/>
  <c r="X225" i="36" s="1"/>
  <c r="E227" i="19" s="1"/>
  <c r="W240" i="36"/>
  <c r="X240" i="36" s="1"/>
  <c r="E243" i="19" s="1"/>
  <c r="W32" i="36"/>
  <c r="X32" i="36" s="1"/>
  <c r="E32" i="19" s="1"/>
  <c r="W85" i="36"/>
  <c r="X85" i="36" s="1"/>
  <c r="E85" i="19" s="1"/>
  <c r="W163" i="36"/>
  <c r="X163" i="36" s="1"/>
  <c r="E164" i="19" s="1"/>
  <c r="W125" i="36"/>
  <c r="X125" i="36" s="1"/>
  <c r="E126" i="19" s="1"/>
  <c r="W94" i="36"/>
  <c r="X94" i="36" s="1"/>
  <c r="E94" i="19" s="1"/>
  <c r="W182" i="36"/>
  <c r="X182" i="36" s="1"/>
  <c r="E183" i="19" s="1"/>
  <c r="W222" i="36"/>
  <c r="X222" i="36" s="1"/>
  <c r="E224" i="19" s="1"/>
  <c r="W199" i="36"/>
  <c r="X199" i="36" s="1"/>
  <c r="E201" i="19" s="1"/>
  <c r="W221" i="36"/>
  <c r="X221" i="36" s="1"/>
  <c r="E223" i="19" s="1"/>
  <c r="W24" i="36"/>
  <c r="X24" i="36" s="1"/>
  <c r="E24" i="19" s="1"/>
  <c r="W164" i="36"/>
  <c r="X164" i="36" s="1"/>
  <c r="E165" i="19" s="1"/>
  <c r="W34" i="36"/>
  <c r="X34" i="36" s="1"/>
  <c r="E34" i="19" s="1"/>
  <c r="W137" i="36"/>
  <c r="X137" i="36" s="1"/>
  <c r="E138" i="19" s="1"/>
  <c r="W195" i="36"/>
  <c r="X195" i="36" s="1"/>
  <c r="E197" i="19" s="1"/>
  <c r="W63" i="36"/>
  <c r="X63" i="36" s="1"/>
  <c r="E63" i="19" s="1"/>
  <c r="W280" i="36"/>
  <c r="X280" i="36" s="1"/>
  <c r="E283" i="19" s="1"/>
  <c r="W304" i="36"/>
  <c r="X304" i="36" s="1"/>
  <c r="E307" i="19" s="1"/>
  <c r="W241" i="36"/>
  <c r="X241" i="36" s="1"/>
  <c r="E244" i="19" s="1"/>
  <c r="W310" i="36"/>
  <c r="X310" i="36" s="1"/>
  <c r="E313" i="19" s="1"/>
  <c r="W165" i="36"/>
  <c r="X165" i="36" s="1"/>
  <c r="E166" i="19" s="1"/>
  <c r="W192" i="36"/>
  <c r="X192" i="36" s="1"/>
  <c r="E193" i="19" s="1"/>
  <c r="W170" i="36"/>
  <c r="X170" i="36" s="1"/>
  <c r="E171" i="19" s="1"/>
  <c r="W314" i="36"/>
  <c r="X314" i="36" s="1"/>
  <c r="E317" i="19" s="1"/>
  <c r="W178" i="36"/>
  <c r="X178" i="36" s="1"/>
  <c r="E179" i="19" s="1"/>
  <c r="W294" i="36"/>
  <c r="X294" i="36" s="1"/>
  <c r="E297" i="19" s="1"/>
  <c r="W186" i="36"/>
  <c r="X186" i="36" s="1"/>
  <c r="E187" i="19" s="1"/>
  <c r="W114" i="36"/>
  <c r="X114" i="36" s="1"/>
  <c r="E115" i="19" s="1"/>
  <c r="W202" i="36"/>
  <c r="X202" i="36" s="1"/>
  <c r="E204" i="19" s="1"/>
  <c r="W26" i="36"/>
  <c r="X26" i="36" s="1"/>
  <c r="E26" i="19" s="1"/>
  <c r="W130" i="36"/>
  <c r="X130" i="36" s="1"/>
  <c r="E131" i="19" s="1"/>
  <c r="W7" i="36"/>
  <c r="X7" i="36" s="1"/>
  <c r="E7" i="19" s="1"/>
  <c r="W171" i="36"/>
  <c r="X171" i="36" s="1"/>
  <c r="E172" i="19" s="1"/>
  <c r="W17" i="36"/>
  <c r="X17" i="36" s="1"/>
  <c r="E17" i="19" s="1"/>
  <c r="W160" i="36"/>
  <c r="X160" i="36" s="1"/>
  <c r="E161" i="19" s="1"/>
  <c r="W271" i="36"/>
  <c r="X271" i="36" s="1"/>
  <c r="E274" i="19" s="1"/>
  <c r="W29" i="36"/>
  <c r="X29" i="36" s="1"/>
  <c r="E29" i="19" s="1"/>
  <c r="W236" i="36"/>
  <c r="X236" i="36" s="1"/>
  <c r="E239" i="19" s="1"/>
  <c r="W176" i="36"/>
  <c r="X176" i="36" s="1"/>
  <c r="E177" i="19" s="1"/>
  <c r="W15" i="36"/>
  <c r="X15" i="36" s="1"/>
  <c r="E15" i="19" s="1"/>
  <c r="W146" i="36"/>
  <c r="X146" i="36" s="1"/>
  <c r="E147" i="19" s="1"/>
  <c r="W305" i="36"/>
  <c r="X305" i="36" s="1"/>
  <c r="E308" i="19" s="1"/>
  <c r="W104" i="36"/>
  <c r="X104" i="36" s="1"/>
  <c r="E104" i="19" s="1"/>
  <c r="W74" i="36"/>
  <c r="X74" i="36" s="1"/>
  <c r="E74" i="19" s="1"/>
  <c r="W238" i="36"/>
  <c r="X238" i="36" s="1"/>
  <c r="E241" i="19" s="1"/>
  <c r="W292" i="36"/>
  <c r="X292" i="36" s="1"/>
  <c r="E295" i="19" s="1"/>
  <c r="W44" i="36"/>
  <c r="X44" i="36" s="1"/>
  <c r="E44" i="19" s="1"/>
  <c r="W198" i="36"/>
  <c r="X198" i="36" s="1"/>
  <c r="E200" i="19" s="1"/>
  <c r="W308" i="36"/>
  <c r="X308" i="36" s="1"/>
  <c r="E311" i="19" s="1"/>
  <c r="W150" i="36"/>
  <c r="X150" i="36" s="1"/>
  <c r="E151" i="19" s="1"/>
  <c r="W191" i="36"/>
  <c r="X191" i="36" s="1"/>
  <c r="E192" i="19" s="1"/>
  <c r="W197" i="36"/>
  <c r="X197" i="36" s="1"/>
  <c r="E199" i="19" s="1"/>
  <c r="W91" i="36"/>
  <c r="X91" i="36" s="1"/>
  <c r="E91" i="19" s="1"/>
  <c r="W257" i="36"/>
  <c r="X257" i="36" s="1"/>
  <c r="E260" i="19" s="1"/>
  <c r="W291" i="36"/>
  <c r="X291" i="36" s="1"/>
  <c r="E294" i="19" s="1"/>
  <c r="W261" i="36"/>
  <c r="X261" i="36" s="1"/>
  <c r="E264" i="19" s="1"/>
  <c r="W283" i="36"/>
  <c r="X283" i="36" s="1"/>
  <c r="E286" i="19" s="1"/>
  <c r="W315" i="36"/>
  <c r="X315" i="36" s="1"/>
  <c r="E318" i="19" s="1"/>
  <c r="W127" i="36"/>
  <c r="X127" i="36" s="1"/>
  <c r="E128" i="19" s="1"/>
  <c r="W118" i="36"/>
  <c r="X118" i="36" s="1"/>
  <c r="E119" i="19" s="1"/>
  <c r="W143" i="36"/>
  <c r="X143" i="36" s="1"/>
  <c r="E144" i="19" s="1"/>
  <c r="W284" i="36"/>
  <c r="X284" i="36" s="1"/>
  <c r="E287" i="19" s="1"/>
  <c r="W172" i="36"/>
  <c r="X172" i="36" s="1"/>
  <c r="E173" i="19" s="1"/>
  <c r="W252" i="36"/>
  <c r="X252" i="36" s="1"/>
  <c r="E255" i="19" s="1"/>
  <c r="W194" i="36"/>
  <c r="X194" i="36" s="1"/>
  <c r="E196" i="19" s="1"/>
  <c r="W48" i="36"/>
  <c r="X48" i="36" s="1"/>
  <c r="E48" i="19" s="1"/>
  <c r="W156" i="36"/>
  <c r="X156" i="36" s="1"/>
  <c r="E157" i="19" s="1"/>
  <c r="W5" i="36"/>
  <c r="X5" i="36" s="1"/>
  <c r="E5" i="19" s="1"/>
  <c r="W181" i="36"/>
  <c r="X181" i="36" s="1"/>
  <c r="E182" i="19" s="1"/>
  <c r="W145" i="36"/>
  <c r="X145" i="36" s="1"/>
  <c r="E146" i="19" s="1"/>
  <c r="W51" i="36"/>
  <c r="X51" i="36" s="1"/>
  <c r="E51" i="19" s="1"/>
  <c r="W269" i="36"/>
  <c r="X269" i="36" s="1"/>
  <c r="E272" i="19" s="1"/>
  <c r="W69" i="36"/>
  <c r="X69" i="36" s="1"/>
  <c r="E69" i="19" s="1"/>
  <c r="W124" i="36"/>
  <c r="X124" i="36" s="1"/>
  <c r="E125" i="19" s="1"/>
  <c r="W187" i="36"/>
  <c r="X187" i="36" s="1"/>
  <c r="E188" i="19" s="1"/>
  <c r="W204" i="36"/>
  <c r="X204" i="36" s="1"/>
  <c r="E206" i="19" s="1"/>
  <c r="W169" i="36"/>
  <c r="X169" i="36" s="1"/>
  <c r="E170" i="19" s="1"/>
  <c r="W14" i="36"/>
  <c r="X14" i="36" s="1"/>
  <c r="E14" i="19" s="1"/>
  <c r="W245" i="36"/>
  <c r="X245" i="36" s="1"/>
  <c r="E248" i="19" s="1"/>
  <c r="W297" i="36"/>
  <c r="X297" i="36" s="1"/>
  <c r="E300" i="19" s="1"/>
  <c r="W276" i="36"/>
  <c r="X276" i="36" s="1"/>
  <c r="E279" i="19" s="1"/>
  <c r="W193" i="36"/>
  <c r="X193" i="36" s="1"/>
  <c r="E194" i="19" s="1"/>
  <c r="W279" i="36"/>
  <c r="X279" i="36" s="1"/>
  <c r="E282" i="19" s="1"/>
  <c r="W28" i="36"/>
  <c r="X28" i="36" s="1"/>
  <c r="E28" i="19" s="1"/>
  <c r="W95" i="36"/>
  <c r="X95" i="36" s="1"/>
  <c r="E95" i="19" s="1"/>
  <c r="W116" i="36"/>
  <c r="X116" i="36" s="1"/>
  <c r="E117" i="19" s="1"/>
  <c r="W255" i="36"/>
  <c r="X255" i="36" s="1"/>
  <c r="E258" i="19" s="1"/>
  <c r="W229" i="36"/>
  <c r="X229" i="36" s="1"/>
  <c r="E232" i="19" s="1"/>
  <c r="W211" i="36"/>
  <c r="X211" i="36" s="1"/>
  <c r="E213" i="19" s="1"/>
  <c r="W68" i="36"/>
  <c r="X68" i="36" s="1"/>
  <c r="E68" i="19" s="1"/>
  <c r="W254" i="36"/>
  <c r="X254" i="36" s="1"/>
  <c r="E257" i="19" s="1"/>
  <c r="W21" i="36"/>
  <c r="X21" i="36" s="1"/>
  <c r="E21" i="19" s="1"/>
  <c r="W13" i="36"/>
  <c r="X13" i="36" s="1"/>
  <c r="E13" i="19" s="1"/>
  <c r="W56" i="36"/>
  <c r="X56" i="36" s="1"/>
  <c r="E56" i="19" s="1"/>
  <c r="W239" i="36"/>
  <c r="X239" i="36" s="1"/>
  <c r="E242" i="19" s="1"/>
  <c r="W106" i="36"/>
  <c r="X106" i="36" s="1"/>
  <c r="E107" i="19" s="1"/>
  <c r="W208" i="36"/>
  <c r="X208" i="36" s="1"/>
  <c r="E210" i="19" s="1"/>
  <c r="W144" i="36"/>
  <c r="X144" i="36" s="1"/>
  <c r="E145" i="19" s="1"/>
  <c r="W277" i="36"/>
  <c r="X277" i="36" s="1"/>
  <c r="E280" i="19" s="1"/>
  <c r="W101" i="36"/>
  <c r="X101" i="36" s="1"/>
  <c r="E101" i="19" s="1"/>
  <c r="W270" i="36"/>
  <c r="X270" i="36" s="1"/>
  <c r="E273" i="19" s="1"/>
  <c r="W168" i="36"/>
  <c r="X168" i="36" s="1"/>
  <c r="E169" i="19" s="1"/>
  <c r="W293" i="36"/>
  <c r="X293" i="36" s="1"/>
  <c r="E296" i="19" s="1"/>
  <c r="W93" i="36"/>
  <c r="X93" i="36" s="1"/>
  <c r="E93" i="19" s="1"/>
  <c r="W175" i="36"/>
  <c r="X175" i="36" s="1"/>
  <c r="E176" i="19" s="1"/>
  <c r="W158" i="36"/>
  <c r="X158" i="36" s="1"/>
  <c r="E159" i="19" s="1"/>
  <c r="W122" i="36"/>
  <c r="X122" i="36" s="1"/>
  <c r="E123" i="19" s="1"/>
  <c r="W97" i="36"/>
  <c r="X97" i="36" s="1"/>
  <c r="E97" i="19" s="1"/>
  <c r="W155" i="36"/>
  <c r="X155" i="36" s="1"/>
  <c r="E156" i="19" s="1"/>
  <c r="W11" i="36"/>
  <c r="X11" i="36" s="1"/>
  <c r="E11" i="19" s="1"/>
  <c r="W219" i="36"/>
  <c r="X219" i="36" s="1"/>
  <c r="E221" i="19" s="1"/>
  <c r="W58" i="36"/>
  <c r="X58" i="36" s="1"/>
  <c r="E58" i="19" s="1"/>
  <c r="W272" i="36"/>
  <c r="X272" i="36" s="1"/>
  <c r="E275" i="19" s="1"/>
  <c r="W309" i="36"/>
  <c r="X309" i="36" s="1"/>
  <c r="E312" i="19" s="1"/>
  <c r="W113" i="36"/>
  <c r="X113" i="36" s="1"/>
  <c r="E114" i="19" s="1"/>
  <c r="W57" i="36"/>
  <c r="X57" i="36" s="1"/>
  <c r="E57" i="19" s="1"/>
  <c r="W299" i="36"/>
  <c r="X299" i="36" s="1"/>
  <c r="E302" i="19" s="1"/>
  <c r="W301" i="36"/>
  <c r="X301" i="36" s="1"/>
  <c r="E304" i="19" s="1"/>
  <c r="W282" i="36"/>
  <c r="X282" i="36" s="1"/>
  <c r="E285" i="19" s="1"/>
  <c r="W33" i="36"/>
  <c r="X33" i="36" s="1"/>
  <c r="E33" i="19" s="1"/>
  <c r="W231" i="36"/>
  <c r="X231" i="36" s="1"/>
  <c r="E234" i="19" s="1"/>
  <c r="W264" i="36"/>
  <c r="X264" i="36" s="1"/>
  <c r="E267" i="19" s="1"/>
  <c r="W135" i="36"/>
  <c r="X135" i="36" s="1"/>
  <c r="E136" i="19" s="1"/>
  <c r="W243" i="36"/>
  <c r="X243" i="36" s="1"/>
  <c r="E246" i="19" s="1"/>
  <c r="W105" i="36"/>
  <c r="X105" i="36" s="1"/>
  <c r="E105" i="19" s="1"/>
  <c r="W205" i="36"/>
  <c r="X205" i="36" s="1"/>
  <c r="E207" i="19" s="1"/>
  <c r="W173" i="36"/>
  <c r="X173" i="36" s="1"/>
  <c r="E174" i="19" s="1"/>
  <c r="W139" i="36"/>
  <c r="X139" i="36" s="1"/>
  <c r="E140" i="19" s="1"/>
  <c r="W227" i="36"/>
  <c r="X227" i="36" s="1"/>
  <c r="E229" i="19" s="1"/>
  <c r="W302" i="36"/>
  <c r="X302" i="36" s="1"/>
  <c r="E305" i="19" s="1"/>
  <c r="W87" i="36"/>
  <c r="X87" i="36" s="1"/>
  <c r="E87" i="19" s="1"/>
  <c r="W8" i="36"/>
  <c r="X8" i="36" s="1"/>
  <c r="E8" i="19" s="1"/>
  <c r="W42" i="36"/>
  <c r="X42" i="36" s="1"/>
  <c r="E42" i="19" s="1"/>
  <c r="W134" i="36"/>
  <c r="X134" i="36" s="1"/>
  <c r="E135" i="19" s="1"/>
  <c r="W273" i="36"/>
  <c r="X273" i="36" s="1"/>
  <c r="E276" i="19" s="1"/>
  <c r="W115" i="36"/>
  <c r="X115" i="36" s="1"/>
  <c r="E116" i="19" s="1"/>
  <c r="W39" i="36"/>
  <c r="X39" i="36" s="1"/>
  <c r="E39" i="19" s="1"/>
  <c r="W200" i="36"/>
  <c r="X200" i="36" s="1"/>
  <c r="E202" i="19" s="1"/>
  <c r="W259" i="36"/>
  <c r="X259" i="36" s="1"/>
  <c r="E262" i="19" s="1"/>
  <c r="W268" i="36"/>
  <c r="X268" i="36" s="1"/>
  <c r="E271" i="19" s="1"/>
  <c r="W66" i="36"/>
  <c r="X66" i="36" s="1"/>
  <c r="E66" i="19" s="1"/>
  <c r="W223" i="36"/>
  <c r="X223" i="36" s="1"/>
  <c r="E225" i="19" s="1"/>
  <c r="W53" i="36"/>
  <c r="X53" i="36" s="1"/>
  <c r="E53" i="19" s="1"/>
  <c r="W256" i="36"/>
  <c r="X256" i="36" s="1"/>
  <c r="E259" i="19" s="1"/>
  <c r="W251" i="36"/>
  <c r="X251" i="36" s="1"/>
  <c r="E254" i="19" s="1"/>
  <c r="W117" i="36"/>
  <c r="X117" i="36" s="1"/>
  <c r="E118" i="19" s="1"/>
  <c r="W73" i="36"/>
  <c r="X73" i="36" s="1"/>
  <c r="E73" i="19" s="1"/>
  <c r="W77" i="36"/>
  <c r="X77" i="36" s="1"/>
  <c r="E77" i="19" s="1"/>
  <c r="W189" i="36"/>
  <c r="X189" i="36" s="1"/>
  <c r="E190" i="19" s="1"/>
  <c r="W84" i="36"/>
  <c r="X84" i="36" s="1"/>
  <c r="E84" i="19" s="1"/>
  <c r="W78" i="36"/>
  <c r="X78" i="36" s="1"/>
  <c r="E78" i="19" s="1"/>
  <c r="W250" i="36"/>
  <c r="X250" i="36" s="1"/>
  <c r="E253" i="19" s="1"/>
  <c r="W76" i="36"/>
  <c r="X76" i="36" s="1"/>
  <c r="E76" i="19" s="1"/>
  <c r="W9" i="36"/>
  <c r="X9" i="36" s="1"/>
  <c r="E9" i="19" s="1"/>
  <c r="W96" i="36"/>
  <c r="X96" i="36" s="1"/>
  <c r="E96" i="19" s="1"/>
  <c r="W312" i="36"/>
  <c r="X312" i="36" s="1"/>
  <c r="E315" i="19" s="1"/>
  <c r="W185" i="36"/>
  <c r="X185" i="36" s="1"/>
  <c r="E186" i="19" s="1"/>
  <c r="W79" i="36"/>
  <c r="X79" i="36" s="1"/>
  <c r="E79" i="19" s="1"/>
  <c r="W224" i="36"/>
  <c r="X224" i="36" s="1"/>
  <c r="E226" i="19" s="1"/>
  <c r="W126" i="36"/>
  <c r="X126" i="36" s="1"/>
  <c r="E127" i="19" s="1"/>
  <c r="W244" i="36"/>
  <c r="X244" i="36" s="1"/>
  <c r="E247" i="19" s="1"/>
  <c r="W149" i="36"/>
  <c r="X149" i="36" s="1"/>
  <c r="E150" i="19" s="1"/>
  <c r="W4" i="36"/>
  <c r="W3" i="36" l="1" a="1"/>
  <c r="W3" i="36" s="1"/>
  <c r="Y318" i="36"/>
  <c r="E230" i="19"/>
  <c r="Y317" i="36"/>
  <c r="E106" i="19"/>
  <c r="W317" i="37"/>
  <c r="X317" i="37" s="1"/>
  <c r="W318" i="37"/>
  <c r="X318" i="37" s="1"/>
  <c r="W318" i="38"/>
  <c r="X318" i="38" s="1"/>
  <c r="W317" i="38"/>
  <c r="X317" i="38" s="1"/>
  <c r="W317" i="39"/>
  <c r="X317" i="39" s="1"/>
  <c r="W318" i="39"/>
  <c r="X318" i="39" s="1"/>
  <c r="W4" i="37"/>
  <c r="Y79" i="36"/>
  <c r="Y293" i="36"/>
  <c r="Y105" i="36"/>
  <c r="Y116" i="36"/>
  <c r="Y44" i="36"/>
  <c r="Y182" i="36"/>
  <c r="Y54" i="36"/>
  <c r="Y70" i="36"/>
  <c r="Y295" i="36"/>
  <c r="Y16" i="36"/>
  <c r="Y43" i="36"/>
  <c r="Y87" i="36"/>
  <c r="Y135" i="36"/>
  <c r="Y113" i="36"/>
  <c r="Y101" i="36"/>
  <c r="Y21" i="36"/>
  <c r="Y28" i="36"/>
  <c r="Y204" i="36"/>
  <c r="Y181" i="36"/>
  <c r="Y143" i="36"/>
  <c r="Y91" i="36"/>
  <c r="Y238" i="36"/>
  <c r="Y29" i="36"/>
  <c r="Y202" i="36"/>
  <c r="Y165" i="36"/>
  <c r="Y34" i="36"/>
  <c r="Y125" i="36"/>
  <c r="Y23" i="36"/>
  <c r="Y249" i="36"/>
  <c r="Y162" i="36"/>
  <c r="Y235" i="36"/>
  <c r="Y35" i="36"/>
  <c r="Y132" i="36"/>
  <c r="Y174" i="36"/>
  <c r="Y287" i="36"/>
  <c r="Y237" i="36"/>
  <c r="Y20" i="36"/>
  <c r="Y201" i="36"/>
  <c r="Y27" i="36"/>
  <c r="Y265" i="36"/>
  <c r="Y177" i="36"/>
  <c r="Y81" i="36"/>
  <c r="Y41" i="36"/>
  <c r="Y22" i="36"/>
  <c r="Y213" i="36"/>
  <c r="Y149" i="36"/>
  <c r="Y9" i="36"/>
  <c r="Y117" i="36"/>
  <c r="Y200" i="36"/>
  <c r="Y302" i="36"/>
  <c r="Y264" i="36"/>
  <c r="Y309" i="36"/>
  <c r="Y122" i="36"/>
  <c r="Y277" i="36"/>
  <c r="Y254" i="36"/>
  <c r="Y279" i="36"/>
  <c r="Y187" i="36"/>
  <c r="Y5" i="36"/>
  <c r="Y118" i="36"/>
  <c r="Y197" i="36"/>
  <c r="Y74" i="36"/>
  <c r="Y271" i="36"/>
  <c r="Y114" i="36"/>
  <c r="Y310" i="36"/>
  <c r="Y164" i="36"/>
  <c r="Y163" i="36"/>
  <c r="Y80" i="36"/>
  <c r="Y131" i="36"/>
  <c r="Y6" i="36"/>
  <c r="Y286" i="36"/>
  <c r="Y281" i="36"/>
  <c r="Y72" i="36"/>
  <c r="Y180" i="36"/>
  <c r="Y133" i="36"/>
  <c r="Y278" i="36"/>
  <c r="Y153" i="36"/>
  <c r="Y151" i="36"/>
  <c r="Y102" i="36"/>
  <c r="Y216" i="36"/>
  <c r="Y217" i="36"/>
  <c r="Y210" i="36"/>
  <c r="Y253" i="36"/>
  <c r="Y109" i="36"/>
  <c r="Y215" i="36"/>
  <c r="Y110" i="36"/>
  <c r="Y223" i="36"/>
  <c r="Y185" i="36"/>
  <c r="Y299" i="36"/>
  <c r="Y14" i="36"/>
  <c r="Y176" i="36"/>
  <c r="Y300" i="36"/>
  <c r="Y290" i="36"/>
  <c r="Y92" i="36"/>
  <c r="Y19" i="36"/>
  <c r="Y96" i="36"/>
  <c r="Y251" i="36"/>
  <c r="Y272" i="36"/>
  <c r="Y144" i="36"/>
  <c r="Y68" i="36"/>
  <c r="Y193" i="36"/>
  <c r="Y124" i="36"/>
  <c r="Y156" i="36"/>
  <c r="Y127" i="36"/>
  <c r="Y191" i="36"/>
  <c r="Y104" i="36"/>
  <c r="Y160" i="36"/>
  <c r="Y186" i="36"/>
  <c r="Y241" i="36"/>
  <c r="Y24" i="36"/>
  <c r="Y85" i="36"/>
  <c r="Y138" i="36"/>
  <c r="Y47" i="36"/>
  <c r="Y65" i="36"/>
  <c r="Y12" i="36"/>
  <c r="Y166" i="36"/>
  <c r="Y140" i="36"/>
  <c r="Y119" i="36"/>
  <c r="Y142" i="36"/>
  <c r="Y196" i="36"/>
  <c r="Y136" i="36"/>
  <c r="Y103" i="36"/>
  <c r="Y112" i="36"/>
  <c r="Y90" i="36"/>
  <c r="Y121" i="36"/>
  <c r="Y147" i="36"/>
  <c r="Y50" i="36"/>
  <c r="Y247" i="36"/>
  <c r="Y206" i="36"/>
  <c r="Y161" i="36"/>
  <c r="Y205" i="36"/>
  <c r="Y42" i="36"/>
  <c r="Y56" i="36"/>
  <c r="Y291" i="36"/>
  <c r="Y195" i="36"/>
  <c r="Y154" i="36"/>
  <c r="Y214" i="36"/>
  <c r="Y52" i="36"/>
  <c r="Y73" i="36"/>
  <c r="Y244" i="36"/>
  <c r="Y39" i="36"/>
  <c r="Y231" i="36"/>
  <c r="Y126" i="36"/>
  <c r="Y256" i="36"/>
  <c r="Y139" i="36"/>
  <c r="Y58" i="36"/>
  <c r="Y211" i="36"/>
  <c r="Y69" i="36"/>
  <c r="Y315" i="36"/>
  <c r="Y150" i="36"/>
  <c r="Y17" i="36"/>
  <c r="Y294" i="36"/>
  <c r="Y304" i="36"/>
  <c r="Y221" i="36"/>
  <c r="Y32" i="36"/>
  <c r="Y62" i="36"/>
  <c r="Y60" i="36"/>
  <c r="Y285" i="36"/>
  <c r="Y296" i="36"/>
  <c r="Y262" i="36"/>
  <c r="Y275" i="36"/>
  <c r="Y263" i="36"/>
  <c r="Y303" i="36"/>
  <c r="Y246" i="36"/>
  <c r="Y183" i="36"/>
  <c r="Y38" i="36"/>
  <c r="Y306" i="36"/>
  <c r="Y298" i="36"/>
  <c r="Y212" i="36"/>
  <c r="Y258" i="36"/>
  <c r="Y311" i="36"/>
  <c r="Y232" i="36"/>
  <c r="Y75" i="36"/>
  <c r="Y307" i="36"/>
  <c r="Y134" i="36"/>
  <c r="Y189" i="36"/>
  <c r="Y155" i="36"/>
  <c r="Y130" i="36"/>
  <c r="Y266" i="36"/>
  <c r="Y30" i="36"/>
  <c r="Y67" i="36"/>
  <c r="Y55" i="36"/>
  <c r="Y312" i="36"/>
  <c r="Y259" i="36"/>
  <c r="Y76" i="36"/>
  <c r="Y227" i="36"/>
  <c r="Y158" i="36"/>
  <c r="Y250" i="36"/>
  <c r="Y115" i="36"/>
  <c r="Y33" i="36"/>
  <c r="Y175" i="36"/>
  <c r="Y208" i="36"/>
  <c r="Y276" i="36"/>
  <c r="Y48" i="36"/>
  <c r="Y305" i="36"/>
  <c r="Y224" i="36"/>
  <c r="Y78" i="36"/>
  <c r="Y53" i="36"/>
  <c r="Y273" i="36"/>
  <c r="Y173" i="36"/>
  <c r="Y282" i="36"/>
  <c r="Y219" i="36"/>
  <c r="Y93" i="36"/>
  <c r="Y106" i="36"/>
  <c r="Y229" i="36"/>
  <c r="Y297" i="36"/>
  <c r="Y269" i="36"/>
  <c r="Y194" i="36"/>
  <c r="Y283" i="36"/>
  <c r="Y308" i="36"/>
  <c r="Y146" i="36"/>
  <c r="Y171" i="36"/>
  <c r="Y178" i="36"/>
  <c r="Y280" i="36"/>
  <c r="Y199" i="36"/>
  <c r="Y240" i="36"/>
  <c r="Y248" i="36"/>
  <c r="Y64" i="36"/>
  <c r="Y88" i="36"/>
  <c r="Y89" i="36"/>
  <c r="Y230" i="36"/>
  <c r="Y99" i="36"/>
  <c r="Y203" i="36"/>
  <c r="Y218" i="36"/>
  <c r="Y233" i="36"/>
  <c r="Y100" i="36"/>
  <c r="Y120" i="36"/>
  <c r="Y260" i="36"/>
  <c r="Y289" i="36"/>
  <c r="Y207" i="36"/>
  <c r="Y226" i="36"/>
  <c r="Y59" i="36"/>
  <c r="Y31" i="36"/>
  <c r="Y159" i="36"/>
  <c r="Y18" i="36"/>
  <c r="Y84" i="36"/>
  <c r="Y11" i="36"/>
  <c r="Y239" i="36"/>
  <c r="Y255" i="36"/>
  <c r="Y245" i="36"/>
  <c r="Y51" i="36"/>
  <c r="Y252" i="36"/>
  <c r="Y261" i="36"/>
  <c r="Y198" i="36"/>
  <c r="Y15" i="36"/>
  <c r="Y7" i="36"/>
  <c r="Y314" i="36"/>
  <c r="Y63" i="36"/>
  <c r="Y222" i="36"/>
  <c r="Y225" i="36"/>
  <c r="Y36" i="36"/>
  <c r="Y242" i="36"/>
  <c r="Y316" i="36"/>
  <c r="Y37" i="36"/>
  <c r="Y220" i="36"/>
  <c r="Y129" i="36"/>
  <c r="Y71" i="36"/>
  <c r="Y10" i="36"/>
  <c r="Y83" i="36"/>
  <c r="Y157" i="36"/>
  <c r="Y184" i="36"/>
  <c r="Y313" i="36"/>
  <c r="Y98" i="36"/>
  <c r="Y123" i="36"/>
  <c r="Y86" i="36"/>
  <c r="Y40" i="36"/>
  <c r="Y188" i="36"/>
  <c r="Y46" i="36"/>
  <c r="Y301" i="36"/>
  <c r="Y66" i="36"/>
  <c r="Y168" i="36"/>
  <c r="Y172" i="36"/>
  <c r="Y170" i="36"/>
  <c r="Y274" i="36"/>
  <c r="Y108" i="36"/>
  <c r="Y45" i="36"/>
  <c r="Y77" i="36"/>
  <c r="Y268" i="36"/>
  <c r="Y8" i="36"/>
  <c r="Y243" i="36"/>
  <c r="Y57" i="36"/>
  <c r="Y97" i="36"/>
  <c r="Y270" i="36"/>
  <c r="Y13" i="36"/>
  <c r="Y95" i="36"/>
  <c r="Y169" i="36"/>
  <c r="Y145" i="36"/>
  <c r="Y284" i="36"/>
  <c r="Y257" i="36"/>
  <c r="Y292" i="36"/>
  <c r="Y236" i="36"/>
  <c r="Y26" i="36"/>
  <c r="Y192" i="36"/>
  <c r="Y137" i="36"/>
  <c r="Y94" i="36"/>
  <c r="Y228" i="36"/>
  <c r="Y190" i="36"/>
  <c r="Y107" i="36"/>
  <c r="Y128" i="36"/>
  <c r="Y82" i="36"/>
  <c r="Y141" i="36"/>
  <c r="Y267" i="36"/>
  <c r="Y179" i="36"/>
  <c r="Y167" i="36"/>
  <c r="Y234" i="36"/>
  <c r="Y61" i="36"/>
  <c r="Y152" i="36"/>
  <c r="Y25" i="36"/>
  <c r="Y148" i="36"/>
  <c r="Y49" i="36"/>
  <c r="Y111" i="36"/>
  <c r="Y288" i="36"/>
  <c r="Y209" i="36"/>
  <c r="W269" i="38"/>
  <c r="X269" i="38" s="1"/>
  <c r="G272" i="19" s="1"/>
  <c r="W278" i="38"/>
  <c r="X278" i="38" s="1"/>
  <c r="G281" i="19" s="1"/>
  <c r="W201" i="38"/>
  <c r="X201" i="38" s="1"/>
  <c r="G203" i="19" s="1"/>
  <c r="W115" i="38"/>
  <c r="X115" i="38" s="1"/>
  <c r="G116" i="19" s="1"/>
  <c r="W259" i="38"/>
  <c r="X259" i="38" s="1"/>
  <c r="G262" i="19" s="1"/>
  <c r="W161" i="38"/>
  <c r="X161" i="38" s="1"/>
  <c r="G162" i="19" s="1"/>
  <c r="W241" i="38"/>
  <c r="X241" i="38" s="1"/>
  <c r="G244" i="19" s="1"/>
  <c r="W186" i="38"/>
  <c r="X186" i="38" s="1"/>
  <c r="G187" i="19" s="1"/>
  <c r="W26" i="38"/>
  <c r="X26" i="38" s="1"/>
  <c r="G26" i="19" s="1"/>
  <c r="W174" i="38"/>
  <c r="X174" i="38" s="1"/>
  <c r="G175" i="19" s="1"/>
  <c r="W158" i="38"/>
  <c r="X158" i="38" s="1"/>
  <c r="G159" i="19" s="1"/>
  <c r="W20" i="38"/>
  <c r="X20" i="38" s="1"/>
  <c r="G20" i="19" s="1"/>
  <c r="W102" i="38"/>
  <c r="X102" i="38" s="1"/>
  <c r="G102" i="19" s="1"/>
  <c r="W257" i="38"/>
  <c r="X257" i="38" s="1"/>
  <c r="G260" i="19" s="1"/>
  <c r="W182" i="38"/>
  <c r="X182" i="38" s="1"/>
  <c r="G183" i="19" s="1"/>
  <c r="W185" i="38"/>
  <c r="X185" i="38" s="1"/>
  <c r="G186" i="19" s="1"/>
  <c r="W96" i="38"/>
  <c r="X96" i="38" s="1"/>
  <c r="G96" i="19" s="1"/>
  <c r="W154" i="38"/>
  <c r="X154" i="38" s="1"/>
  <c r="G155" i="19" s="1"/>
  <c r="W272" i="38"/>
  <c r="X272" i="38" s="1"/>
  <c r="G275" i="19" s="1"/>
  <c r="W19" i="38"/>
  <c r="X19" i="38" s="1"/>
  <c r="G19" i="19" s="1"/>
  <c r="W262" i="38"/>
  <c r="X262" i="38" s="1"/>
  <c r="G265" i="19" s="1"/>
  <c r="W141" i="38"/>
  <c r="X141" i="38" s="1"/>
  <c r="G142" i="19" s="1"/>
  <c r="W157" i="38"/>
  <c r="X157" i="38" s="1"/>
  <c r="G158" i="19" s="1"/>
  <c r="W300" i="38"/>
  <c r="X300" i="38" s="1"/>
  <c r="G303" i="19" s="1"/>
  <c r="W219" i="38"/>
  <c r="X219" i="38" s="1"/>
  <c r="G221" i="19" s="1"/>
  <c r="W71" i="38"/>
  <c r="X71" i="38" s="1"/>
  <c r="G71" i="19" s="1"/>
  <c r="W217" i="38"/>
  <c r="X217" i="38" s="1"/>
  <c r="G219" i="19" s="1"/>
  <c r="W295" i="38"/>
  <c r="X295" i="38" s="1"/>
  <c r="G298" i="19" s="1"/>
  <c r="W239" i="38"/>
  <c r="X239" i="38" s="1"/>
  <c r="G242" i="19" s="1"/>
  <c r="W47" i="38"/>
  <c r="X47" i="38" s="1"/>
  <c r="G47" i="19" s="1"/>
  <c r="W58" i="38"/>
  <c r="X58" i="38" s="1"/>
  <c r="G58" i="19" s="1"/>
  <c r="W100" i="38"/>
  <c r="X100" i="38" s="1"/>
  <c r="G100" i="19" s="1"/>
  <c r="W94" i="38"/>
  <c r="X94" i="38" s="1"/>
  <c r="G94" i="19" s="1"/>
  <c r="W104" i="38"/>
  <c r="X104" i="38" s="1"/>
  <c r="G104" i="19" s="1"/>
  <c r="W200" i="38"/>
  <c r="X200" i="38" s="1"/>
  <c r="G202" i="19" s="1"/>
  <c r="W54" i="38"/>
  <c r="X54" i="38" s="1"/>
  <c r="G54" i="19" s="1"/>
  <c r="W142" i="38"/>
  <c r="X142" i="38" s="1"/>
  <c r="G143" i="19" s="1"/>
  <c r="W50" i="38"/>
  <c r="X50" i="38" s="1"/>
  <c r="G50" i="19" s="1"/>
  <c r="W164" i="38"/>
  <c r="X164" i="38" s="1"/>
  <c r="G165" i="19" s="1"/>
  <c r="W183" i="38"/>
  <c r="X183" i="38" s="1"/>
  <c r="G184" i="19" s="1"/>
  <c r="W95" i="38"/>
  <c r="X95" i="38" s="1"/>
  <c r="G95" i="19" s="1"/>
  <c r="W145" i="38"/>
  <c r="X145" i="38" s="1"/>
  <c r="G146" i="19" s="1"/>
  <c r="W97" i="38"/>
  <c r="X97" i="38" s="1"/>
  <c r="G97" i="19" s="1"/>
  <c r="W187" i="38"/>
  <c r="X187" i="38" s="1"/>
  <c r="G188" i="19" s="1"/>
  <c r="W56" i="38"/>
  <c r="X56" i="38" s="1"/>
  <c r="G56" i="19" s="1"/>
  <c r="W144" i="38"/>
  <c r="X144" i="38" s="1"/>
  <c r="G145" i="19" s="1"/>
  <c r="W93" i="38"/>
  <c r="X93" i="38" s="1"/>
  <c r="G93" i="19" s="1"/>
  <c r="W204" i="38"/>
  <c r="X204" i="38" s="1"/>
  <c r="G206" i="19" s="1"/>
  <c r="W252" i="38"/>
  <c r="X252" i="38" s="1"/>
  <c r="G255" i="19" s="1"/>
  <c r="W244" i="38"/>
  <c r="X244" i="38" s="1"/>
  <c r="G247" i="19" s="1"/>
  <c r="W307" i="38"/>
  <c r="X307" i="38" s="1"/>
  <c r="G310" i="19" s="1"/>
  <c r="W189" i="38"/>
  <c r="X189" i="38" s="1"/>
  <c r="G190" i="19" s="1"/>
  <c r="W289" i="38"/>
  <c r="X289" i="38" s="1"/>
  <c r="G292" i="19" s="1"/>
  <c r="W55" i="38"/>
  <c r="X55" i="38" s="1"/>
  <c r="G55" i="19" s="1"/>
  <c r="W32" i="38"/>
  <c r="X32" i="38" s="1"/>
  <c r="G32" i="19" s="1"/>
  <c r="W248" i="38"/>
  <c r="X248" i="38" s="1"/>
  <c r="G251" i="19" s="1"/>
  <c r="W35" i="38"/>
  <c r="X35" i="38" s="1"/>
  <c r="G35" i="19" s="1"/>
  <c r="W166" i="38"/>
  <c r="X166" i="38" s="1"/>
  <c r="G167" i="19" s="1"/>
  <c r="W91" i="38"/>
  <c r="X91" i="38" s="1"/>
  <c r="G91" i="19" s="1"/>
  <c r="W275" i="38"/>
  <c r="X275" i="38" s="1"/>
  <c r="G278" i="19" s="1"/>
  <c r="W159" i="38"/>
  <c r="X159" i="38" s="1"/>
  <c r="G160" i="19" s="1"/>
  <c r="W7" i="38"/>
  <c r="X7" i="38" s="1"/>
  <c r="G7" i="19" s="1"/>
  <c r="W110" i="38"/>
  <c r="X110" i="38" s="1"/>
  <c r="G111" i="19" s="1"/>
  <c r="W18" i="38"/>
  <c r="X18" i="38" s="1"/>
  <c r="G18" i="19" s="1"/>
  <c r="W98" i="38"/>
  <c r="X98" i="38" s="1"/>
  <c r="G98" i="19" s="1"/>
  <c r="W5" i="38"/>
  <c r="X5" i="38" s="1"/>
  <c r="G5" i="19" s="1"/>
  <c r="W62" i="38"/>
  <c r="X62" i="38" s="1"/>
  <c r="G62" i="19" s="1"/>
  <c r="W11" i="38"/>
  <c r="X11" i="38" s="1"/>
  <c r="G11" i="19" s="1"/>
  <c r="W211" i="38"/>
  <c r="X211" i="38" s="1"/>
  <c r="G213" i="19" s="1"/>
  <c r="W313" i="38"/>
  <c r="X313" i="38" s="1"/>
  <c r="G316" i="19" s="1"/>
  <c r="W130" i="38"/>
  <c r="X130" i="38" s="1"/>
  <c r="G131" i="19" s="1"/>
  <c r="W191" i="38"/>
  <c r="X191" i="38" s="1"/>
  <c r="G192" i="19" s="1"/>
  <c r="W127" i="38"/>
  <c r="X127" i="38" s="1"/>
  <c r="G128" i="19" s="1"/>
  <c r="W285" i="38"/>
  <c r="X285" i="38" s="1"/>
  <c r="G288" i="19" s="1"/>
  <c r="W67" i="38"/>
  <c r="X67" i="38" s="1"/>
  <c r="G67" i="19" s="1"/>
  <c r="W253" i="38"/>
  <c r="X253" i="38" s="1"/>
  <c r="G256" i="19" s="1"/>
  <c r="W46" i="38"/>
  <c r="X46" i="38" s="1"/>
  <c r="G46" i="19" s="1"/>
  <c r="W184" i="38"/>
  <c r="X184" i="38" s="1"/>
  <c r="G185" i="19" s="1"/>
  <c r="W133" i="38"/>
  <c r="X133" i="38" s="1"/>
  <c r="G134" i="19" s="1"/>
  <c r="W179" i="38"/>
  <c r="X179" i="38" s="1"/>
  <c r="G180" i="19" s="1"/>
  <c r="W51" i="38"/>
  <c r="X51" i="38" s="1"/>
  <c r="G51" i="19" s="1"/>
  <c r="W131" i="38"/>
  <c r="X131" i="38" s="1"/>
  <c r="G132" i="19" s="1"/>
  <c r="W52" i="38"/>
  <c r="X52" i="38" s="1"/>
  <c r="G52" i="19" s="1"/>
  <c r="W167" i="38"/>
  <c r="X167" i="38" s="1"/>
  <c r="G168" i="19" s="1"/>
  <c r="W227" i="38"/>
  <c r="X227" i="38" s="1"/>
  <c r="G229" i="19" s="1"/>
  <c r="W153" i="38"/>
  <c r="X153" i="38" s="1"/>
  <c r="G154" i="19" s="1"/>
  <c r="W48" i="38"/>
  <c r="X48" i="38" s="1"/>
  <c r="G48" i="19" s="1"/>
  <c r="W151" i="38"/>
  <c r="X151" i="38" s="1"/>
  <c r="G152" i="19" s="1"/>
  <c r="W34" i="38"/>
  <c r="X34" i="38" s="1"/>
  <c r="G34" i="19" s="1"/>
  <c r="W207" i="38"/>
  <c r="X207" i="38" s="1"/>
  <c r="G209" i="19" s="1"/>
  <c r="W45" i="38"/>
  <c r="X45" i="38" s="1"/>
  <c r="G45" i="19" s="1"/>
  <c r="W255" i="38"/>
  <c r="X255" i="38" s="1"/>
  <c r="G258" i="19" s="1"/>
  <c r="W70" i="38"/>
  <c r="X70" i="38" s="1"/>
  <c r="G70" i="19" s="1"/>
  <c r="W270" i="38"/>
  <c r="X270" i="38" s="1"/>
  <c r="G273" i="19" s="1"/>
  <c r="W297" i="38"/>
  <c r="X297" i="38" s="1"/>
  <c r="G300" i="19" s="1"/>
  <c r="W193" i="38"/>
  <c r="X193" i="38" s="1"/>
  <c r="G194" i="19" s="1"/>
  <c r="W172" i="38"/>
  <c r="X172" i="38" s="1"/>
  <c r="G173" i="19" s="1"/>
  <c r="W135" i="38"/>
  <c r="X135" i="38" s="1"/>
  <c r="G136" i="19" s="1"/>
  <c r="W268" i="38"/>
  <c r="X268" i="38" s="1"/>
  <c r="G271" i="19" s="1"/>
  <c r="W254" i="38"/>
  <c r="X254" i="38" s="1"/>
  <c r="G257" i="19" s="1"/>
  <c r="W222" i="38"/>
  <c r="X222" i="38" s="1"/>
  <c r="G224" i="19" s="1"/>
  <c r="W251" i="38"/>
  <c r="X251" i="38" s="1"/>
  <c r="G254" i="19" s="1"/>
  <c r="W304" i="38"/>
  <c r="X304" i="38" s="1"/>
  <c r="G307" i="19" s="1"/>
  <c r="W22" i="38"/>
  <c r="X22" i="38" s="1"/>
  <c r="G22" i="19" s="1"/>
  <c r="W224" i="38"/>
  <c r="X224" i="38" s="1"/>
  <c r="G226" i="19" s="1"/>
  <c r="W230" i="38"/>
  <c r="X230" i="38" s="1"/>
  <c r="G233" i="19" s="1"/>
  <c r="W163" i="38"/>
  <c r="X163" i="38" s="1"/>
  <c r="G164" i="19" s="1"/>
  <c r="W162" i="38"/>
  <c r="X162" i="38" s="1"/>
  <c r="G163" i="19" s="1"/>
  <c r="W143" i="38"/>
  <c r="X143" i="38" s="1"/>
  <c r="G144" i="19" s="1"/>
  <c r="W242" i="38"/>
  <c r="X242" i="38" s="1"/>
  <c r="G245" i="19" s="1"/>
  <c r="W261" i="38"/>
  <c r="X261" i="38" s="1"/>
  <c r="G264" i="19" s="1"/>
  <c r="W279" i="38"/>
  <c r="X279" i="38" s="1"/>
  <c r="G282" i="19" s="1"/>
  <c r="W315" i="38"/>
  <c r="X315" i="38" s="1"/>
  <c r="G318" i="19" s="1"/>
  <c r="W76" i="38"/>
  <c r="X76" i="38" s="1"/>
  <c r="G76" i="19" s="1"/>
  <c r="W256" i="38"/>
  <c r="X256" i="38" s="1"/>
  <c r="G259" i="19" s="1"/>
  <c r="W284" i="38"/>
  <c r="X284" i="38" s="1"/>
  <c r="G287" i="19" s="1"/>
  <c r="W122" i="38"/>
  <c r="X122" i="38" s="1"/>
  <c r="G123" i="19" s="1"/>
  <c r="W281" i="38"/>
  <c r="X281" i="38" s="1"/>
  <c r="G284" i="19" s="1"/>
  <c r="W66" i="38"/>
  <c r="X66" i="38" s="1"/>
  <c r="G66" i="19" s="1"/>
  <c r="W83" i="38"/>
  <c r="X83" i="38" s="1"/>
  <c r="G83" i="19" s="1"/>
  <c r="W226" i="38"/>
  <c r="X226" i="38" s="1"/>
  <c r="G228" i="19" s="1"/>
  <c r="W36" i="38"/>
  <c r="X36" i="38" s="1"/>
  <c r="G36" i="19" s="1"/>
  <c r="W299" i="38"/>
  <c r="X299" i="38" s="1"/>
  <c r="G302" i="19" s="1"/>
  <c r="W31" i="38"/>
  <c r="X31" i="38" s="1"/>
  <c r="G31" i="19" s="1"/>
  <c r="W121" i="38"/>
  <c r="X121" i="38" s="1"/>
  <c r="G122" i="19" s="1"/>
  <c r="W57" i="38"/>
  <c r="X57" i="38" s="1"/>
  <c r="G57" i="19" s="1"/>
  <c r="W250" i="38"/>
  <c r="X250" i="38" s="1"/>
  <c r="G253" i="19" s="1"/>
  <c r="W84" i="38"/>
  <c r="X84" i="38" s="1"/>
  <c r="G84" i="19" s="1"/>
  <c r="W101" i="38"/>
  <c r="X101" i="38" s="1"/>
  <c r="G101" i="19" s="1"/>
  <c r="W44" i="38"/>
  <c r="X44" i="38" s="1"/>
  <c r="G44" i="19" s="1"/>
  <c r="W175" i="38"/>
  <c r="X175" i="38" s="1"/>
  <c r="G176" i="19" s="1"/>
  <c r="W99" i="38"/>
  <c r="X99" i="38" s="1"/>
  <c r="G99" i="19" s="1"/>
  <c r="W311" i="38"/>
  <c r="X311" i="38" s="1"/>
  <c r="G314" i="19" s="1"/>
  <c r="W194" i="38"/>
  <c r="X194" i="38" s="1"/>
  <c r="G196" i="19" s="1"/>
  <c r="W148" i="38"/>
  <c r="X148" i="38" s="1"/>
  <c r="G149" i="19" s="1"/>
  <c r="W25" i="38"/>
  <c r="X25" i="38" s="1"/>
  <c r="G25" i="19" s="1"/>
  <c r="W274" i="38"/>
  <c r="X274" i="38" s="1"/>
  <c r="G277" i="19" s="1"/>
  <c r="W192" i="38"/>
  <c r="X192" i="38" s="1"/>
  <c r="G193" i="19" s="1"/>
  <c r="W33" i="38"/>
  <c r="X33" i="38" s="1"/>
  <c r="G33" i="19" s="1"/>
  <c r="W310" i="38"/>
  <c r="X310" i="38" s="1"/>
  <c r="G313" i="19" s="1"/>
  <c r="W247" i="38"/>
  <c r="X247" i="38" s="1"/>
  <c r="G250" i="19" s="1"/>
  <c r="W196" i="38"/>
  <c r="X196" i="38" s="1"/>
  <c r="G198" i="19" s="1"/>
  <c r="W88" i="38"/>
  <c r="X88" i="38" s="1"/>
  <c r="G88" i="19" s="1"/>
  <c r="W277" i="38"/>
  <c r="X277" i="38" s="1"/>
  <c r="G280" i="19" s="1"/>
  <c r="W280" i="38"/>
  <c r="X280" i="38" s="1"/>
  <c r="G283" i="19" s="1"/>
  <c r="W114" i="38"/>
  <c r="X114" i="38" s="1"/>
  <c r="G115" i="19" s="1"/>
  <c r="W298" i="38"/>
  <c r="X298" i="38" s="1"/>
  <c r="G301" i="19" s="1"/>
  <c r="W260" i="38"/>
  <c r="X260" i="38" s="1"/>
  <c r="G263" i="19" s="1"/>
  <c r="W206" i="38"/>
  <c r="X206" i="38" s="1"/>
  <c r="G208" i="19" s="1"/>
  <c r="W23" i="38"/>
  <c r="X23" i="38" s="1"/>
  <c r="G23" i="19" s="1"/>
  <c r="W120" i="38"/>
  <c r="X120" i="38" s="1"/>
  <c r="G121" i="19" s="1"/>
  <c r="W147" i="38"/>
  <c r="X147" i="38" s="1"/>
  <c r="G148" i="19" s="1"/>
  <c r="W282" i="38"/>
  <c r="X282" i="38" s="1"/>
  <c r="G285" i="19" s="1"/>
  <c r="W265" i="38"/>
  <c r="X265" i="38" s="1"/>
  <c r="G268" i="19" s="1"/>
  <c r="W165" i="38"/>
  <c r="X165" i="38" s="1"/>
  <c r="G166" i="19" s="1"/>
  <c r="W12" i="38"/>
  <c r="X12" i="38" s="1"/>
  <c r="G12" i="19" s="1"/>
  <c r="W29" i="38"/>
  <c r="X29" i="38" s="1"/>
  <c r="G29" i="19" s="1"/>
  <c r="W87" i="38"/>
  <c r="X87" i="38" s="1"/>
  <c r="G87" i="19" s="1"/>
  <c r="W170" i="38"/>
  <c r="X170" i="38" s="1"/>
  <c r="G171" i="19" s="1"/>
  <c r="W73" i="38"/>
  <c r="X73" i="38" s="1"/>
  <c r="G73" i="19" s="1"/>
  <c r="W271" i="38"/>
  <c r="X271" i="38" s="1"/>
  <c r="G274" i="19" s="1"/>
  <c r="W306" i="38"/>
  <c r="X306" i="38" s="1"/>
  <c r="G309" i="19" s="1"/>
  <c r="W89" i="38"/>
  <c r="X89" i="38" s="1"/>
  <c r="G89" i="19" s="1"/>
  <c r="W28" i="38"/>
  <c r="X28" i="38" s="1"/>
  <c r="G28" i="19" s="1"/>
  <c r="W24" i="38"/>
  <c r="X24" i="38" s="1"/>
  <c r="G24" i="19" s="1"/>
  <c r="W287" i="38"/>
  <c r="X287" i="38" s="1"/>
  <c r="G290" i="19" s="1"/>
  <c r="W228" i="38"/>
  <c r="X228" i="38" s="1"/>
  <c r="G231" i="19" s="1"/>
  <c r="W233" i="38"/>
  <c r="X233" i="38" s="1"/>
  <c r="G236" i="19" s="1"/>
  <c r="W8" i="38"/>
  <c r="X8" i="38" s="1"/>
  <c r="G8" i="19" s="1"/>
  <c r="W236" i="38"/>
  <c r="X236" i="38" s="1"/>
  <c r="G239" i="19" s="1"/>
  <c r="W85" i="38"/>
  <c r="X85" i="38" s="1"/>
  <c r="G85" i="19" s="1"/>
  <c r="W294" i="38"/>
  <c r="X294" i="38" s="1"/>
  <c r="G297" i="19" s="1"/>
  <c r="W229" i="38"/>
  <c r="X229" i="38" s="1"/>
  <c r="G232" i="19" s="1"/>
  <c r="W86" i="38"/>
  <c r="X86" i="38" s="1"/>
  <c r="G86" i="19" s="1"/>
  <c r="W203" i="38"/>
  <c r="X203" i="38" s="1"/>
  <c r="G205" i="19" s="1"/>
  <c r="W156" i="38"/>
  <c r="X156" i="38" s="1"/>
  <c r="G157" i="19" s="1"/>
  <c r="W258" i="38"/>
  <c r="X258" i="38" s="1"/>
  <c r="G261" i="19" s="1"/>
  <c r="W223" i="38"/>
  <c r="X223" i="38" s="1"/>
  <c r="G225" i="19" s="1"/>
  <c r="W234" i="38"/>
  <c r="X234" i="38" s="1"/>
  <c r="G237" i="19" s="1"/>
  <c r="W42" i="38"/>
  <c r="X42" i="38" s="1"/>
  <c r="G42" i="19" s="1"/>
  <c r="W132" i="38"/>
  <c r="X132" i="38" s="1"/>
  <c r="G133" i="19" s="1"/>
  <c r="W177" i="38"/>
  <c r="X177" i="38" s="1"/>
  <c r="G178" i="19" s="1"/>
  <c r="W69" i="38"/>
  <c r="X69" i="38" s="1"/>
  <c r="G69" i="19" s="1"/>
  <c r="W79" i="38"/>
  <c r="X79" i="38" s="1"/>
  <c r="G79" i="19" s="1"/>
  <c r="W180" i="38"/>
  <c r="X180" i="38" s="1"/>
  <c r="G181" i="19" s="1"/>
  <c r="W215" i="38"/>
  <c r="X215" i="38" s="1"/>
  <c r="G217" i="19" s="1"/>
  <c r="W111" i="38"/>
  <c r="X111" i="38" s="1"/>
  <c r="G112" i="19" s="1"/>
  <c r="W13" i="38"/>
  <c r="X13" i="38" s="1"/>
  <c r="G13" i="19" s="1"/>
  <c r="W286" i="38"/>
  <c r="X286" i="38" s="1"/>
  <c r="G289" i="19" s="1"/>
  <c r="W312" i="38"/>
  <c r="X312" i="38" s="1"/>
  <c r="G315" i="19" s="1"/>
  <c r="W202" i="38"/>
  <c r="X202" i="38" s="1"/>
  <c r="G204" i="19" s="1"/>
  <c r="W72" i="38"/>
  <c r="X72" i="38" s="1"/>
  <c r="G72" i="19" s="1"/>
  <c r="W61" i="38"/>
  <c r="X61" i="38" s="1"/>
  <c r="G61" i="19" s="1"/>
  <c r="W243" i="38"/>
  <c r="X243" i="38" s="1"/>
  <c r="G246" i="19" s="1"/>
  <c r="W128" i="38"/>
  <c r="X128" i="38" s="1"/>
  <c r="G129" i="19" s="1"/>
  <c r="W316" i="38"/>
  <c r="X316" i="38" s="1"/>
  <c r="G195" i="19" s="1"/>
  <c r="W238" i="38"/>
  <c r="X238" i="38" s="1"/>
  <c r="G241" i="19" s="1"/>
  <c r="W43" i="38"/>
  <c r="X43" i="38" s="1"/>
  <c r="G43" i="19" s="1"/>
  <c r="W212" i="38"/>
  <c r="X212" i="38" s="1"/>
  <c r="G214" i="19" s="1"/>
  <c r="W137" i="38"/>
  <c r="X137" i="38" s="1"/>
  <c r="G138" i="19" s="1"/>
  <c r="W246" i="38"/>
  <c r="X246" i="38" s="1"/>
  <c r="G249" i="19" s="1"/>
  <c r="W208" i="38"/>
  <c r="X208" i="38" s="1"/>
  <c r="G210" i="19" s="1"/>
  <c r="W169" i="38"/>
  <c r="X169" i="38" s="1"/>
  <c r="G170" i="19" s="1"/>
  <c r="W65" i="38"/>
  <c r="X65" i="38" s="1"/>
  <c r="G65" i="19" s="1"/>
  <c r="W263" i="38"/>
  <c r="X263" i="38" s="1"/>
  <c r="G266" i="19" s="1"/>
  <c r="W216" i="38"/>
  <c r="X216" i="38" s="1"/>
  <c r="G218" i="19" s="1"/>
  <c r="W16" i="38"/>
  <c r="X16" i="38" s="1"/>
  <c r="G16" i="19" s="1"/>
  <c r="W181" i="38"/>
  <c r="X181" i="38" s="1"/>
  <c r="G182" i="19" s="1"/>
  <c r="W59" i="38"/>
  <c r="X59" i="38" s="1"/>
  <c r="G59" i="19" s="1"/>
  <c r="W118" i="38"/>
  <c r="X118" i="38" s="1"/>
  <c r="G119" i="19" s="1"/>
  <c r="W82" i="38"/>
  <c r="X82" i="38" s="1"/>
  <c r="G82" i="19" s="1"/>
  <c r="W168" i="38"/>
  <c r="X168" i="38" s="1"/>
  <c r="G169" i="19" s="1"/>
  <c r="W108" i="38"/>
  <c r="X108" i="38" s="1"/>
  <c r="G109" i="19" s="1"/>
  <c r="W92" i="38"/>
  <c r="X92" i="38" s="1"/>
  <c r="G92" i="19" s="1"/>
  <c r="W107" i="38"/>
  <c r="X107" i="38" s="1"/>
  <c r="G108" i="19" s="1"/>
  <c r="W116" i="38"/>
  <c r="X116" i="38" s="1"/>
  <c r="G117" i="19" s="1"/>
  <c r="W171" i="38"/>
  <c r="X171" i="38" s="1"/>
  <c r="G172" i="19" s="1"/>
  <c r="W231" i="38"/>
  <c r="X231" i="38" s="1"/>
  <c r="G234" i="19" s="1"/>
  <c r="W249" i="38"/>
  <c r="X249" i="38" s="1"/>
  <c r="G252" i="19" s="1"/>
  <c r="W68" i="38"/>
  <c r="X68" i="38" s="1"/>
  <c r="G68" i="19" s="1"/>
  <c r="W292" i="38"/>
  <c r="X292" i="38" s="1"/>
  <c r="G295" i="19" s="1"/>
  <c r="W267" i="38"/>
  <c r="X267" i="38" s="1"/>
  <c r="G270" i="19" s="1"/>
  <c r="W155" i="38"/>
  <c r="X155" i="38" s="1"/>
  <c r="G156" i="19" s="1"/>
  <c r="W75" i="38"/>
  <c r="X75" i="38" s="1"/>
  <c r="G75" i="19" s="1"/>
  <c r="W178" i="38"/>
  <c r="X178" i="38" s="1"/>
  <c r="G179" i="19" s="1"/>
  <c r="W77" i="38"/>
  <c r="X77" i="38" s="1"/>
  <c r="G77" i="19" s="1"/>
  <c r="W27" i="38"/>
  <c r="X27" i="38" s="1"/>
  <c r="G27" i="19" s="1"/>
  <c r="W49" i="38"/>
  <c r="X49" i="38" s="1"/>
  <c r="G49" i="19" s="1"/>
  <c r="W123" i="38"/>
  <c r="X123" i="38" s="1"/>
  <c r="G124" i="19" s="1"/>
  <c r="W138" i="38"/>
  <c r="X138" i="38" s="1"/>
  <c r="G139" i="19" s="1"/>
  <c r="W112" i="38"/>
  <c r="X112" i="38" s="1"/>
  <c r="G113" i="19" s="1"/>
  <c r="W303" i="38"/>
  <c r="X303" i="38" s="1"/>
  <c r="G306" i="19" s="1"/>
  <c r="W60" i="38"/>
  <c r="X60" i="38" s="1"/>
  <c r="G60" i="19" s="1"/>
  <c r="W276" i="38"/>
  <c r="X276" i="38" s="1"/>
  <c r="G279" i="19" s="1"/>
  <c r="W218" i="38"/>
  <c r="X218" i="38" s="1"/>
  <c r="G220" i="19" s="1"/>
  <c r="W140" i="38"/>
  <c r="X140" i="38" s="1"/>
  <c r="G141" i="19" s="1"/>
  <c r="W296" i="38"/>
  <c r="X296" i="38" s="1"/>
  <c r="G299" i="19" s="1"/>
  <c r="W80" i="38"/>
  <c r="X80" i="38" s="1"/>
  <c r="G80" i="19" s="1"/>
  <c r="W273" i="38"/>
  <c r="X273" i="38" s="1"/>
  <c r="G276" i="19" s="1"/>
  <c r="W214" i="38"/>
  <c r="X214" i="38" s="1"/>
  <c r="G216" i="19" s="1"/>
  <c r="W205" i="38"/>
  <c r="X205" i="38" s="1"/>
  <c r="G207" i="19" s="1"/>
  <c r="W290" i="38"/>
  <c r="X290" i="38" s="1"/>
  <c r="G293" i="19" s="1"/>
  <c r="W160" i="38"/>
  <c r="X160" i="38" s="1"/>
  <c r="G161" i="19" s="1"/>
  <c r="W309" i="38"/>
  <c r="X309" i="38" s="1"/>
  <c r="G312" i="19" s="1"/>
  <c r="W266" i="38"/>
  <c r="X266" i="38" s="1"/>
  <c r="G269" i="19" s="1"/>
  <c r="W119" i="38"/>
  <c r="X119" i="38" s="1"/>
  <c r="G120" i="19" s="1"/>
  <c r="W14" i="38"/>
  <c r="X14" i="38" s="1"/>
  <c r="G14" i="19" s="1"/>
  <c r="W129" i="38"/>
  <c r="X129" i="38" s="1"/>
  <c r="G130" i="19" s="1"/>
  <c r="W41" i="38"/>
  <c r="X41" i="38" s="1"/>
  <c r="G41" i="19" s="1"/>
  <c r="W149" i="38"/>
  <c r="X149" i="38" s="1"/>
  <c r="G150" i="19" s="1"/>
  <c r="W78" i="38"/>
  <c r="X78" i="38" s="1"/>
  <c r="G78" i="19" s="1"/>
  <c r="W64" i="38"/>
  <c r="X64" i="38" s="1"/>
  <c r="G64" i="19" s="1"/>
  <c r="W139" i="38"/>
  <c r="X139" i="38" s="1"/>
  <c r="G140" i="19" s="1"/>
  <c r="W6" i="38"/>
  <c r="X6" i="38" s="1"/>
  <c r="G6" i="19" s="1"/>
  <c r="W152" i="38"/>
  <c r="X152" i="38" s="1"/>
  <c r="G153" i="19" s="1"/>
  <c r="W74" i="38"/>
  <c r="X74" i="38" s="1"/>
  <c r="G74" i="19" s="1"/>
  <c r="W245" i="38"/>
  <c r="X245" i="38" s="1"/>
  <c r="G248" i="19" s="1"/>
  <c r="W37" i="38"/>
  <c r="X37" i="38" s="1"/>
  <c r="G37" i="19" s="1"/>
  <c r="W176" i="38"/>
  <c r="X176" i="38" s="1"/>
  <c r="G177" i="19" s="1"/>
  <c r="W109" i="38"/>
  <c r="X109" i="38" s="1"/>
  <c r="G110" i="19" s="1"/>
  <c r="W235" i="38"/>
  <c r="X235" i="38" s="1"/>
  <c r="G238" i="19" s="1"/>
  <c r="W197" i="38"/>
  <c r="X197" i="38" s="1"/>
  <c r="G199" i="19" s="1"/>
  <c r="W53" i="38"/>
  <c r="X53" i="38" s="1"/>
  <c r="G53" i="19" s="1"/>
  <c r="W38" i="38"/>
  <c r="X38" i="38" s="1"/>
  <c r="G38" i="19" s="1"/>
  <c r="W221" i="38"/>
  <c r="X221" i="38" s="1"/>
  <c r="G223" i="19" s="1"/>
  <c r="W305" i="38"/>
  <c r="X305" i="38" s="1"/>
  <c r="G308" i="19" s="1"/>
  <c r="W188" i="38"/>
  <c r="X188" i="38" s="1"/>
  <c r="G189" i="19" s="1"/>
  <c r="W39" i="38"/>
  <c r="X39" i="38" s="1"/>
  <c r="G39" i="19" s="1"/>
  <c r="W209" i="38"/>
  <c r="X209" i="38" s="1"/>
  <c r="G211" i="19" s="1"/>
  <c r="W293" i="38"/>
  <c r="X293" i="38" s="1"/>
  <c r="G296" i="19" s="1"/>
  <c r="W10" i="38"/>
  <c r="X10" i="38" s="1"/>
  <c r="G10" i="19" s="1"/>
  <c r="W291" i="38"/>
  <c r="X291" i="38" s="1"/>
  <c r="G294" i="19" s="1"/>
  <c r="W15" i="38"/>
  <c r="X15" i="38" s="1"/>
  <c r="G15" i="19" s="1"/>
  <c r="W213" i="38"/>
  <c r="X213" i="38" s="1"/>
  <c r="G215" i="19" s="1"/>
  <c r="W90" i="38"/>
  <c r="X90" i="38" s="1"/>
  <c r="G90" i="19" s="1"/>
  <c r="W124" i="38"/>
  <c r="X124" i="38" s="1"/>
  <c r="G125" i="19" s="1"/>
  <c r="W199" i="38"/>
  <c r="X199" i="38" s="1"/>
  <c r="G201" i="19" s="1"/>
  <c r="W198" i="38"/>
  <c r="X198" i="38" s="1"/>
  <c r="G200" i="19" s="1"/>
  <c r="W125" i="38"/>
  <c r="X125" i="38" s="1"/>
  <c r="G126" i="19" s="1"/>
  <c r="W314" i="38"/>
  <c r="X314" i="38" s="1"/>
  <c r="G317" i="19" s="1"/>
  <c r="W283" i="38"/>
  <c r="X283" i="38" s="1"/>
  <c r="G286" i="19" s="1"/>
  <c r="W232" i="38"/>
  <c r="X232" i="38" s="1"/>
  <c r="G235" i="19" s="1"/>
  <c r="W105" i="38"/>
  <c r="X105" i="38" s="1"/>
  <c r="G105" i="19" s="1"/>
  <c r="W126" i="38"/>
  <c r="X126" i="38" s="1"/>
  <c r="G127" i="19" s="1"/>
  <c r="W288" i="38"/>
  <c r="X288" i="38" s="1"/>
  <c r="G291" i="19" s="1"/>
  <c r="W225" i="38"/>
  <c r="X225" i="38" s="1"/>
  <c r="G227" i="19" s="1"/>
  <c r="W264" i="38"/>
  <c r="X264" i="38" s="1"/>
  <c r="G267" i="19" s="1"/>
  <c r="W237" i="38"/>
  <c r="X237" i="38" s="1"/>
  <c r="G240" i="19" s="1"/>
  <c r="W146" i="38"/>
  <c r="X146" i="38" s="1"/>
  <c r="G147" i="19" s="1"/>
  <c r="W195" i="38"/>
  <c r="X195" i="38" s="1"/>
  <c r="G197" i="19" s="1"/>
  <c r="W210" i="38"/>
  <c r="X210" i="38" s="1"/>
  <c r="G212" i="19" s="1"/>
  <c r="W21" i="38"/>
  <c r="X21" i="38" s="1"/>
  <c r="G21" i="19" s="1"/>
  <c r="W9" i="38"/>
  <c r="X9" i="38" s="1"/>
  <c r="G9" i="19" s="1"/>
  <c r="W240" i="38"/>
  <c r="X240" i="38" s="1"/>
  <c r="G243" i="19" s="1"/>
  <c r="W301" i="38"/>
  <c r="X301" i="38" s="1"/>
  <c r="G304" i="19" s="1"/>
  <c r="W63" i="38"/>
  <c r="X63" i="38" s="1"/>
  <c r="G63" i="19" s="1"/>
  <c r="W190" i="38"/>
  <c r="X190" i="38" s="1"/>
  <c r="G191" i="19" s="1"/>
  <c r="W40" i="38"/>
  <c r="X40" i="38" s="1"/>
  <c r="G40" i="19" s="1"/>
  <c r="W302" i="38"/>
  <c r="X302" i="38" s="1"/>
  <c r="G305" i="19" s="1"/>
  <c r="W103" i="38"/>
  <c r="X103" i="38" s="1"/>
  <c r="G103" i="19" s="1"/>
  <c r="W30" i="38"/>
  <c r="X30" i="38" s="1"/>
  <c r="G30" i="19" s="1"/>
  <c r="W117" i="38"/>
  <c r="X117" i="38" s="1"/>
  <c r="G118" i="19" s="1"/>
  <c r="W134" i="38"/>
  <c r="X134" i="38" s="1"/>
  <c r="G135" i="19" s="1"/>
  <c r="W17" i="38"/>
  <c r="X17" i="38" s="1"/>
  <c r="G17" i="19" s="1"/>
  <c r="W136" i="38"/>
  <c r="X136" i="38" s="1"/>
  <c r="G137" i="19" s="1"/>
  <c r="W113" i="38"/>
  <c r="X113" i="38" s="1"/>
  <c r="G114" i="19" s="1"/>
  <c r="W81" i="38"/>
  <c r="X81" i="38" s="1"/>
  <c r="G81" i="19" s="1"/>
  <c r="W106" i="38"/>
  <c r="X106" i="38" s="1"/>
  <c r="G107" i="19" s="1"/>
  <c r="W173" i="38"/>
  <c r="X173" i="38" s="1"/>
  <c r="G174" i="19" s="1"/>
  <c r="W220" i="38"/>
  <c r="X220" i="38" s="1"/>
  <c r="G222" i="19" s="1"/>
  <c r="W308" i="38"/>
  <c r="X308" i="38" s="1"/>
  <c r="G311" i="19" s="1"/>
  <c r="W150" i="38"/>
  <c r="X150" i="38" s="1"/>
  <c r="G151" i="19" s="1"/>
  <c r="W4" i="38"/>
  <c r="W153" i="37"/>
  <c r="X153" i="37" s="1"/>
  <c r="F154" i="19" s="1"/>
  <c r="W135" i="37"/>
  <c r="X135" i="37" s="1"/>
  <c r="F136" i="19" s="1"/>
  <c r="W116" i="37"/>
  <c r="X116" i="37" s="1"/>
  <c r="F117" i="19" s="1"/>
  <c r="W129" i="37"/>
  <c r="X129" i="37" s="1"/>
  <c r="F130" i="19" s="1"/>
  <c r="W5" i="37"/>
  <c r="X5" i="37" s="1"/>
  <c r="F5" i="19" s="1"/>
  <c r="W89" i="37"/>
  <c r="X89" i="37" s="1"/>
  <c r="F89" i="19" s="1"/>
  <c r="W202" i="37"/>
  <c r="X202" i="37" s="1"/>
  <c r="F204" i="19" s="1"/>
  <c r="W214" i="37"/>
  <c r="X214" i="37" s="1"/>
  <c r="F216" i="19" s="1"/>
  <c r="W55" i="37"/>
  <c r="X55" i="37" s="1"/>
  <c r="F55" i="19" s="1"/>
  <c r="W124" i="37"/>
  <c r="X124" i="37" s="1"/>
  <c r="F125" i="19" s="1"/>
  <c r="W309" i="37"/>
  <c r="X309" i="37" s="1"/>
  <c r="F312" i="19" s="1"/>
  <c r="W25" i="37"/>
  <c r="X25" i="37" s="1"/>
  <c r="F25" i="19" s="1"/>
  <c r="W94" i="37"/>
  <c r="X94" i="37" s="1"/>
  <c r="F94" i="19" s="1"/>
  <c r="W289" i="37"/>
  <c r="X289" i="37" s="1"/>
  <c r="F292" i="19" s="1"/>
  <c r="W203" i="37"/>
  <c r="X203" i="37" s="1"/>
  <c r="F205" i="19" s="1"/>
  <c r="W250" i="37"/>
  <c r="X250" i="37" s="1"/>
  <c r="F253" i="19" s="1"/>
  <c r="W273" i="37"/>
  <c r="X273" i="37" s="1"/>
  <c r="F276" i="19" s="1"/>
  <c r="W307" i="37"/>
  <c r="X307" i="37" s="1"/>
  <c r="F310" i="19" s="1"/>
  <c r="W285" i="37"/>
  <c r="X285" i="37" s="1"/>
  <c r="F288" i="19" s="1"/>
  <c r="W85" i="37"/>
  <c r="X85" i="37" s="1"/>
  <c r="F85" i="19" s="1"/>
  <c r="W143" i="37"/>
  <c r="X143" i="37" s="1"/>
  <c r="F144" i="19" s="1"/>
  <c r="W226" i="37"/>
  <c r="X226" i="37" s="1"/>
  <c r="F228" i="19" s="1"/>
  <c r="W47" i="37"/>
  <c r="X47" i="37" s="1"/>
  <c r="F47" i="19" s="1"/>
  <c r="W281" i="37"/>
  <c r="X281" i="37" s="1"/>
  <c r="F284" i="19" s="1"/>
  <c r="W82" i="37"/>
  <c r="X82" i="37" s="1"/>
  <c r="F82" i="19" s="1"/>
  <c r="W174" i="37"/>
  <c r="X174" i="37" s="1"/>
  <c r="F175" i="19" s="1"/>
  <c r="W258" i="37"/>
  <c r="X258" i="37" s="1"/>
  <c r="F261" i="19" s="1"/>
  <c r="W111" i="37"/>
  <c r="X111" i="37" s="1"/>
  <c r="F112" i="19" s="1"/>
  <c r="W185" i="37"/>
  <c r="X185" i="37" s="1"/>
  <c r="F186" i="19" s="1"/>
  <c r="W272" i="37"/>
  <c r="X272" i="37" s="1"/>
  <c r="F275" i="19" s="1"/>
  <c r="W69" i="37"/>
  <c r="X69" i="37" s="1"/>
  <c r="F69" i="19" s="1"/>
  <c r="W194" i="37"/>
  <c r="X194" i="37" s="1"/>
  <c r="F196" i="19" s="1"/>
  <c r="W141" i="37"/>
  <c r="X141" i="37" s="1"/>
  <c r="F142" i="19" s="1"/>
  <c r="W34" i="37"/>
  <c r="X34" i="37" s="1"/>
  <c r="F34" i="19" s="1"/>
  <c r="W217" i="37"/>
  <c r="X217" i="37" s="1"/>
  <c r="F219" i="19" s="1"/>
  <c r="W114" i="37"/>
  <c r="X114" i="37" s="1"/>
  <c r="F115" i="19" s="1"/>
  <c r="W243" i="37"/>
  <c r="X243" i="37" s="1"/>
  <c r="F246" i="19" s="1"/>
  <c r="W240" i="37"/>
  <c r="X240" i="37" s="1"/>
  <c r="F243" i="19" s="1"/>
  <c r="W301" i="37"/>
  <c r="X301" i="37" s="1"/>
  <c r="F304" i="19" s="1"/>
  <c r="W58" i="37"/>
  <c r="X58" i="37" s="1"/>
  <c r="F58" i="19" s="1"/>
  <c r="W105" i="37"/>
  <c r="X105" i="37" s="1"/>
  <c r="F105" i="19" s="1"/>
  <c r="W64" i="37"/>
  <c r="X64" i="37" s="1"/>
  <c r="F64" i="19" s="1"/>
  <c r="W130" i="37"/>
  <c r="X130" i="37" s="1"/>
  <c r="F131" i="19" s="1"/>
  <c r="W179" i="37"/>
  <c r="X179" i="37" s="1"/>
  <c r="F180" i="19" s="1"/>
  <c r="W228" i="37"/>
  <c r="X228" i="37" s="1"/>
  <c r="F231" i="19" s="1"/>
  <c r="W176" i="37"/>
  <c r="X176" i="37" s="1"/>
  <c r="F177" i="19" s="1"/>
  <c r="W65" i="37"/>
  <c r="X65" i="37" s="1"/>
  <c r="F65" i="19" s="1"/>
  <c r="W266" i="37"/>
  <c r="X266" i="37" s="1"/>
  <c r="F269" i="19" s="1"/>
  <c r="W125" i="37"/>
  <c r="X125" i="37" s="1"/>
  <c r="F126" i="19" s="1"/>
  <c r="W312" i="37"/>
  <c r="X312" i="37" s="1"/>
  <c r="F315" i="19" s="1"/>
  <c r="W107" i="37"/>
  <c r="X107" i="37" s="1"/>
  <c r="F108" i="19" s="1"/>
  <c r="W212" i="37"/>
  <c r="X212" i="37" s="1"/>
  <c r="F214" i="19" s="1"/>
  <c r="W260" i="37"/>
  <c r="X260" i="37" s="1"/>
  <c r="F263" i="19" s="1"/>
  <c r="W38" i="37"/>
  <c r="X38" i="37" s="1"/>
  <c r="F38" i="19" s="1"/>
  <c r="W249" i="37"/>
  <c r="X249" i="37" s="1"/>
  <c r="F252" i="19" s="1"/>
  <c r="W246" i="37"/>
  <c r="X246" i="37" s="1"/>
  <c r="F249" i="19" s="1"/>
  <c r="W235" i="37"/>
  <c r="X235" i="37" s="1"/>
  <c r="F238" i="19" s="1"/>
  <c r="W154" i="37"/>
  <c r="X154" i="37" s="1"/>
  <c r="F155" i="19" s="1"/>
  <c r="W164" i="37"/>
  <c r="X164" i="37" s="1"/>
  <c r="F165" i="19" s="1"/>
  <c r="W298" i="37"/>
  <c r="X298" i="37" s="1"/>
  <c r="F301" i="19" s="1"/>
  <c r="W213" i="37"/>
  <c r="X213" i="37" s="1"/>
  <c r="F215" i="19" s="1"/>
  <c r="W106" i="37"/>
  <c r="X106" i="37" s="1"/>
  <c r="F107" i="19" s="1"/>
  <c r="W146" i="37"/>
  <c r="X146" i="37" s="1"/>
  <c r="F147" i="19" s="1"/>
  <c r="W184" i="37"/>
  <c r="X184" i="37" s="1"/>
  <c r="F185" i="19" s="1"/>
  <c r="W11" i="37"/>
  <c r="X11" i="37" s="1"/>
  <c r="F11" i="19" s="1"/>
  <c r="W109" i="37"/>
  <c r="X109" i="37" s="1"/>
  <c r="F110" i="19" s="1"/>
  <c r="W72" i="37"/>
  <c r="X72" i="37" s="1"/>
  <c r="F72" i="19" s="1"/>
  <c r="W308" i="37"/>
  <c r="X308" i="37" s="1"/>
  <c r="F311" i="19" s="1"/>
  <c r="W279" i="37"/>
  <c r="X279" i="37" s="1"/>
  <c r="F282" i="19" s="1"/>
  <c r="W16" i="37"/>
  <c r="X16" i="37" s="1"/>
  <c r="F16" i="19" s="1"/>
  <c r="W96" i="37"/>
  <c r="X96" i="37" s="1"/>
  <c r="F96" i="19" s="1"/>
  <c r="W316" i="37"/>
  <c r="X316" i="37" s="1"/>
  <c r="F195" i="19" s="1"/>
  <c r="W108" i="37"/>
  <c r="X108" i="37" s="1"/>
  <c r="F109" i="19" s="1"/>
  <c r="W104" i="37"/>
  <c r="X104" i="37" s="1"/>
  <c r="F104" i="19" s="1"/>
  <c r="W220" i="37"/>
  <c r="X220" i="37" s="1"/>
  <c r="F222" i="19" s="1"/>
  <c r="W271" i="37"/>
  <c r="X271" i="37" s="1"/>
  <c r="F274" i="19" s="1"/>
  <c r="W162" i="37"/>
  <c r="X162" i="37" s="1"/>
  <c r="F163" i="19" s="1"/>
  <c r="W53" i="37"/>
  <c r="X53" i="37" s="1"/>
  <c r="F53" i="19" s="1"/>
  <c r="W172" i="37"/>
  <c r="X172" i="37" s="1"/>
  <c r="F173" i="19" s="1"/>
  <c r="W239" i="37"/>
  <c r="X239" i="37" s="1"/>
  <c r="F242" i="19" s="1"/>
  <c r="W149" i="37"/>
  <c r="X149" i="37" s="1"/>
  <c r="F150" i="19" s="1"/>
  <c r="W170" i="37"/>
  <c r="X170" i="37" s="1"/>
  <c r="F171" i="19" s="1"/>
  <c r="W290" i="37"/>
  <c r="X290" i="37" s="1"/>
  <c r="F293" i="19" s="1"/>
  <c r="W232" i="37"/>
  <c r="X232" i="37" s="1"/>
  <c r="F235" i="19" s="1"/>
  <c r="W218" i="37"/>
  <c r="X218" i="37" s="1"/>
  <c r="F220" i="19" s="1"/>
  <c r="W310" i="37"/>
  <c r="X310" i="37" s="1"/>
  <c r="F313" i="19" s="1"/>
  <c r="W160" i="37"/>
  <c r="X160" i="37" s="1"/>
  <c r="F161" i="19" s="1"/>
  <c r="W126" i="37"/>
  <c r="X126" i="37" s="1"/>
  <c r="F127" i="19" s="1"/>
  <c r="W227" i="37"/>
  <c r="X227" i="37" s="1"/>
  <c r="F229" i="19" s="1"/>
  <c r="W187" i="37"/>
  <c r="X187" i="37" s="1"/>
  <c r="F188" i="19" s="1"/>
  <c r="W57" i="37"/>
  <c r="X57" i="37" s="1"/>
  <c r="F57" i="19" s="1"/>
  <c r="W158" i="37"/>
  <c r="X158" i="37" s="1"/>
  <c r="F159" i="19" s="1"/>
  <c r="W231" i="37"/>
  <c r="X231" i="37" s="1"/>
  <c r="F234" i="19" s="1"/>
  <c r="W54" i="37"/>
  <c r="X54" i="37" s="1"/>
  <c r="F54" i="19" s="1"/>
  <c r="W159" i="37"/>
  <c r="X159" i="37" s="1"/>
  <c r="F160" i="19" s="1"/>
  <c r="W277" i="37"/>
  <c r="X277" i="37" s="1"/>
  <c r="F280" i="19" s="1"/>
  <c r="W302" i="37"/>
  <c r="X302" i="37" s="1"/>
  <c r="F305" i="19" s="1"/>
  <c r="W88" i="37"/>
  <c r="X88" i="37" s="1"/>
  <c r="F88" i="19" s="1"/>
  <c r="W311" i="37"/>
  <c r="X311" i="37" s="1"/>
  <c r="F314" i="19" s="1"/>
  <c r="W199" i="37"/>
  <c r="X199" i="37" s="1"/>
  <c r="F201" i="19" s="1"/>
  <c r="W138" i="37"/>
  <c r="X138" i="37" s="1"/>
  <c r="F139" i="19" s="1"/>
  <c r="W32" i="37"/>
  <c r="X32" i="37" s="1"/>
  <c r="F32" i="19" s="1"/>
  <c r="W17" i="37"/>
  <c r="X17" i="37" s="1"/>
  <c r="F17" i="19" s="1"/>
  <c r="W98" i="37"/>
  <c r="X98" i="37" s="1"/>
  <c r="F98" i="19" s="1"/>
  <c r="W256" i="37"/>
  <c r="X256" i="37" s="1"/>
  <c r="F259" i="19" s="1"/>
  <c r="W19" i="37"/>
  <c r="X19" i="37" s="1"/>
  <c r="F19" i="19" s="1"/>
  <c r="W305" i="37"/>
  <c r="X305" i="37" s="1"/>
  <c r="F308" i="19" s="1"/>
  <c r="W144" i="37"/>
  <c r="X144" i="37" s="1"/>
  <c r="F145" i="19" s="1"/>
  <c r="W118" i="37"/>
  <c r="X118" i="37" s="1"/>
  <c r="F119" i="19" s="1"/>
  <c r="W233" i="37"/>
  <c r="X233" i="37" s="1"/>
  <c r="F236" i="19" s="1"/>
  <c r="W112" i="37"/>
  <c r="X112" i="37" s="1"/>
  <c r="F113" i="19" s="1"/>
  <c r="W133" i="37"/>
  <c r="X133" i="37" s="1"/>
  <c r="F134" i="19" s="1"/>
  <c r="W14" i="37"/>
  <c r="X14" i="37" s="1"/>
  <c r="F14" i="19" s="1"/>
  <c r="W182" i="37"/>
  <c r="X182" i="37" s="1"/>
  <c r="F183" i="19" s="1"/>
  <c r="W62" i="37"/>
  <c r="X62" i="37" s="1"/>
  <c r="F62" i="19" s="1"/>
  <c r="W92" i="37"/>
  <c r="X92" i="37" s="1"/>
  <c r="F92" i="19" s="1"/>
  <c r="W86" i="37"/>
  <c r="X86" i="37" s="1"/>
  <c r="F86" i="19" s="1"/>
  <c r="W236" i="37"/>
  <c r="X236" i="37" s="1"/>
  <c r="F239" i="19" s="1"/>
  <c r="W52" i="37"/>
  <c r="X52" i="37" s="1"/>
  <c r="F52" i="19" s="1"/>
  <c r="W70" i="37"/>
  <c r="X70" i="37" s="1"/>
  <c r="F70" i="19" s="1"/>
  <c r="W79" i="37"/>
  <c r="X79" i="37" s="1"/>
  <c r="F79" i="19" s="1"/>
  <c r="W49" i="37"/>
  <c r="X49" i="37" s="1"/>
  <c r="F49" i="19" s="1"/>
  <c r="W83" i="37"/>
  <c r="X83" i="37" s="1"/>
  <c r="F83" i="19" s="1"/>
  <c r="W168" i="37"/>
  <c r="X168" i="37" s="1"/>
  <c r="F169" i="19" s="1"/>
  <c r="W284" i="37"/>
  <c r="X284" i="37" s="1"/>
  <c r="F287" i="19" s="1"/>
  <c r="W18" i="37"/>
  <c r="X18" i="37" s="1"/>
  <c r="F18" i="19" s="1"/>
  <c r="W198" i="37"/>
  <c r="X198" i="37" s="1"/>
  <c r="F200" i="19" s="1"/>
  <c r="W183" i="37"/>
  <c r="X183" i="37" s="1"/>
  <c r="F184" i="19" s="1"/>
  <c r="W193" i="37"/>
  <c r="X193" i="37" s="1"/>
  <c r="F194" i="19" s="1"/>
  <c r="W71" i="37"/>
  <c r="X71" i="37" s="1"/>
  <c r="F71" i="19" s="1"/>
  <c r="W210" i="37"/>
  <c r="X210" i="37" s="1"/>
  <c r="F212" i="19" s="1"/>
  <c r="W275" i="37"/>
  <c r="X275" i="37" s="1"/>
  <c r="F278" i="19" s="1"/>
  <c r="W224" i="37"/>
  <c r="X224" i="37" s="1"/>
  <c r="F226" i="19" s="1"/>
  <c r="W139" i="37"/>
  <c r="X139" i="37" s="1"/>
  <c r="F140" i="19" s="1"/>
  <c r="W274" i="37"/>
  <c r="X274" i="37" s="1"/>
  <c r="F277" i="19" s="1"/>
  <c r="W46" i="37"/>
  <c r="X46" i="37" s="1"/>
  <c r="F46" i="19" s="1"/>
  <c r="W93" i="37"/>
  <c r="X93" i="37" s="1"/>
  <c r="F93" i="19" s="1"/>
  <c r="W197" i="37"/>
  <c r="X197" i="37" s="1"/>
  <c r="F199" i="19" s="1"/>
  <c r="W288" i="37"/>
  <c r="X288" i="37" s="1"/>
  <c r="F291" i="19" s="1"/>
  <c r="W221" i="37"/>
  <c r="X221" i="37" s="1"/>
  <c r="F223" i="19" s="1"/>
  <c r="W91" i="37"/>
  <c r="X91" i="37" s="1"/>
  <c r="F91" i="19" s="1"/>
  <c r="W59" i="37"/>
  <c r="X59" i="37" s="1"/>
  <c r="F59" i="19" s="1"/>
  <c r="W282" i="37"/>
  <c r="X282" i="37" s="1"/>
  <c r="F285" i="19" s="1"/>
  <c r="W244" i="37"/>
  <c r="X244" i="37" s="1"/>
  <c r="F247" i="19" s="1"/>
  <c r="W189" i="37"/>
  <c r="X189" i="37" s="1"/>
  <c r="F190" i="19" s="1"/>
  <c r="W117" i="37"/>
  <c r="X117" i="37" s="1"/>
  <c r="F118" i="19" s="1"/>
  <c r="W132" i="37"/>
  <c r="X132" i="37" s="1"/>
  <c r="F133" i="19" s="1"/>
  <c r="W177" i="37"/>
  <c r="X177" i="37" s="1"/>
  <c r="F178" i="19" s="1"/>
  <c r="W255" i="37"/>
  <c r="X255" i="37" s="1"/>
  <c r="F258" i="19" s="1"/>
  <c r="W60" i="37"/>
  <c r="X60" i="37" s="1"/>
  <c r="F60" i="19" s="1"/>
  <c r="W287" i="37"/>
  <c r="X287" i="37" s="1"/>
  <c r="F290" i="19" s="1"/>
  <c r="W155" i="37"/>
  <c r="X155" i="37" s="1"/>
  <c r="F156" i="19" s="1"/>
  <c r="W276" i="37"/>
  <c r="X276" i="37" s="1"/>
  <c r="F279" i="19" s="1"/>
  <c r="W204" i="37"/>
  <c r="X204" i="37" s="1"/>
  <c r="F206" i="19" s="1"/>
  <c r="W131" i="37"/>
  <c r="X131" i="37" s="1"/>
  <c r="F132" i="19" s="1"/>
  <c r="W22" i="37"/>
  <c r="X22" i="37" s="1"/>
  <c r="F22" i="19" s="1"/>
  <c r="W211" i="37"/>
  <c r="X211" i="37" s="1"/>
  <c r="F213" i="19" s="1"/>
  <c r="W278" i="37"/>
  <c r="X278" i="37" s="1"/>
  <c r="F281" i="19" s="1"/>
  <c r="W280" i="37"/>
  <c r="X280" i="37" s="1"/>
  <c r="F283" i="19" s="1"/>
  <c r="W56" i="37"/>
  <c r="X56" i="37" s="1"/>
  <c r="F56" i="19" s="1"/>
  <c r="W134" i="37"/>
  <c r="X134" i="37" s="1"/>
  <c r="F135" i="19" s="1"/>
  <c r="W74" i="37"/>
  <c r="X74" i="37" s="1"/>
  <c r="F74" i="19" s="1"/>
  <c r="W207" i="37"/>
  <c r="X207" i="37" s="1"/>
  <c r="F209" i="19" s="1"/>
  <c r="W121" i="37"/>
  <c r="X121" i="37" s="1"/>
  <c r="F122" i="19" s="1"/>
  <c r="W21" i="37"/>
  <c r="X21" i="37" s="1"/>
  <c r="F21" i="19" s="1"/>
  <c r="W296" i="37"/>
  <c r="X296" i="37" s="1"/>
  <c r="F299" i="19" s="1"/>
  <c r="W223" i="37"/>
  <c r="X223" i="37" s="1"/>
  <c r="F225" i="19" s="1"/>
  <c r="W30" i="37"/>
  <c r="X30" i="37" s="1"/>
  <c r="F30" i="19" s="1"/>
  <c r="W7" i="37"/>
  <c r="X7" i="37" s="1"/>
  <c r="F7" i="19" s="1"/>
  <c r="W103" i="37"/>
  <c r="X103" i="37" s="1"/>
  <c r="F103" i="19" s="1"/>
  <c r="W161" i="37"/>
  <c r="X161" i="37" s="1"/>
  <c r="F162" i="19" s="1"/>
  <c r="W190" i="37"/>
  <c r="X190" i="37" s="1"/>
  <c r="F191" i="19" s="1"/>
  <c r="W150" i="37"/>
  <c r="X150" i="37" s="1"/>
  <c r="F151" i="19" s="1"/>
  <c r="W261" i="37"/>
  <c r="X261" i="37" s="1"/>
  <c r="F264" i="19" s="1"/>
  <c r="W101" i="37"/>
  <c r="X101" i="37" s="1"/>
  <c r="F101" i="19" s="1"/>
  <c r="W128" i="37"/>
  <c r="X128" i="37" s="1"/>
  <c r="F129" i="19" s="1"/>
  <c r="W110" i="37"/>
  <c r="X110" i="37" s="1"/>
  <c r="F111" i="19" s="1"/>
  <c r="W10" i="37"/>
  <c r="X10" i="37" s="1"/>
  <c r="F10" i="19" s="1"/>
  <c r="W206" i="37"/>
  <c r="X206" i="37" s="1"/>
  <c r="F208" i="19" s="1"/>
  <c r="W142" i="37"/>
  <c r="X142" i="37" s="1"/>
  <c r="F143" i="19" s="1"/>
  <c r="W242" i="37"/>
  <c r="X242" i="37" s="1"/>
  <c r="F245" i="19" s="1"/>
  <c r="W265" i="37"/>
  <c r="X265" i="37" s="1"/>
  <c r="F268" i="19" s="1"/>
  <c r="W300" i="37"/>
  <c r="X300" i="37" s="1"/>
  <c r="F303" i="19" s="1"/>
  <c r="W9" i="37"/>
  <c r="X9" i="37" s="1"/>
  <c r="F9" i="19" s="1"/>
  <c r="W113" i="37"/>
  <c r="X113" i="37" s="1"/>
  <c r="F114" i="19" s="1"/>
  <c r="W147" i="37"/>
  <c r="X147" i="37" s="1"/>
  <c r="F148" i="19" s="1"/>
  <c r="W195" i="37"/>
  <c r="X195" i="37" s="1"/>
  <c r="F197" i="19" s="1"/>
  <c r="W44" i="37"/>
  <c r="X44" i="37" s="1"/>
  <c r="F44" i="19" s="1"/>
  <c r="W87" i="37"/>
  <c r="X87" i="37" s="1"/>
  <c r="F87" i="19" s="1"/>
  <c r="W78" i="37"/>
  <c r="X78" i="37" s="1"/>
  <c r="F78" i="19" s="1"/>
  <c r="W215" i="37"/>
  <c r="X215" i="37" s="1"/>
  <c r="F217" i="19" s="1"/>
  <c r="W15" i="37"/>
  <c r="X15" i="37" s="1"/>
  <c r="F15" i="19" s="1"/>
  <c r="W192" i="37"/>
  <c r="X192" i="37" s="1"/>
  <c r="F193" i="19" s="1"/>
  <c r="W43" i="37"/>
  <c r="X43" i="37" s="1"/>
  <c r="F43" i="19" s="1"/>
  <c r="W165" i="37"/>
  <c r="X165" i="37" s="1"/>
  <c r="F166" i="19" s="1"/>
  <c r="W76" i="37"/>
  <c r="X76" i="37" s="1"/>
  <c r="F76" i="19" s="1"/>
  <c r="W66" i="37"/>
  <c r="X66" i="37" s="1"/>
  <c r="F66" i="19" s="1"/>
  <c r="W156" i="37"/>
  <c r="X156" i="37" s="1"/>
  <c r="F157" i="19" s="1"/>
  <c r="W201" i="37"/>
  <c r="X201" i="37" s="1"/>
  <c r="F203" i="19" s="1"/>
  <c r="W303" i="37"/>
  <c r="X303" i="37" s="1"/>
  <c r="F306" i="19" s="1"/>
  <c r="W36" i="37"/>
  <c r="X36" i="37" s="1"/>
  <c r="F36" i="19" s="1"/>
  <c r="W67" i="37"/>
  <c r="X67" i="37" s="1"/>
  <c r="F67" i="19" s="1"/>
  <c r="W123" i="37"/>
  <c r="X123" i="37" s="1"/>
  <c r="F124" i="19" s="1"/>
  <c r="W90" i="37"/>
  <c r="X90" i="37" s="1"/>
  <c r="F90" i="19" s="1"/>
  <c r="W241" i="37"/>
  <c r="X241" i="37" s="1"/>
  <c r="F244" i="19" s="1"/>
  <c r="W167" i="37"/>
  <c r="X167" i="37" s="1"/>
  <c r="F168" i="19" s="1"/>
  <c r="W42" i="37"/>
  <c r="X42" i="37" s="1"/>
  <c r="F42" i="19" s="1"/>
  <c r="W306" i="37"/>
  <c r="X306" i="37" s="1"/>
  <c r="F309" i="19" s="1"/>
  <c r="W313" i="37"/>
  <c r="X313" i="37" s="1"/>
  <c r="F316" i="19" s="1"/>
  <c r="W267" i="37"/>
  <c r="X267" i="37" s="1"/>
  <c r="F270" i="19" s="1"/>
  <c r="W181" i="37"/>
  <c r="X181" i="37" s="1"/>
  <c r="F182" i="19" s="1"/>
  <c r="W136" i="37"/>
  <c r="X136" i="37" s="1"/>
  <c r="F137" i="19" s="1"/>
  <c r="W61" i="37"/>
  <c r="X61" i="37" s="1"/>
  <c r="F61" i="19" s="1"/>
  <c r="W166" i="37"/>
  <c r="X166" i="37" s="1"/>
  <c r="F167" i="19" s="1"/>
  <c r="W257" i="37"/>
  <c r="X257" i="37" s="1"/>
  <c r="F260" i="19" s="1"/>
  <c r="W81" i="37"/>
  <c r="X81" i="37" s="1"/>
  <c r="F81" i="19" s="1"/>
  <c r="W209" i="37"/>
  <c r="X209" i="37" s="1"/>
  <c r="F211" i="19" s="1"/>
  <c r="W253" i="37"/>
  <c r="X253" i="37" s="1"/>
  <c r="F256" i="19" s="1"/>
  <c r="W200" i="37"/>
  <c r="X200" i="37" s="1"/>
  <c r="F202" i="19" s="1"/>
  <c r="W151" i="37"/>
  <c r="X151" i="37" s="1"/>
  <c r="F152" i="19" s="1"/>
  <c r="W245" i="37"/>
  <c r="X245" i="37" s="1"/>
  <c r="F248" i="19" s="1"/>
  <c r="W73" i="37"/>
  <c r="X73" i="37" s="1"/>
  <c r="F73" i="19" s="1"/>
  <c r="W13" i="37"/>
  <c r="X13" i="37" s="1"/>
  <c r="F13" i="19" s="1"/>
  <c r="W188" i="37"/>
  <c r="X188" i="37" s="1"/>
  <c r="F189" i="19" s="1"/>
  <c r="W238" i="37"/>
  <c r="X238" i="37" s="1"/>
  <c r="F241" i="19" s="1"/>
  <c r="W137" i="37"/>
  <c r="X137" i="37" s="1"/>
  <c r="F138" i="19" s="1"/>
  <c r="W157" i="37"/>
  <c r="X157" i="37" s="1"/>
  <c r="F158" i="19" s="1"/>
  <c r="W315" i="37"/>
  <c r="X315" i="37" s="1"/>
  <c r="F318" i="19" s="1"/>
  <c r="W171" i="37"/>
  <c r="X171" i="37" s="1"/>
  <c r="F172" i="19" s="1"/>
  <c r="W234" i="37"/>
  <c r="X234" i="37" s="1"/>
  <c r="F237" i="19" s="1"/>
  <c r="W35" i="37"/>
  <c r="X35" i="37" s="1"/>
  <c r="F35" i="19" s="1"/>
  <c r="W237" i="37"/>
  <c r="X237" i="37" s="1"/>
  <c r="F240" i="19" s="1"/>
  <c r="W8" i="37"/>
  <c r="X8" i="37" s="1"/>
  <c r="F8" i="19" s="1"/>
  <c r="W180" i="37"/>
  <c r="X180" i="37" s="1"/>
  <c r="F181" i="19" s="1"/>
  <c r="W229" i="37"/>
  <c r="X229" i="37" s="1"/>
  <c r="F232" i="19" s="1"/>
  <c r="W163" i="37"/>
  <c r="X163" i="37" s="1"/>
  <c r="F164" i="19" s="1"/>
  <c r="W39" i="37"/>
  <c r="X39" i="37" s="1"/>
  <c r="F39" i="19" s="1"/>
  <c r="W263" i="37"/>
  <c r="X263" i="37" s="1"/>
  <c r="F266" i="19" s="1"/>
  <c r="W51" i="37"/>
  <c r="X51" i="37" s="1"/>
  <c r="F51" i="19" s="1"/>
  <c r="W173" i="37"/>
  <c r="X173" i="37" s="1"/>
  <c r="F174" i="19" s="1"/>
  <c r="W225" i="37"/>
  <c r="X225" i="37" s="1"/>
  <c r="F227" i="19" s="1"/>
  <c r="W314" i="37"/>
  <c r="X314" i="37" s="1"/>
  <c r="F317" i="19" s="1"/>
  <c r="W41" i="37"/>
  <c r="X41" i="37" s="1"/>
  <c r="F41" i="19" s="1"/>
  <c r="W97" i="37"/>
  <c r="X97" i="37" s="1"/>
  <c r="F97" i="19" s="1"/>
  <c r="W291" i="37"/>
  <c r="X291" i="37" s="1"/>
  <c r="F294" i="19" s="1"/>
  <c r="W148" i="37"/>
  <c r="X148" i="37" s="1"/>
  <c r="F149" i="19" s="1"/>
  <c r="W27" i="37"/>
  <c r="X27" i="37" s="1"/>
  <c r="F27" i="19" s="1"/>
  <c r="W120" i="37"/>
  <c r="X120" i="37" s="1"/>
  <c r="F121" i="19" s="1"/>
  <c r="W230" i="37"/>
  <c r="X230" i="37" s="1"/>
  <c r="F233" i="19" s="1"/>
  <c r="W77" i="37"/>
  <c r="X77" i="37" s="1"/>
  <c r="F77" i="19" s="1"/>
  <c r="W140" i="37"/>
  <c r="X140" i="37" s="1"/>
  <c r="F141" i="19" s="1"/>
  <c r="W216" i="37"/>
  <c r="X216" i="37" s="1"/>
  <c r="F218" i="19" s="1"/>
  <c r="W247" i="37"/>
  <c r="X247" i="37" s="1"/>
  <c r="F250" i="19" s="1"/>
  <c r="W254" i="37"/>
  <c r="X254" i="37" s="1"/>
  <c r="F257" i="19" s="1"/>
  <c r="W45" i="37"/>
  <c r="X45" i="37" s="1"/>
  <c r="F45" i="19" s="1"/>
  <c r="W100" i="37"/>
  <c r="X100" i="37" s="1"/>
  <c r="F100" i="19" s="1"/>
  <c r="W40" i="37"/>
  <c r="X40" i="37" s="1"/>
  <c r="F40" i="19" s="1"/>
  <c r="W191" i="37"/>
  <c r="X191" i="37" s="1"/>
  <c r="F192" i="19" s="1"/>
  <c r="W262" i="37"/>
  <c r="X262" i="37" s="1"/>
  <c r="F265" i="19" s="1"/>
  <c r="W175" i="37"/>
  <c r="X175" i="37" s="1"/>
  <c r="F176" i="19" s="1"/>
  <c r="W127" i="37"/>
  <c r="X127" i="37" s="1"/>
  <c r="F128" i="19" s="1"/>
  <c r="W20" i="37"/>
  <c r="X20" i="37" s="1"/>
  <c r="F20" i="19" s="1"/>
  <c r="W75" i="37"/>
  <c r="X75" i="37" s="1"/>
  <c r="F75" i="19" s="1"/>
  <c r="W99" i="37"/>
  <c r="X99" i="37" s="1"/>
  <c r="F99" i="19" s="1"/>
  <c r="W293" i="37"/>
  <c r="X293" i="37" s="1"/>
  <c r="F296" i="19" s="1"/>
  <c r="W63" i="37"/>
  <c r="X63" i="37" s="1"/>
  <c r="F63" i="19" s="1"/>
  <c r="W268" i="37"/>
  <c r="X268" i="37" s="1"/>
  <c r="F271" i="19" s="1"/>
  <c r="W205" i="37"/>
  <c r="X205" i="37" s="1"/>
  <c r="F207" i="19" s="1"/>
  <c r="W299" i="37"/>
  <c r="X299" i="37" s="1"/>
  <c r="F302" i="19" s="1"/>
  <c r="W286" i="37"/>
  <c r="X286" i="37" s="1"/>
  <c r="F289" i="19" s="1"/>
  <c r="W48" i="37"/>
  <c r="X48" i="37" s="1"/>
  <c r="F48" i="19" s="1"/>
  <c r="W222" i="37"/>
  <c r="X222" i="37" s="1"/>
  <c r="F224" i="19" s="1"/>
  <c r="W95" i="37"/>
  <c r="X95" i="37" s="1"/>
  <c r="F95" i="19" s="1"/>
  <c r="W295" i="37"/>
  <c r="X295" i="37" s="1"/>
  <c r="F298" i="19" s="1"/>
  <c r="W219" i="37"/>
  <c r="X219" i="37" s="1"/>
  <c r="F221" i="19" s="1"/>
  <c r="W6" i="37"/>
  <c r="X6" i="37" s="1"/>
  <c r="F6" i="19" s="1"/>
  <c r="W31" i="37"/>
  <c r="X31" i="37" s="1"/>
  <c r="F31" i="19" s="1"/>
  <c r="W186" i="37"/>
  <c r="X186" i="37" s="1"/>
  <c r="F187" i="19" s="1"/>
  <c r="W12" i="37"/>
  <c r="X12" i="37" s="1"/>
  <c r="F12" i="19" s="1"/>
  <c r="W115" i="37"/>
  <c r="X115" i="37" s="1"/>
  <c r="F116" i="19" s="1"/>
  <c r="W24" i="37"/>
  <c r="X24" i="37" s="1"/>
  <c r="F24" i="19" s="1"/>
  <c r="W292" i="37"/>
  <c r="X292" i="37" s="1"/>
  <c r="F295" i="19" s="1"/>
  <c r="W270" i="37"/>
  <c r="X270" i="37" s="1"/>
  <c r="F273" i="19" s="1"/>
  <c r="W196" i="37"/>
  <c r="X196" i="37" s="1"/>
  <c r="F198" i="19" s="1"/>
  <c r="W208" i="37"/>
  <c r="X208" i="37" s="1"/>
  <c r="F210" i="19" s="1"/>
  <c r="W178" i="37"/>
  <c r="X178" i="37" s="1"/>
  <c r="F179" i="19" s="1"/>
  <c r="W152" i="37"/>
  <c r="X152" i="37" s="1"/>
  <c r="F153" i="19" s="1"/>
  <c r="W248" i="37"/>
  <c r="X248" i="37" s="1"/>
  <c r="F251" i="19" s="1"/>
  <c r="W297" i="37"/>
  <c r="X297" i="37" s="1"/>
  <c r="F300" i="19" s="1"/>
  <c r="W269" i="37"/>
  <c r="X269" i="37" s="1"/>
  <c r="F272" i="19" s="1"/>
  <c r="W251" i="37"/>
  <c r="X251" i="37" s="1"/>
  <c r="F254" i="19" s="1"/>
  <c r="W80" i="37"/>
  <c r="X80" i="37" s="1"/>
  <c r="F80" i="19" s="1"/>
  <c r="W252" i="37"/>
  <c r="X252" i="37" s="1"/>
  <c r="F255" i="19" s="1"/>
  <c r="W84" i="37"/>
  <c r="X84" i="37" s="1"/>
  <c r="F84" i="19" s="1"/>
  <c r="W169" i="37"/>
  <c r="X169" i="37" s="1"/>
  <c r="F170" i="19" s="1"/>
  <c r="W259" i="37"/>
  <c r="X259" i="37" s="1"/>
  <c r="F262" i="19" s="1"/>
  <c r="W37" i="37"/>
  <c r="X37" i="37" s="1"/>
  <c r="F37" i="19" s="1"/>
  <c r="W122" i="37"/>
  <c r="X122" i="37" s="1"/>
  <c r="F123" i="19" s="1"/>
  <c r="W283" i="37"/>
  <c r="X283" i="37" s="1"/>
  <c r="F286" i="19" s="1"/>
  <c r="W28" i="37"/>
  <c r="X28" i="37" s="1"/>
  <c r="F28" i="19" s="1"/>
  <c r="W264" i="37"/>
  <c r="X264" i="37" s="1"/>
  <c r="F267" i="19" s="1"/>
  <c r="W304" i="37"/>
  <c r="X304" i="37" s="1"/>
  <c r="F307" i="19" s="1"/>
  <c r="W29" i="37"/>
  <c r="X29" i="37" s="1"/>
  <c r="F29" i="19" s="1"/>
  <c r="W50" i="37"/>
  <c r="X50" i="37" s="1"/>
  <c r="F50" i="19" s="1"/>
  <c r="W119" i="37"/>
  <c r="X119" i="37" s="1"/>
  <c r="F120" i="19" s="1"/>
  <c r="W33" i="37"/>
  <c r="X33" i="37" s="1"/>
  <c r="F33" i="19" s="1"/>
  <c r="W102" i="37"/>
  <c r="X102" i="37" s="1"/>
  <c r="F102" i="19" s="1"/>
  <c r="W26" i="37"/>
  <c r="X26" i="37" s="1"/>
  <c r="F26" i="19" s="1"/>
  <c r="W23" i="37"/>
  <c r="X23" i="37" s="1"/>
  <c r="F23" i="19" s="1"/>
  <c r="W145" i="37"/>
  <c r="X145" i="37" s="1"/>
  <c r="F146" i="19" s="1"/>
  <c r="W294" i="37"/>
  <c r="X294" i="37" s="1"/>
  <c r="F297" i="19" s="1"/>
  <c r="W68" i="37"/>
  <c r="X68" i="37" s="1"/>
  <c r="F68" i="19" s="1"/>
  <c r="X4" i="36"/>
  <c r="W3" i="37" l="1" a="1"/>
  <c r="W3" i="37" s="1"/>
  <c r="Y318" i="39"/>
  <c r="H230" i="19"/>
  <c r="Y317" i="39"/>
  <c r="H106" i="19"/>
  <c r="Y317" i="38"/>
  <c r="G106" i="19"/>
  <c r="Y318" i="38"/>
  <c r="G230" i="19"/>
  <c r="Y318" i="37"/>
  <c r="F230" i="19"/>
  <c r="Y317" i="37"/>
  <c r="F106" i="19"/>
  <c r="X3" i="36" a="1"/>
  <c r="X3" i="36" s="1"/>
  <c r="E4" i="19"/>
  <c r="E3" i="19" s="1"/>
  <c r="W3" i="38" a="1"/>
  <c r="W3" i="38" s="1"/>
  <c r="X4" i="37"/>
  <c r="W4" i="39"/>
  <c r="Y293" i="37"/>
  <c r="Y29" i="37"/>
  <c r="Y48" i="37"/>
  <c r="Y51" i="37"/>
  <c r="Y306" i="37"/>
  <c r="Y30" i="37"/>
  <c r="Y244" i="37"/>
  <c r="Y79" i="37"/>
  <c r="Y187" i="37"/>
  <c r="Y109" i="37"/>
  <c r="Y130" i="37"/>
  <c r="Y309" i="37"/>
  <c r="Y9" i="38"/>
  <c r="Y235" i="38"/>
  <c r="Y292" i="38"/>
  <c r="Y73" i="38"/>
  <c r="Y264" i="37"/>
  <c r="Y208" i="37"/>
  <c r="Y299" i="37"/>
  <c r="Y291" i="37"/>
  <c r="Y171" i="37"/>
  <c r="Y61" i="37"/>
  <c r="Y156" i="37"/>
  <c r="Y265" i="37"/>
  <c r="Y296" i="37"/>
  <c r="Y60" i="37"/>
  <c r="Y274" i="37"/>
  <c r="Y52" i="37"/>
  <c r="Y17" i="37"/>
  <c r="Y126" i="37"/>
  <c r="Y316" i="37"/>
  <c r="Y246" i="37"/>
  <c r="Y105" i="37"/>
  <c r="Y82" i="37"/>
  <c r="Y55" i="37"/>
  <c r="Y81" i="38"/>
  <c r="Y210" i="38"/>
  <c r="Y90" i="38"/>
  <c r="Y176" i="38"/>
  <c r="Y160" i="38"/>
  <c r="Y27" i="38"/>
  <c r="Y82" i="38"/>
  <c r="Y316" i="38"/>
  <c r="Y42" i="38"/>
  <c r="Y287" i="38"/>
  <c r="Y23" i="38"/>
  <c r="Y194" i="38"/>
  <c r="Y66" i="38"/>
  <c r="Y304" i="38"/>
  <c r="Y297" i="38"/>
  <c r="Y48" i="38"/>
  <c r="Y130" i="38"/>
  <c r="Y110" i="38"/>
  <c r="Y32" i="38"/>
  <c r="Y93" i="38"/>
  <c r="Y164" i="38"/>
  <c r="Y58" i="38"/>
  <c r="Y157" i="38"/>
  <c r="Y182" i="38"/>
  <c r="Y241" i="38"/>
  <c r="Y102" i="37"/>
  <c r="Y268" i="37"/>
  <c r="Y157" i="37"/>
  <c r="Y44" i="37"/>
  <c r="Y221" i="37"/>
  <c r="Y54" i="37"/>
  <c r="Y65" i="37"/>
  <c r="Y202" i="37"/>
  <c r="Y37" i="37"/>
  <c r="Y230" i="37"/>
  <c r="Y152" i="37"/>
  <c r="Y75" i="37"/>
  <c r="Y35" i="37"/>
  <c r="Y303" i="37"/>
  <c r="Y128" i="37"/>
  <c r="Y56" i="37"/>
  <c r="Y193" i="37"/>
  <c r="Y88" i="37"/>
  <c r="Y170" i="37"/>
  <c r="Y107" i="37"/>
  <c r="Y258" i="37"/>
  <c r="Y116" i="37"/>
  <c r="Y288" i="38"/>
  <c r="Y139" i="38"/>
  <c r="Y296" i="38"/>
  <c r="Y108" i="38"/>
  <c r="Y312" i="38"/>
  <c r="Y86" i="38"/>
  <c r="Y277" i="38"/>
  <c r="Y226" i="38"/>
  <c r="Y172" i="38"/>
  <c r="Y34" i="38"/>
  <c r="Y98" i="38"/>
  <c r="Y252" i="38"/>
  <c r="Y269" i="38"/>
  <c r="Y23" i="37"/>
  <c r="Y252" i="37"/>
  <c r="Y31" i="37"/>
  <c r="Y127" i="37"/>
  <c r="Y247" i="37"/>
  <c r="Y39" i="37"/>
  <c r="Y245" i="37"/>
  <c r="Y167" i="37"/>
  <c r="Y78" i="37"/>
  <c r="Y261" i="37"/>
  <c r="Y278" i="37"/>
  <c r="Y59" i="37"/>
  <c r="Y198" i="37"/>
  <c r="Y112" i="37"/>
  <c r="Y277" i="37"/>
  <c r="Y239" i="37"/>
  <c r="Y184" i="37"/>
  <c r="Y125" i="37"/>
  <c r="Y141" i="37"/>
  <c r="Y273" i="37"/>
  <c r="Y153" i="37"/>
  <c r="Y302" i="38"/>
  <c r="Y105" i="38"/>
  <c r="Y188" i="38"/>
  <c r="Y78" i="38"/>
  <c r="Y218" i="38"/>
  <c r="Y249" i="38"/>
  <c r="Y169" i="38"/>
  <c r="Y13" i="38"/>
  <c r="Y294" i="38"/>
  <c r="Y87" i="38"/>
  <c r="Y196" i="38"/>
  <c r="Y57" i="38"/>
  <c r="Y261" i="38"/>
  <c r="Y133" i="38"/>
  <c r="Y26" i="37"/>
  <c r="Y28" i="37"/>
  <c r="Y80" i="37"/>
  <c r="Y196" i="37"/>
  <c r="Y6" i="37"/>
  <c r="Y205" i="37"/>
  <c r="Y175" i="37"/>
  <c r="Y216" i="37"/>
  <c r="Y97" i="37"/>
  <c r="Y163" i="37"/>
  <c r="Y315" i="37"/>
  <c r="Y151" i="37"/>
  <c r="Y136" i="37"/>
  <c r="Y241" i="37"/>
  <c r="Y66" i="37"/>
  <c r="Y87" i="37"/>
  <c r="Y242" i="37"/>
  <c r="Y150" i="37"/>
  <c r="Y21" i="37"/>
  <c r="Y211" i="37"/>
  <c r="Y255" i="37"/>
  <c r="Y91" i="37"/>
  <c r="Y139" i="37"/>
  <c r="Y18" i="37"/>
  <c r="Y236" i="37"/>
  <c r="Y233" i="37"/>
  <c r="Y32" i="37"/>
  <c r="Y159" i="37"/>
  <c r="Y160" i="37"/>
  <c r="Y172" i="37"/>
  <c r="Y96" i="37"/>
  <c r="Y146" i="37"/>
  <c r="Y249" i="37"/>
  <c r="Y266" i="37"/>
  <c r="Y58" i="37"/>
  <c r="Y194" i="37"/>
  <c r="Y281" i="37"/>
  <c r="Y250" i="37"/>
  <c r="Y214" i="37"/>
  <c r="Y113" i="38"/>
  <c r="Y40" i="38"/>
  <c r="Y195" i="38"/>
  <c r="Y232" i="38"/>
  <c r="Y213" i="38"/>
  <c r="Y305" i="38"/>
  <c r="Y37" i="38"/>
  <c r="Y149" i="38"/>
  <c r="Y290" i="38"/>
  <c r="Y276" i="38"/>
  <c r="Y77" i="38"/>
  <c r="Y231" i="38"/>
  <c r="Y118" i="38"/>
  <c r="Y208" i="38"/>
  <c r="Y128" i="38"/>
  <c r="Y111" i="38"/>
  <c r="Y234" i="38"/>
  <c r="Y85" i="38"/>
  <c r="Y24" i="38"/>
  <c r="Y29" i="38"/>
  <c r="Y206" i="38"/>
  <c r="Y247" i="38"/>
  <c r="Y311" i="38"/>
  <c r="Y281" i="38"/>
  <c r="Y242" i="38"/>
  <c r="Y251" i="38"/>
  <c r="Y270" i="38"/>
  <c r="Y153" i="38"/>
  <c r="Y184" i="38"/>
  <c r="Y313" i="38"/>
  <c r="Y7" i="38"/>
  <c r="Y55" i="38"/>
  <c r="Y144" i="38"/>
  <c r="Y50" i="38"/>
  <c r="Y47" i="38"/>
  <c r="Y141" i="38"/>
  <c r="Y257" i="38"/>
  <c r="Y161" i="38"/>
  <c r="Y270" i="37"/>
  <c r="Y229" i="37"/>
  <c r="Y190" i="37"/>
  <c r="Y284" i="37"/>
  <c r="Y53" i="37"/>
  <c r="Y69" i="37"/>
  <c r="Y47" i="37"/>
  <c r="Y283" i="38"/>
  <c r="Y15" i="38"/>
  <c r="Y221" i="38"/>
  <c r="Y245" i="38"/>
  <c r="Y41" i="38"/>
  <c r="Y205" i="38"/>
  <c r="Y60" i="38"/>
  <c r="Y178" i="38"/>
  <c r="Y171" i="38"/>
  <c r="Y59" i="38"/>
  <c r="Y243" i="38"/>
  <c r="Y215" i="38"/>
  <c r="Y223" i="38"/>
  <c r="Y236" i="38"/>
  <c r="Y28" i="38"/>
  <c r="Y12" i="38"/>
  <c r="Y260" i="38"/>
  <c r="Y310" i="38"/>
  <c r="Y99" i="38"/>
  <c r="Y121" i="38"/>
  <c r="Y122" i="38"/>
  <c r="Y143" i="38"/>
  <c r="Y222" i="38"/>
  <c r="Y70" i="38"/>
  <c r="Y227" i="38"/>
  <c r="Y46" i="38"/>
  <c r="Y211" i="38"/>
  <c r="Y159" i="38"/>
  <c r="Y289" i="38"/>
  <c r="Y56" i="38"/>
  <c r="Y142" i="38"/>
  <c r="Y239" i="38"/>
  <c r="Y262" i="38"/>
  <c r="Y102" i="38"/>
  <c r="Y259" i="38"/>
  <c r="Y33" i="37"/>
  <c r="Y122" i="37"/>
  <c r="Y269" i="37"/>
  <c r="Y292" i="37"/>
  <c r="Y295" i="37"/>
  <c r="Y63" i="37"/>
  <c r="Y191" i="37"/>
  <c r="Y77" i="37"/>
  <c r="Y314" i="37"/>
  <c r="Y180" i="37"/>
  <c r="Y137" i="37"/>
  <c r="Y253" i="37"/>
  <c r="Y123" i="37"/>
  <c r="Y165" i="37"/>
  <c r="Y195" i="37"/>
  <c r="Y206" i="37"/>
  <c r="Y161" i="37"/>
  <c r="Y207" i="37"/>
  <c r="Y131" i="37"/>
  <c r="Y132" i="37"/>
  <c r="Y288" i="37"/>
  <c r="Y275" i="37"/>
  <c r="Y168" i="37"/>
  <c r="Y92" i="37"/>
  <c r="Y144" i="37"/>
  <c r="Y231" i="37"/>
  <c r="Y218" i="37"/>
  <c r="Y162" i="37"/>
  <c r="Y279" i="37"/>
  <c r="Y213" i="37"/>
  <c r="Y38" i="37"/>
  <c r="Y176" i="37"/>
  <c r="Y240" i="37"/>
  <c r="Y272" i="37"/>
  <c r="Y226" i="37"/>
  <c r="Y289" i="37"/>
  <c r="Y89" i="37"/>
  <c r="Y150" i="38"/>
  <c r="Y17" i="38"/>
  <c r="Y63" i="38"/>
  <c r="Y237" i="38"/>
  <c r="Y314" i="38"/>
  <c r="Y291" i="38"/>
  <c r="Y38" i="38"/>
  <c r="Y74" i="38"/>
  <c r="Y129" i="38"/>
  <c r="Y214" i="38"/>
  <c r="Y303" i="38"/>
  <c r="Y75" i="38"/>
  <c r="Y116" i="38"/>
  <c r="Y181" i="38"/>
  <c r="Y246" i="38"/>
  <c r="Y61" i="38"/>
  <c r="Y180" i="38"/>
  <c r="Y258" i="38"/>
  <c r="Y8" i="38"/>
  <c r="Y89" i="38"/>
  <c r="Y165" i="38"/>
  <c r="Y298" i="38"/>
  <c r="Y33" i="38"/>
  <c r="Y175" i="38"/>
  <c r="Y31" i="38"/>
  <c r="Y284" i="38"/>
  <c r="Y162" i="38"/>
  <c r="Y254" i="38"/>
  <c r="Y255" i="38"/>
  <c r="Y167" i="38"/>
  <c r="Y253" i="38"/>
  <c r="Y11" i="38"/>
  <c r="Y275" i="38"/>
  <c r="Y189" i="38"/>
  <c r="Y187" i="38"/>
  <c r="Y54" i="38"/>
  <c r="Y295" i="38"/>
  <c r="Y19" i="38"/>
  <c r="Y20" i="38"/>
  <c r="Y115" i="38"/>
  <c r="Y140" i="37"/>
  <c r="Y90" i="37"/>
  <c r="Y121" i="37"/>
  <c r="Y86" i="37"/>
  <c r="Y106" i="37"/>
  <c r="Y190" i="38"/>
  <c r="Y95" i="37"/>
  <c r="Y225" i="37"/>
  <c r="Y238" i="37"/>
  <c r="Y67" i="37"/>
  <c r="Y147" i="37"/>
  <c r="Y103" i="37"/>
  <c r="Y204" i="37"/>
  <c r="Y197" i="37"/>
  <c r="Y83" i="37"/>
  <c r="Y305" i="37"/>
  <c r="Y158" i="37"/>
  <c r="Y271" i="37"/>
  <c r="Y298" i="37"/>
  <c r="Y228" i="37"/>
  <c r="Y185" i="37"/>
  <c r="Y5" i="37"/>
  <c r="Y134" i="38"/>
  <c r="Y264" i="38"/>
  <c r="Y10" i="38"/>
  <c r="Y152" i="38"/>
  <c r="Y273" i="38"/>
  <c r="Y155" i="38"/>
  <c r="Y16" i="38"/>
  <c r="Y79" i="38"/>
  <c r="Y265" i="38"/>
  <c r="Y192" i="38"/>
  <c r="Y163" i="38"/>
  <c r="Y283" i="37"/>
  <c r="Y262" i="37"/>
  <c r="Y200" i="37"/>
  <c r="Y142" i="37"/>
  <c r="Y224" i="37"/>
  <c r="Y310" i="37"/>
  <c r="Y301" i="37"/>
  <c r="Y203" i="37"/>
  <c r="Y119" i="37"/>
  <c r="Y40" i="37"/>
  <c r="Y8" i="37"/>
  <c r="Y209" i="37"/>
  <c r="Y267" i="37"/>
  <c r="Y43" i="37"/>
  <c r="Y10" i="37"/>
  <c r="Y74" i="37"/>
  <c r="Y117" i="37"/>
  <c r="Y210" i="37"/>
  <c r="Y62" i="37"/>
  <c r="Y199" i="37"/>
  <c r="Y232" i="37"/>
  <c r="Y308" i="37"/>
  <c r="Y260" i="37"/>
  <c r="Y243" i="37"/>
  <c r="Y143" i="37"/>
  <c r="Y94" i="37"/>
  <c r="Y308" i="38"/>
  <c r="Y301" i="38"/>
  <c r="Y125" i="38"/>
  <c r="Y53" i="38"/>
  <c r="Y14" i="38"/>
  <c r="Y112" i="38"/>
  <c r="Y107" i="38"/>
  <c r="Y137" i="38"/>
  <c r="Y72" i="38"/>
  <c r="Y156" i="38"/>
  <c r="Y306" i="38"/>
  <c r="Y114" i="38"/>
  <c r="Y44" i="38"/>
  <c r="Y299" i="38"/>
  <c r="Y256" i="38"/>
  <c r="Y268" i="38"/>
  <c r="Y45" i="38"/>
  <c r="Y52" i="38"/>
  <c r="Y67" i="38"/>
  <c r="Y62" i="38"/>
  <c r="Y91" i="38"/>
  <c r="Y307" i="38"/>
  <c r="Y97" i="38"/>
  <c r="Y200" i="38"/>
  <c r="Y217" i="38"/>
  <c r="Y272" i="38"/>
  <c r="Y158" i="38"/>
  <c r="Y201" i="38"/>
  <c r="Y68" i="37"/>
  <c r="Y50" i="37"/>
  <c r="Y259" i="37"/>
  <c r="Y248" i="37"/>
  <c r="Y115" i="37"/>
  <c r="Y222" i="37"/>
  <c r="Y99" i="37"/>
  <c r="Y100" i="37"/>
  <c r="Y120" i="37"/>
  <c r="Y173" i="37"/>
  <c r="Y237" i="37"/>
  <c r="Y188" i="37"/>
  <c r="Y81" i="37"/>
  <c r="Y313" i="37"/>
  <c r="Y36" i="37"/>
  <c r="Y192" i="37"/>
  <c r="Y113" i="37"/>
  <c r="Y110" i="37"/>
  <c r="Y7" i="37"/>
  <c r="Y134" i="37"/>
  <c r="Y276" i="37"/>
  <c r="Y189" i="37"/>
  <c r="Y71" i="37"/>
  <c r="Y49" i="37"/>
  <c r="Y182" i="37"/>
  <c r="Y19" i="37"/>
  <c r="Y311" i="37"/>
  <c r="Y57" i="37"/>
  <c r="Y290" i="37"/>
  <c r="Y220" i="37"/>
  <c r="Y72" i="37"/>
  <c r="Y164" i="37"/>
  <c r="Y212" i="37"/>
  <c r="Y179" i="37"/>
  <c r="Y114" i="37"/>
  <c r="Y111" i="37"/>
  <c r="Y85" i="37"/>
  <c r="Y25" i="37"/>
  <c r="Y129" i="37"/>
  <c r="Y220" i="38"/>
  <c r="Y117" i="38"/>
  <c r="Y240" i="38"/>
  <c r="Y225" i="38"/>
  <c r="Y198" i="38"/>
  <c r="Y293" i="38"/>
  <c r="Y197" i="38"/>
  <c r="Y6" i="38"/>
  <c r="Y119" i="38"/>
  <c r="Y80" i="38"/>
  <c r="Y138" i="38"/>
  <c r="Y267" i="38"/>
  <c r="Y92" i="38"/>
  <c r="Y216" i="38"/>
  <c r="Y212" i="38"/>
  <c r="Y202" i="38"/>
  <c r="Y69" i="38"/>
  <c r="Y203" i="38"/>
  <c r="Y233" i="38"/>
  <c r="Y271" i="38"/>
  <c r="Y282" i="38"/>
  <c r="Y280" i="38"/>
  <c r="Y274" i="38"/>
  <c r="Y101" i="38"/>
  <c r="Y36" i="38"/>
  <c r="Y76" i="38"/>
  <c r="Y230" i="38"/>
  <c r="Y135" i="38"/>
  <c r="Y207" i="38"/>
  <c r="Y131" i="38"/>
  <c r="Y285" i="38"/>
  <c r="Y5" i="38"/>
  <c r="Y166" i="38"/>
  <c r="Y244" i="38"/>
  <c r="Y145" i="38"/>
  <c r="Y104" i="38"/>
  <c r="Y71" i="38"/>
  <c r="Y154" i="38"/>
  <c r="Y174" i="38"/>
  <c r="Y278" i="38"/>
  <c r="Y219" i="37"/>
  <c r="Y181" i="37"/>
  <c r="Y22" i="37"/>
  <c r="Y138" i="37"/>
  <c r="Y146" i="38"/>
  <c r="Y24" i="37"/>
  <c r="Y169" i="37"/>
  <c r="Y45" i="37"/>
  <c r="Y13" i="37"/>
  <c r="Y9" i="37"/>
  <c r="Y93" i="37"/>
  <c r="Y256" i="37"/>
  <c r="Y154" i="37"/>
  <c r="Y285" i="37"/>
  <c r="Y30" i="38"/>
  <c r="Y209" i="38"/>
  <c r="Y123" i="38"/>
  <c r="Y43" i="38"/>
  <c r="Y25" i="38"/>
  <c r="Y315" i="38"/>
  <c r="Y51" i="38"/>
  <c r="Y35" i="38"/>
  <c r="Y95" i="38"/>
  <c r="Y219" i="38"/>
  <c r="Y96" i="38"/>
  <c r="Y26" i="38"/>
  <c r="Y251" i="37"/>
  <c r="Y41" i="37"/>
  <c r="Y76" i="37"/>
  <c r="Y177" i="37"/>
  <c r="Y118" i="37"/>
  <c r="Y16" i="37"/>
  <c r="Y136" i="38"/>
  <c r="Y297" i="37"/>
  <c r="Y294" i="37"/>
  <c r="Y12" i="37"/>
  <c r="Y27" i="37"/>
  <c r="Y257" i="37"/>
  <c r="Y15" i="37"/>
  <c r="Y155" i="37"/>
  <c r="Y14" i="37"/>
  <c r="Y104" i="37"/>
  <c r="Y217" i="37"/>
  <c r="Y173" i="38"/>
  <c r="Y199" i="38"/>
  <c r="Y266" i="38"/>
  <c r="Y263" i="38"/>
  <c r="Y177" i="38"/>
  <c r="Y147" i="38"/>
  <c r="Y84" i="38"/>
  <c r="Y224" i="38"/>
  <c r="Y127" i="38"/>
  <c r="Y94" i="38"/>
  <c r="Y145" i="37"/>
  <c r="Y304" i="37"/>
  <c r="Y84" i="37"/>
  <c r="Y178" i="37"/>
  <c r="Y186" i="37"/>
  <c r="Y286" i="37"/>
  <c r="Y20" i="37"/>
  <c r="Y254" i="37"/>
  <c r="Y148" i="37"/>
  <c r="Y263" i="37"/>
  <c r="Y234" i="37"/>
  <c r="Y73" i="37"/>
  <c r="Y166" i="37"/>
  <c r="Y42" i="37"/>
  <c r="Y201" i="37"/>
  <c r="Y215" i="37"/>
  <c r="Y300" i="37"/>
  <c r="Y101" i="37"/>
  <c r="Y223" i="37"/>
  <c r="Y280" i="37"/>
  <c r="Y287" i="37"/>
  <c r="Y282" i="37"/>
  <c r="Y46" i="37"/>
  <c r="Y183" i="37"/>
  <c r="Y70" i="37"/>
  <c r="Y133" i="37"/>
  <c r="Y98" i="37"/>
  <c r="Y302" i="37"/>
  <c r="Y227" i="37"/>
  <c r="Y149" i="37"/>
  <c r="Y108" i="37"/>
  <c r="Y11" i="37"/>
  <c r="Y235" i="37"/>
  <c r="Y312" i="37"/>
  <c r="Y64" i="37"/>
  <c r="Y34" i="37"/>
  <c r="Y174" i="37"/>
  <c r="Y307" i="37"/>
  <c r="Y124" i="37"/>
  <c r="Y135" i="37"/>
  <c r="Y106" i="38"/>
  <c r="Y103" i="38"/>
  <c r="Y21" i="38"/>
  <c r="Y126" i="38"/>
  <c r="Y124" i="38"/>
  <c r="Y39" i="38"/>
  <c r="Y109" i="38"/>
  <c r="Y64" i="38"/>
  <c r="Y309" i="38"/>
  <c r="Y140" i="38"/>
  <c r="Y49" i="38"/>
  <c r="Y68" i="38"/>
  <c r="Y168" i="38"/>
  <c r="Y65" i="38"/>
  <c r="Y238" i="38"/>
  <c r="Y286" i="38"/>
  <c r="Y132" i="38"/>
  <c r="Y229" i="38"/>
  <c r="Y228" i="38"/>
  <c r="Y170" i="38"/>
  <c r="Y120" i="38"/>
  <c r="Y88" i="38"/>
  <c r="Y148" i="38"/>
  <c r="Y250" i="38"/>
  <c r="Y83" i="38"/>
  <c r="Y279" i="38"/>
  <c r="Y22" i="38"/>
  <c r="Y193" i="38"/>
  <c r="Y151" i="38"/>
  <c r="Y179" i="38"/>
  <c r="Y191" i="38"/>
  <c r="Y18" i="38"/>
  <c r="Y248" i="38"/>
  <c r="Y204" i="38"/>
  <c r="Y183" i="38"/>
  <c r="Y100" i="38"/>
  <c r="Y300" i="38"/>
  <c r="Y185" i="38"/>
  <c r="Y186" i="38"/>
  <c r="W159" i="39"/>
  <c r="X159" i="39" s="1"/>
  <c r="H160" i="19" s="1"/>
  <c r="W113" i="39"/>
  <c r="X113" i="39" s="1"/>
  <c r="H114" i="19" s="1"/>
  <c r="W12" i="39"/>
  <c r="X12" i="39" s="1"/>
  <c r="H12" i="19" s="1"/>
  <c r="W109" i="39"/>
  <c r="X109" i="39" s="1"/>
  <c r="H110" i="19" s="1"/>
  <c r="W56" i="39"/>
  <c r="X56" i="39" s="1"/>
  <c r="H56" i="19" s="1"/>
  <c r="W291" i="39"/>
  <c r="X291" i="39" s="1"/>
  <c r="H294" i="19" s="1"/>
  <c r="W27" i="39"/>
  <c r="X27" i="39" s="1"/>
  <c r="H27" i="19" s="1"/>
  <c r="W145" i="39"/>
  <c r="X145" i="39" s="1"/>
  <c r="H146" i="19" s="1"/>
  <c r="W84" i="39"/>
  <c r="X84" i="39" s="1"/>
  <c r="H84" i="19" s="1"/>
  <c r="W284" i="39"/>
  <c r="X284" i="39" s="1"/>
  <c r="H287" i="19" s="1"/>
  <c r="W7" i="39"/>
  <c r="X7" i="39" s="1"/>
  <c r="H7" i="19" s="1"/>
  <c r="W8" i="39"/>
  <c r="X8" i="39" s="1"/>
  <c r="H8" i="19" s="1"/>
  <c r="W22" i="39"/>
  <c r="X22" i="39" s="1"/>
  <c r="H22" i="19" s="1"/>
  <c r="W16" i="39"/>
  <c r="X16" i="39" s="1"/>
  <c r="H16" i="19" s="1"/>
  <c r="W232" i="39"/>
  <c r="X232" i="39" s="1"/>
  <c r="H235" i="19" s="1"/>
  <c r="W97" i="39"/>
  <c r="X97" i="39" s="1"/>
  <c r="H97" i="19" s="1"/>
  <c r="W314" i="39"/>
  <c r="X314" i="39" s="1"/>
  <c r="H317" i="19" s="1"/>
  <c r="W26" i="39"/>
  <c r="X26" i="39" s="1"/>
  <c r="H26" i="19" s="1"/>
  <c r="W57" i="39"/>
  <c r="X57" i="39" s="1"/>
  <c r="H57" i="19" s="1"/>
  <c r="W160" i="39"/>
  <c r="X160" i="39" s="1"/>
  <c r="H161" i="19" s="1"/>
  <c r="W50" i="39"/>
  <c r="X50" i="39" s="1"/>
  <c r="H50" i="19" s="1"/>
  <c r="W176" i="39"/>
  <c r="X176" i="39" s="1"/>
  <c r="H177" i="19" s="1"/>
  <c r="W281" i="39"/>
  <c r="X281" i="39" s="1"/>
  <c r="H284" i="19" s="1"/>
  <c r="W59" i="39"/>
  <c r="X59" i="39" s="1"/>
  <c r="H59" i="19" s="1"/>
  <c r="W224" i="39"/>
  <c r="X224" i="39" s="1"/>
  <c r="H226" i="19" s="1"/>
  <c r="W218" i="39"/>
  <c r="X218" i="39" s="1"/>
  <c r="H220" i="19" s="1"/>
  <c r="W178" i="39"/>
  <c r="X178" i="39" s="1"/>
  <c r="H179" i="19" s="1"/>
  <c r="W180" i="39"/>
  <c r="X180" i="39" s="1"/>
  <c r="H181" i="19" s="1"/>
  <c r="W277" i="39"/>
  <c r="X277" i="39" s="1"/>
  <c r="H280" i="19" s="1"/>
  <c r="W94" i="39"/>
  <c r="X94" i="39" s="1"/>
  <c r="H94" i="19" s="1"/>
  <c r="W152" i="39"/>
  <c r="X152" i="39" s="1"/>
  <c r="H153" i="19" s="1"/>
  <c r="W96" i="39"/>
  <c r="X96" i="39" s="1"/>
  <c r="H96" i="19" s="1"/>
  <c r="W260" i="39"/>
  <c r="X260" i="39" s="1"/>
  <c r="H263" i="19" s="1"/>
  <c r="W42" i="39"/>
  <c r="X42" i="39" s="1"/>
  <c r="H42" i="19" s="1"/>
  <c r="W216" i="39"/>
  <c r="X216" i="39" s="1"/>
  <c r="H218" i="19" s="1"/>
  <c r="W194" i="39"/>
  <c r="X194" i="39" s="1"/>
  <c r="H196" i="19" s="1"/>
  <c r="W225" i="39"/>
  <c r="X225" i="39" s="1"/>
  <c r="H227" i="19" s="1"/>
  <c r="W184" i="39"/>
  <c r="X184" i="39" s="1"/>
  <c r="H185" i="19" s="1"/>
  <c r="W37" i="39"/>
  <c r="X37" i="39" s="1"/>
  <c r="H37" i="19" s="1"/>
  <c r="W34" i="39"/>
  <c r="X34" i="39" s="1"/>
  <c r="H34" i="19" s="1"/>
  <c r="W200" i="39"/>
  <c r="X200" i="39" s="1"/>
  <c r="H202" i="19" s="1"/>
  <c r="W136" i="39"/>
  <c r="X136" i="39" s="1"/>
  <c r="H137" i="19" s="1"/>
  <c r="W158" i="39"/>
  <c r="X158" i="39" s="1"/>
  <c r="H159" i="19" s="1"/>
  <c r="W250" i="39"/>
  <c r="X250" i="39" s="1"/>
  <c r="H253" i="19" s="1"/>
  <c r="W211" i="39"/>
  <c r="X211" i="39" s="1"/>
  <c r="H213" i="19" s="1"/>
  <c r="W119" i="39"/>
  <c r="X119" i="39" s="1"/>
  <c r="H120" i="19" s="1"/>
  <c r="W305" i="39"/>
  <c r="X305" i="39" s="1"/>
  <c r="H308" i="19" s="1"/>
  <c r="W75" i="39"/>
  <c r="X75" i="39" s="1"/>
  <c r="H75" i="19" s="1"/>
  <c r="W164" i="39"/>
  <c r="X164" i="39" s="1"/>
  <c r="H165" i="19" s="1"/>
  <c r="W290" i="39"/>
  <c r="X290" i="39" s="1"/>
  <c r="H293" i="19" s="1"/>
  <c r="W264" i="39"/>
  <c r="X264" i="39" s="1"/>
  <c r="H267" i="19" s="1"/>
  <c r="W41" i="39"/>
  <c r="X41" i="39" s="1"/>
  <c r="H41" i="19" s="1"/>
  <c r="W78" i="39"/>
  <c r="X78" i="39" s="1"/>
  <c r="H78" i="19" s="1"/>
  <c r="W167" i="39"/>
  <c r="X167" i="39" s="1"/>
  <c r="H168" i="19" s="1"/>
  <c r="W100" i="39"/>
  <c r="X100" i="39" s="1"/>
  <c r="H100" i="19" s="1"/>
  <c r="W316" i="39"/>
  <c r="X316" i="39" s="1"/>
  <c r="H195" i="19" s="1"/>
  <c r="W134" i="39"/>
  <c r="X134" i="39" s="1"/>
  <c r="H135" i="19" s="1"/>
  <c r="W292" i="39"/>
  <c r="X292" i="39" s="1"/>
  <c r="H295" i="19" s="1"/>
  <c r="W102" i="39"/>
  <c r="X102" i="39" s="1"/>
  <c r="H102" i="19" s="1"/>
  <c r="W185" i="39"/>
  <c r="X185" i="39" s="1"/>
  <c r="H186" i="19" s="1"/>
  <c r="W289" i="39"/>
  <c r="X289" i="39" s="1"/>
  <c r="H292" i="19" s="1"/>
  <c r="W155" i="39"/>
  <c r="X155" i="39" s="1"/>
  <c r="H156" i="19" s="1"/>
  <c r="W68" i="39"/>
  <c r="X68" i="39" s="1"/>
  <c r="H68" i="19" s="1"/>
  <c r="W188" i="39"/>
  <c r="X188" i="39" s="1"/>
  <c r="H189" i="19" s="1"/>
  <c r="W74" i="39"/>
  <c r="X74" i="39" s="1"/>
  <c r="H74" i="19" s="1"/>
  <c r="W301" i="39"/>
  <c r="X301" i="39" s="1"/>
  <c r="H304" i="19" s="1"/>
  <c r="W70" i="39"/>
  <c r="X70" i="39" s="1"/>
  <c r="H70" i="19" s="1"/>
  <c r="W227" i="39"/>
  <c r="X227" i="39" s="1"/>
  <c r="H229" i="19" s="1"/>
  <c r="W229" i="39"/>
  <c r="X229" i="39" s="1"/>
  <c r="H232" i="19" s="1"/>
  <c r="W213" i="39"/>
  <c r="X213" i="39" s="1"/>
  <c r="H215" i="19" s="1"/>
  <c r="W282" i="39"/>
  <c r="X282" i="39" s="1"/>
  <c r="H285" i="19" s="1"/>
  <c r="W121" i="39"/>
  <c r="X121" i="39" s="1"/>
  <c r="H122" i="19" s="1"/>
  <c r="W307" i="39"/>
  <c r="X307" i="39" s="1"/>
  <c r="H310" i="19" s="1"/>
  <c r="W217" i="39"/>
  <c r="X217" i="39" s="1"/>
  <c r="H219" i="19" s="1"/>
  <c r="W79" i="39"/>
  <c r="X79" i="39" s="1"/>
  <c r="H79" i="19" s="1"/>
  <c r="W311" i="39"/>
  <c r="X311" i="39" s="1"/>
  <c r="H314" i="19" s="1"/>
  <c r="W90" i="39"/>
  <c r="X90" i="39" s="1"/>
  <c r="H90" i="19" s="1"/>
  <c r="W249" i="39"/>
  <c r="X249" i="39" s="1"/>
  <c r="H252" i="19" s="1"/>
  <c r="W246" i="39"/>
  <c r="X246" i="39" s="1"/>
  <c r="H249" i="19" s="1"/>
  <c r="W61" i="39"/>
  <c r="X61" i="39" s="1"/>
  <c r="H61" i="19" s="1"/>
  <c r="W203" i="39"/>
  <c r="X203" i="39" s="1"/>
  <c r="H205" i="19" s="1"/>
  <c r="W157" i="39"/>
  <c r="X157" i="39" s="1"/>
  <c r="H158" i="19" s="1"/>
  <c r="W107" i="39"/>
  <c r="X107" i="39" s="1"/>
  <c r="H108" i="19" s="1"/>
  <c r="W268" i="39"/>
  <c r="X268" i="39" s="1"/>
  <c r="H271" i="19" s="1"/>
  <c r="W24" i="39"/>
  <c r="X24" i="39" s="1"/>
  <c r="H24" i="19" s="1"/>
  <c r="W126" i="39"/>
  <c r="X126" i="39" s="1"/>
  <c r="H127" i="19" s="1"/>
  <c r="W148" i="39"/>
  <c r="X148" i="39" s="1"/>
  <c r="H149" i="19" s="1"/>
  <c r="W11" i="39"/>
  <c r="X11" i="39" s="1"/>
  <c r="H11" i="19" s="1"/>
  <c r="W201" i="39"/>
  <c r="X201" i="39" s="1"/>
  <c r="H203" i="19" s="1"/>
  <c r="W270" i="39"/>
  <c r="X270" i="39" s="1"/>
  <c r="H273" i="19" s="1"/>
  <c r="W275" i="39"/>
  <c r="X275" i="39" s="1"/>
  <c r="H278" i="19" s="1"/>
  <c r="W214" i="39"/>
  <c r="X214" i="39" s="1"/>
  <c r="H216" i="19" s="1"/>
  <c r="W186" i="39"/>
  <c r="X186" i="39" s="1"/>
  <c r="H187" i="19" s="1"/>
  <c r="W111" i="39"/>
  <c r="X111" i="39" s="1"/>
  <c r="H112" i="19" s="1"/>
  <c r="W209" i="39"/>
  <c r="X209" i="39" s="1"/>
  <c r="H211" i="19" s="1"/>
  <c r="W36" i="39"/>
  <c r="X36" i="39" s="1"/>
  <c r="H36" i="19" s="1"/>
  <c r="W31" i="39"/>
  <c r="X31" i="39" s="1"/>
  <c r="H31" i="19" s="1"/>
  <c r="W243" i="39"/>
  <c r="X243" i="39" s="1"/>
  <c r="H246" i="19" s="1"/>
  <c r="W261" i="39"/>
  <c r="X261" i="39" s="1"/>
  <c r="H264" i="19" s="1"/>
  <c r="W49" i="39"/>
  <c r="X49" i="39" s="1"/>
  <c r="H49" i="19" s="1"/>
  <c r="W280" i="39"/>
  <c r="X280" i="39" s="1"/>
  <c r="H283" i="19" s="1"/>
  <c r="W46" i="39"/>
  <c r="X46" i="39" s="1"/>
  <c r="H46" i="19" s="1"/>
  <c r="W137" i="39"/>
  <c r="X137" i="39" s="1"/>
  <c r="H138" i="19" s="1"/>
  <c r="W219" i="39"/>
  <c r="X219" i="39" s="1"/>
  <c r="H221" i="19" s="1"/>
  <c r="W73" i="39"/>
  <c r="X73" i="39" s="1"/>
  <c r="H73" i="19" s="1"/>
  <c r="W10" i="39"/>
  <c r="X10" i="39" s="1"/>
  <c r="H10" i="19" s="1"/>
  <c r="W244" i="39"/>
  <c r="X244" i="39" s="1"/>
  <c r="H247" i="19" s="1"/>
  <c r="W142" i="39"/>
  <c r="X142" i="39" s="1"/>
  <c r="H143" i="19" s="1"/>
  <c r="W256" i="39"/>
  <c r="X256" i="39" s="1"/>
  <c r="H259" i="19" s="1"/>
  <c r="W147" i="39"/>
  <c r="X147" i="39" s="1"/>
  <c r="H148" i="19" s="1"/>
  <c r="W125" i="39"/>
  <c r="X125" i="39" s="1"/>
  <c r="H126" i="19" s="1"/>
  <c r="W212" i="39"/>
  <c r="X212" i="39" s="1"/>
  <c r="H214" i="19" s="1"/>
  <c r="W171" i="39"/>
  <c r="X171" i="39" s="1"/>
  <c r="H172" i="19" s="1"/>
  <c r="W131" i="39"/>
  <c r="X131" i="39" s="1"/>
  <c r="H132" i="19" s="1"/>
  <c r="W5" i="39"/>
  <c r="X5" i="39" s="1"/>
  <c r="H5" i="19" s="1"/>
  <c r="W272" i="39"/>
  <c r="X272" i="39" s="1"/>
  <c r="H275" i="19" s="1"/>
  <c r="W165" i="39"/>
  <c r="X165" i="39" s="1"/>
  <c r="H166" i="19" s="1"/>
  <c r="W150" i="39"/>
  <c r="X150" i="39" s="1"/>
  <c r="H151" i="19" s="1"/>
  <c r="W82" i="39"/>
  <c r="X82" i="39" s="1"/>
  <c r="H82" i="19" s="1"/>
  <c r="W166" i="39"/>
  <c r="X166" i="39" s="1"/>
  <c r="H167" i="19" s="1"/>
  <c r="W139" i="39"/>
  <c r="X139" i="39" s="1"/>
  <c r="H140" i="19" s="1"/>
  <c r="W196" i="39"/>
  <c r="X196" i="39" s="1"/>
  <c r="H198" i="19" s="1"/>
  <c r="W242" i="39"/>
  <c r="X242" i="39" s="1"/>
  <c r="H245" i="19" s="1"/>
  <c r="W173" i="39"/>
  <c r="X173" i="39" s="1"/>
  <c r="H174" i="19" s="1"/>
  <c r="W153" i="39"/>
  <c r="X153" i="39" s="1"/>
  <c r="H154" i="19" s="1"/>
  <c r="W204" i="39"/>
  <c r="X204" i="39" s="1"/>
  <c r="H206" i="19" s="1"/>
  <c r="W65" i="39"/>
  <c r="X65" i="39" s="1"/>
  <c r="H65" i="19" s="1"/>
  <c r="W80" i="39"/>
  <c r="X80" i="39" s="1"/>
  <c r="H80" i="19" s="1"/>
  <c r="W117" i="39"/>
  <c r="X117" i="39" s="1"/>
  <c r="H118" i="19" s="1"/>
  <c r="W54" i="39"/>
  <c r="X54" i="39" s="1"/>
  <c r="H54" i="19" s="1"/>
  <c r="W279" i="39"/>
  <c r="X279" i="39" s="1"/>
  <c r="H282" i="19" s="1"/>
  <c r="W63" i="39"/>
  <c r="X63" i="39" s="1"/>
  <c r="H63" i="19" s="1"/>
  <c r="W302" i="39"/>
  <c r="X302" i="39" s="1"/>
  <c r="H305" i="19" s="1"/>
  <c r="W192" i="39"/>
  <c r="X192" i="39" s="1"/>
  <c r="H193" i="19" s="1"/>
  <c r="W202" i="39"/>
  <c r="X202" i="39" s="1"/>
  <c r="H204" i="19" s="1"/>
  <c r="W258" i="39"/>
  <c r="X258" i="39" s="1"/>
  <c r="H261" i="19" s="1"/>
  <c r="W286" i="39"/>
  <c r="X286" i="39" s="1"/>
  <c r="H289" i="19" s="1"/>
  <c r="W115" i="39"/>
  <c r="X115" i="39" s="1"/>
  <c r="H116" i="19" s="1"/>
  <c r="W81" i="39"/>
  <c r="X81" i="39" s="1"/>
  <c r="H81" i="19" s="1"/>
  <c r="W58" i="39"/>
  <c r="X58" i="39" s="1"/>
  <c r="H58" i="19" s="1"/>
  <c r="W187" i="39"/>
  <c r="X187" i="39" s="1"/>
  <c r="H188" i="19" s="1"/>
  <c r="W72" i="39"/>
  <c r="X72" i="39" s="1"/>
  <c r="H72" i="19" s="1"/>
  <c r="W181" i="39"/>
  <c r="X181" i="39" s="1"/>
  <c r="H182" i="19" s="1"/>
  <c r="W239" i="39"/>
  <c r="X239" i="39" s="1"/>
  <c r="H242" i="19" s="1"/>
  <c r="W296" i="39"/>
  <c r="X296" i="39" s="1"/>
  <c r="H299" i="19" s="1"/>
  <c r="W86" i="39"/>
  <c r="X86" i="39" s="1"/>
  <c r="H86" i="19" s="1"/>
  <c r="W182" i="39"/>
  <c r="X182" i="39" s="1"/>
  <c r="H183" i="19" s="1"/>
  <c r="W315" i="39"/>
  <c r="X315" i="39" s="1"/>
  <c r="H318" i="19" s="1"/>
  <c r="W28" i="39"/>
  <c r="X28" i="39" s="1"/>
  <c r="H28" i="19" s="1"/>
  <c r="W255" i="39"/>
  <c r="X255" i="39" s="1"/>
  <c r="H258" i="19" s="1"/>
  <c r="W298" i="39"/>
  <c r="X298" i="39" s="1"/>
  <c r="H301" i="19" s="1"/>
  <c r="W199" i="39"/>
  <c r="X199" i="39" s="1"/>
  <c r="H201" i="19" s="1"/>
  <c r="W262" i="39"/>
  <c r="X262" i="39" s="1"/>
  <c r="H265" i="19" s="1"/>
  <c r="W183" i="39"/>
  <c r="X183" i="39" s="1"/>
  <c r="H184" i="19" s="1"/>
  <c r="W141" i="39"/>
  <c r="X141" i="39" s="1"/>
  <c r="H142" i="19" s="1"/>
  <c r="W179" i="39"/>
  <c r="X179" i="39" s="1"/>
  <c r="H180" i="19" s="1"/>
  <c r="W6" i="39"/>
  <c r="X6" i="39" s="1"/>
  <c r="H6" i="19" s="1"/>
  <c r="W105" i="39"/>
  <c r="X105" i="39" s="1"/>
  <c r="H105" i="19" s="1"/>
  <c r="W285" i="39"/>
  <c r="X285" i="39" s="1"/>
  <c r="H288" i="19" s="1"/>
  <c r="W228" i="39"/>
  <c r="X228" i="39" s="1"/>
  <c r="H231" i="19" s="1"/>
  <c r="W120" i="39"/>
  <c r="X120" i="39" s="1"/>
  <c r="H121" i="19" s="1"/>
  <c r="W110" i="39"/>
  <c r="X110" i="39" s="1"/>
  <c r="H111" i="19" s="1"/>
  <c r="W71" i="39"/>
  <c r="X71" i="39" s="1"/>
  <c r="H71" i="19" s="1"/>
  <c r="W294" i="39"/>
  <c r="X294" i="39" s="1"/>
  <c r="H297" i="19" s="1"/>
  <c r="W236" i="39"/>
  <c r="X236" i="39" s="1"/>
  <c r="H239" i="19" s="1"/>
  <c r="W191" i="39"/>
  <c r="X191" i="39" s="1"/>
  <c r="H192" i="19" s="1"/>
  <c r="W69" i="39"/>
  <c r="X69" i="39" s="1"/>
  <c r="H69" i="19" s="1"/>
  <c r="W15" i="39"/>
  <c r="X15" i="39" s="1"/>
  <c r="H15" i="19" s="1"/>
  <c r="W151" i="39"/>
  <c r="X151" i="39" s="1"/>
  <c r="H152" i="19" s="1"/>
  <c r="W35" i="39"/>
  <c r="X35" i="39" s="1"/>
  <c r="H35" i="19" s="1"/>
  <c r="W44" i="39"/>
  <c r="X44" i="39" s="1"/>
  <c r="H44" i="19" s="1"/>
  <c r="W293" i="39"/>
  <c r="X293" i="39" s="1"/>
  <c r="H296" i="19" s="1"/>
  <c r="W310" i="39"/>
  <c r="X310" i="39" s="1"/>
  <c r="H313" i="19" s="1"/>
  <c r="W40" i="39"/>
  <c r="X40" i="39" s="1"/>
  <c r="H40" i="19" s="1"/>
  <c r="W48" i="39"/>
  <c r="X48" i="39" s="1"/>
  <c r="H48" i="19" s="1"/>
  <c r="W266" i="39"/>
  <c r="X266" i="39" s="1"/>
  <c r="H269" i="19" s="1"/>
  <c r="W9" i="39"/>
  <c r="X9" i="39" s="1"/>
  <c r="H9" i="19" s="1"/>
  <c r="W77" i="39"/>
  <c r="X77" i="39" s="1"/>
  <c r="H77" i="19" s="1"/>
  <c r="W106" i="39"/>
  <c r="X106" i="39" s="1"/>
  <c r="H107" i="19" s="1"/>
  <c r="W288" i="39"/>
  <c r="X288" i="39" s="1"/>
  <c r="H291" i="19" s="1"/>
  <c r="W247" i="39"/>
  <c r="X247" i="39" s="1"/>
  <c r="H250" i="19" s="1"/>
  <c r="W45" i="39"/>
  <c r="X45" i="39" s="1"/>
  <c r="H45" i="19" s="1"/>
  <c r="W62" i="39"/>
  <c r="X62" i="39" s="1"/>
  <c r="H62" i="19" s="1"/>
  <c r="W308" i="39"/>
  <c r="X308" i="39" s="1"/>
  <c r="H311" i="19" s="1"/>
  <c r="W233" i="39"/>
  <c r="X233" i="39" s="1"/>
  <c r="H236" i="19" s="1"/>
  <c r="W118" i="39"/>
  <c r="X118" i="39" s="1"/>
  <c r="H119" i="19" s="1"/>
  <c r="W207" i="39"/>
  <c r="X207" i="39" s="1"/>
  <c r="H209" i="19" s="1"/>
  <c r="W206" i="39"/>
  <c r="X206" i="39" s="1"/>
  <c r="H208" i="19" s="1"/>
  <c r="W253" i="39"/>
  <c r="X253" i="39" s="1"/>
  <c r="H256" i="19" s="1"/>
  <c r="W168" i="39"/>
  <c r="X168" i="39" s="1"/>
  <c r="H169" i="19" s="1"/>
  <c r="W276" i="39"/>
  <c r="X276" i="39" s="1"/>
  <c r="H279" i="19" s="1"/>
  <c r="W210" i="39"/>
  <c r="X210" i="39" s="1"/>
  <c r="H212" i="19" s="1"/>
  <c r="W32" i="39"/>
  <c r="X32" i="39" s="1"/>
  <c r="H32" i="19" s="1"/>
  <c r="W112" i="39"/>
  <c r="X112" i="39" s="1"/>
  <c r="H113" i="19" s="1"/>
  <c r="W17" i="39"/>
  <c r="X17" i="39" s="1"/>
  <c r="H17" i="19" s="1"/>
  <c r="W85" i="39"/>
  <c r="X85" i="39" s="1"/>
  <c r="H85" i="19" s="1"/>
  <c r="W21" i="39"/>
  <c r="X21" i="39" s="1"/>
  <c r="H21" i="19" s="1"/>
  <c r="W64" i="39"/>
  <c r="X64" i="39" s="1"/>
  <c r="H64" i="19" s="1"/>
  <c r="W283" i="39"/>
  <c r="X283" i="39" s="1"/>
  <c r="H286" i="19" s="1"/>
  <c r="W29" i="39"/>
  <c r="X29" i="39" s="1"/>
  <c r="H29" i="19" s="1"/>
  <c r="W138" i="39"/>
  <c r="X138" i="39" s="1"/>
  <c r="H139" i="19" s="1"/>
  <c r="W161" i="39"/>
  <c r="X161" i="39" s="1"/>
  <c r="H162" i="19" s="1"/>
  <c r="W190" i="39"/>
  <c r="X190" i="39" s="1"/>
  <c r="H191" i="19" s="1"/>
  <c r="W92" i="39"/>
  <c r="X92" i="39" s="1"/>
  <c r="H92" i="19" s="1"/>
  <c r="W205" i="39"/>
  <c r="X205" i="39" s="1"/>
  <c r="H207" i="19" s="1"/>
  <c r="W198" i="39"/>
  <c r="X198" i="39" s="1"/>
  <c r="H200" i="19" s="1"/>
  <c r="W278" i="39"/>
  <c r="X278" i="39" s="1"/>
  <c r="H281" i="19" s="1"/>
  <c r="W132" i="39"/>
  <c r="X132" i="39" s="1"/>
  <c r="H133" i="19" s="1"/>
  <c r="W175" i="39"/>
  <c r="X175" i="39" s="1"/>
  <c r="H176" i="19" s="1"/>
  <c r="W14" i="39"/>
  <c r="X14" i="39" s="1"/>
  <c r="H14" i="19" s="1"/>
  <c r="W140" i="39"/>
  <c r="X140" i="39" s="1"/>
  <c r="H141" i="19" s="1"/>
  <c r="W230" i="39"/>
  <c r="X230" i="39" s="1"/>
  <c r="H233" i="19" s="1"/>
  <c r="W189" i="39"/>
  <c r="X189" i="39" s="1"/>
  <c r="H190" i="19" s="1"/>
  <c r="W263" i="39"/>
  <c r="X263" i="39" s="1"/>
  <c r="H266" i="19" s="1"/>
  <c r="W19" i="39"/>
  <c r="X19" i="39" s="1"/>
  <c r="H19" i="19" s="1"/>
  <c r="W104" i="39"/>
  <c r="X104" i="39" s="1"/>
  <c r="H104" i="19" s="1"/>
  <c r="W101" i="39"/>
  <c r="X101" i="39" s="1"/>
  <c r="H101" i="19" s="1"/>
  <c r="W60" i="39"/>
  <c r="X60" i="39" s="1"/>
  <c r="H60" i="19" s="1"/>
  <c r="W297" i="39"/>
  <c r="X297" i="39" s="1"/>
  <c r="H300" i="19" s="1"/>
  <c r="W30" i="39"/>
  <c r="X30" i="39" s="1"/>
  <c r="H30" i="19" s="1"/>
  <c r="W240" i="39"/>
  <c r="X240" i="39" s="1"/>
  <c r="H243" i="19" s="1"/>
  <c r="W135" i="39"/>
  <c r="X135" i="39" s="1"/>
  <c r="H136" i="19" s="1"/>
  <c r="W231" i="39"/>
  <c r="X231" i="39" s="1"/>
  <c r="H234" i="19" s="1"/>
  <c r="W300" i="39"/>
  <c r="X300" i="39" s="1"/>
  <c r="H303" i="19" s="1"/>
  <c r="W18" i="39"/>
  <c r="X18" i="39" s="1"/>
  <c r="H18" i="19" s="1"/>
  <c r="W304" i="39"/>
  <c r="X304" i="39" s="1"/>
  <c r="H307" i="19" s="1"/>
  <c r="W66" i="39"/>
  <c r="X66" i="39" s="1"/>
  <c r="H66" i="19" s="1"/>
  <c r="W265" i="39"/>
  <c r="X265" i="39" s="1"/>
  <c r="H268" i="19" s="1"/>
  <c r="W312" i="39"/>
  <c r="X312" i="39" s="1"/>
  <c r="H315" i="19" s="1"/>
  <c r="W197" i="39"/>
  <c r="X197" i="39" s="1"/>
  <c r="H199" i="19" s="1"/>
  <c r="W133" i="39"/>
  <c r="X133" i="39" s="1"/>
  <c r="H134" i="19" s="1"/>
  <c r="W122" i="39"/>
  <c r="X122" i="39" s="1"/>
  <c r="H123" i="19" s="1"/>
  <c r="W89" i="39"/>
  <c r="X89" i="39" s="1"/>
  <c r="H89" i="19" s="1"/>
  <c r="W55" i="39"/>
  <c r="X55" i="39" s="1"/>
  <c r="H55" i="19" s="1"/>
  <c r="W241" i="39"/>
  <c r="X241" i="39" s="1"/>
  <c r="H244" i="19" s="1"/>
  <c r="W123" i="39"/>
  <c r="X123" i="39" s="1"/>
  <c r="H124" i="19" s="1"/>
  <c r="W257" i="39"/>
  <c r="X257" i="39" s="1"/>
  <c r="H260" i="19" s="1"/>
  <c r="W130" i="39"/>
  <c r="X130" i="39" s="1"/>
  <c r="H131" i="19" s="1"/>
  <c r="W129" i="39"/>
  <c r="X129" i="39" s="1"/>
  <c r="H130" i="19" s="1"/>
  <c r="W252" i="39"/>
  <c r="X252" i="39" s="1"/>
  <c r="H255" i="19" s="1"/>
  <c r="W234" i="39"/>
  <c r="X234" i="39" s="1"/>
  <c r="H237" i="19" s="1"/>
  <c r="W269" i="39"/>
  <c r="X269" i="39" s="1"/>
  <c r="H272" i="19" s="1"/>
  <c r="W98" i="39"/>
  <c r="X98" i="39" s="1"/>
  <c r="H98" i="19" s="1"/>
  <c r="W87" i="39"/>
  <c r="X87" i="39" s="1"/>
  <c r="H87" i="19" s="1"/>
  <c r="W103" i="39"/>
  <c r="X103" i="39" s="1"/>
  <c r="H103" i="19" s="1"/>
  <c r="W251" i="39"/>
  <c r="X251" i="39" s="1"/>
  <c r="H254" i="19" s="1"/>
  <c r="W52" i="39"/>
  <c r="X52" i="39" s="1"/>
  <c r="H52" i="19" s="1"/>
  <c r="W303" i="39"/>
  <c r="X303" i="39" s="1"/>
  <c r="H306" i="19" s="1"/>
  <c r="W287" i="39"/>
  <c r="X287" i="39" s="1"/>
  <c r="H290" i="19" s="1"/>
  <c r="W226" i="39"/>
  <c r="X226" i="39" s="1"/>
  <c r="H228" i="19" s="1"/>
  <c r="W154" i="39"/>
  <c r="X154" i="39" s="1"/>
  <c r="H155" i="19" s="1"/>
  <c r="W91" i="39"/>
  <c r="X91" i="39" s="1"/>
  <c r="H91" i="19" s="1"/>
  <c r="W23" i="39"/>
  <c r="X23" i="39" s="1"/>
  <c r="H23" i="19" s="1"/>
  <c r="W195" i="39"/>
  <c r="X195" i="39" s="1"/>
  <c r="H197" i="19" s="1"/>
  <c r="W108" i="39"/>
  <c r="X108" i="39" s="1"/>
  <c r="H109" i="19" s="1"/>
  <c r="W273" i="39"/>
  <c r="X273" i="39" s="1"/>
  <c r="H276" i="19" s="1"/>
  <c r="W274" i="39"/>
  <c r="X274" i="39" s="1"/>
  <c r="H277" i="19" s="1"/>
  <c r="W47" i="39"/>
  <c r="X47" i="39" s="1"/>
  <c r="H47" i="19" s="1"/>
  <c r="W313" i="39"/>
  <c r="X313" i="39" s="1"/>
  <c r="H316" i="19" s="1"/>
  <c r="W221" i="39"/>
  <c r="X221" i="39" s="1"/>
  <c r="H223" i="19" s="1"/>
  <c r="W254" i="39"/>
  <c r="X254" i="39" s="1"/>
  <c r="H257" i="19" s="1"/>
  <c r="W174" i="39"/>
  <c r="X174" i="39" s="1"/>
  <c r="H175" i="19" s="1"/>
  <c r="W149" i="39"/>
  <c r="X149" i="39" s="1"/>
  <c r="H150" i="19" s="1"/>
  <c r="W169" i="39"/>
  <c r="X169" i="39" s="1"/>
  <c r="H170" i="19" s="1"/>
  <c r="W172" i="39"/>
  <c r="X172" i="39" s="1"/>
  <c r="H173" i="19" s="1"/>
  <c r="W76" i="39"/>
  <c r="X76" i="39" s="1"/>
  <c r="H76" i="19" s="1"/>
  <c r="W299" i="39"/>
  <c r="X299" i="39" s="1"/>
  <c r="H302" i="19" s="1"/>
  <c r="W163" i="39"/>
  <c r="X163" i="39" s="1"/>
  <c r="H164" i="19" s="1"/>
  <c r="W170" i="39"/>
  <c r="X170" i="39" s="1"/>
  <c r="H171" i="19" s="1"/>
  <c r="W193" i="39"/>
  <c r="X193" i="39" s="1"/>
  <c r="H194" i="19" s="1"/>
  <c r="W39" i="39"/>
  <c r="X39" i="39" s="1"/>
  <c r="H39" i="19" s="1"/>
  <c r="W51" i="39"/>
  <c r="X51" i="39" s="1"/>
  <c r="H51" i="19" s="1"/>
  <c r="W43" i="39"/>
  <c r="X43" i="39" s="1"/>
  <c r="H43" i="19" s="1"/>
  <c r="W295" i="39"/>
  <c r="X295" i="39" s="1"/>
  <c r="H298" i="19" s="1"/>
  <c r="W38" i="39"/>
  <c r="X38" i="39" s="1"/>
  <c r="H38" i="19" s="1"/>
  <c r="W88" i="39"/>
  <c r="X88" i="39" s="1"/>
  <c r="H88" i="19" s="1"/>
  <c r="W248" i="39"/>
  <c r="X248" i="39" s="1"/>
  <c r="H251" i="19" s="1"/>
  <c r="W25" i="39"/>
  <c r="X25" i="39" s="1"/>
  <c r="H25" i="19" s="1"/>
  <c r="W235" i="39"/>
  <c r="X235" i="39" s="1"/>
  <c r="H238" i="19" s="1"/>
  <c r="W245" i="39"/>
  <c r="X245" i="39" s="1"/>
  <c r="H248" i="19" s="1"/>
  <c r="W208" i="39"/>
  <c r="X208" i="39" s="1"/>
  <c r="H210" i="19" s="1"/>
  <c r="W237" i="39"/>
  <c r="X237" i="39" s="1"/>
  <c r="H240" i="19" s="1"/>
  <c r="W127" i="39"/>
  <c r="X127" i="39" s="1"/>
  <c r="H128" i="19" s="1"/>
  <c r="W162" i="39"/>
  <c r="X162" i="39" s="1"/>
  <c r="H163" i="19" s="1"/>
  <c r="W222" i="39"/>
  <c r="X222" i="39" s="1"/>
  <c r="H224" i="19" s="1"/>
  <c r="W99" i="39"/>
  <c r="X99" i="39" s="1"/>
  <c r="H99" i="19" s="1"/>
  <c r="W238" i="39"/>
  <c r="X238" i="39" s="1"/>
  <c r="H241" i="19" s="1"/>
  <c r="W95" i="39"/>
  <c r="X95" i="39" s="1"/>
  <c r="H95" i="19" s="1"/>
  <c r="W124" i="39"/>
  <c r="X124" i="39" s="1"/>
  <c r="H125" i="19" s="1"/>
  <c r="W143" i="39"/>
  <c r="X143" i="39" s="1"/>
  <c r="H144" i="19" s="1"/>
  <c r="W220" i="39"/>
  <c r="X220" i="39" s="1"/>
  <c r="H222" i="19" s="1"/>
  <c r="W259" i="39"/>
  <c r="X259" i="39" s="1"/>
  <c r="H262" i="19" s="1"/>
  <c r="W156" i="39"/>
  <c r="X156" i="39" s="1"/>
  <c r="H157" i="19" s="1"/>
  <c r="W20" i="39"/>
  <c r="X20" i="39" s="1"/>
  <c r="H20" i="19" s="1"/>
  <c r="W271" i="39"/>
  <c r="X271" i="39" s="1"/>
  <c r="H274" i="19" s="1"/>
  <c r="W93" i="39"/>
  <c r="X93" i="39" s="1"/>
  <c r="H93" i="19" s="1"/>
  <c r="W116" i="39"/>
  <c r="X116" i="39" s="1"/>
  <c r="H117" i="19" s="1"/>
  <c r="W223" i="39"/>
  <c r="X223" i="39" s="1"/>
  <c r="H225" i="19" s="1"/>
  <c r="W53" i="39"/>
  <c r="X53" i="39" s="1"/>
  <c r="H53" i="19" s="1"/>
  <c r="W215" i="39"/>
  <c r="X215" i="39" s="1"/>
  <c r="H217" i="19" s="1"/>
  <c r="W306" i="39"/>
  <c r="X306" i="39" s="1"/>
  <c r="H309" i="19" s="1"/>
  <c r="W67" i="39"/>
  <c r="X67" i="39" s="1"/>
  <c r="H67" i="19" s="1"/>
  <c r="W146" i="39"/>
  <c r="X146" i="39" s="1"/>
  <c r="H147" i="19" s="1"/>
  <c r="W128" i="39"/>
  <c r="X128" i="39" s="1"/>
  <c r="H129" i="19" s="1"/>
  <c r="W114" i="39"/>
  <c r="X114" i="39" s="1"/>
  <c r="H115" i="19" s="1"/>
  <c r="W33" i="39"/>
  <c r="X33" i="39" s="1"/>
  <c r="H33" i="19" s="1"/>
  <c r="W13" i="39"/>
  <c r="X13" i="39" s="1"/>
  <c r="H13" i="19" s="1"/>
  <c r="W144" i="39"/>
  <c r="X144" i="39" s="1"/>
  <c r="H145" i="19" s="1"/>
  <c r="W267" i="39"/>
  <c r="X267" i="39" s="1"/>
  <c r="H270" i="19" s="1"/>
  <c r="W83" i="39"/>
  <c r="X83" i="39" s="1"/>
  <c r="H83" i="19" s="1"/>
  <c r="W177" i="39"/>
  <c r="X177" i="39" s="1"/>
  <c r="H178" i="19" s="1"/>
  <c r="W309" i="39"/>
  <c r="X309" i="39" s="1"/>
  <c r="H312" i="19" s="1"/>
  <c r="X4" i="38"/>
  <c r="Y4" i="37"/>
  <c r="Y4" i="36"/>
  <c r="Y3" i="36" s="1" a="1"/>
  <c r="Y3" i="36" s="1"/>
  <c r="I106" i="19" l="1"/>
  <c r="J106" i="19" s="1"/>
  <c r="Y3" i="37" a="1"/>
  <c r="Y3" i="37" s="1"/>
  <c r="I230" i="19"/>
  <c r="J230" i="19" s="1"/>
  <c r="W3" i="39" a="1"/>
  <c r="W3" i="39" s="1"/>
  <c r="X3" i="37" a="1"/>
  <c r="X3" i="37" s="1"/>
  <c r="F4" i="19"/>
  <c r="G4" i="19"/>
  <c r="G3" i="19" s="1"/>
  <c r="X3" i="38" a="1"/>
  <c r="X3" i="38" s="1"/>
  <c r="Z1" i="38" s="1"/>
  <c r="X4" i="39"/>
  <c r="Y124" i="39"/>
  <c r="Y98" i="39"/>
  <c r="Y297" i="39"/>
  <c r="Y310" i="39"/>
  <c r="Y187" i="39"/>
  <c r="Y256" i="39"/>
  <c r="Y24" i="39"/>
  <c r="Y78" i="39"/>
  <c r="Y211" i="39"/>
  <c r="Y50" i="39"/>
  <c r="Y22" i="39"/>
  <c r="Y56" i="39"/>
  <c r="Y53" i="39"/>
  <c r="Y162" i="39"/>
  <c r="Y163" i="39"/>
  <c r="Y23" i="39"/>
  <c r="Y257" i="39"/>
  <c r="Y240" i="39"/>
  <c r="Y278" i="39"/>
  <c r="Y276" i="39"/>
  <c r="Y48" i="39"/>
  <c r="Y285" i="39"/>
  <c r="Y181" i="39"/>
  <c r="Y65" i="39"/>
  <c r="Y125" i="39"/>
  <c r="Y209" i="39"/>
  <c r="Y246" i="39"/>
  <c r="Y68" i="39"/>
  <c r="Y100" i="39"/>
  <c r="Y37" i="39"/>
  <c r="Y152" i="39"/>
  <c r="Y281" i="39"/>
  <c r="Y232" i="39"/>
  <c r="Y27" i="39"/>
  <c r="Y76" i="39"/>
  <c r="Y230" i="39"/>
  <c r="Y6" i="39"/>
  <c r="Y153" i="39"/>
  <c r="Y229" i="39"/>
  <c r="Y238" i="39"/>
  <c r="Y234" i="39"/>
  <c r="Y101" i="39"/>
  <c r="Y17" i="39"/>
  <c r="Y44" i="39"/>
  <c r="Y182" i="39"/>
  <c r="Y242" i="39"/>
  <c r="Y261" i="39"/>
  <c r="Y79" i="39"/>
  <c r="Y102" i="39"/>
  <c r="Y216" i="39"/>
  <c r="Y7" i="39"/>
  <c r="Y306" i="39"/>
  <c r="Y25" i="39"/>
  <c r="Y108" i="39"/>
  <c r="Y133" i="39"/>
  <c r="Y175" i="39"/>
  <c r="Y233" i="39"/>
  <c r="Y120" i="39"/>
  <c r="Y286" i="39"/>
  <c r="Y171" i="39"/>
  <c r="Y307" i="39"/>
  <c r="Y13" i="39"/>
  <c r="Y220" i="39"/>
  <c r="Y88" i="39"/>
  <c r="Y254" i="39"/>
  <c r="Y103" i="39"/>
  <c r="Y312" i="39"/>
  <c r="Y263" i="39"/>
  <c r="Y283" i="39"/>
  <c r="Y62" i="39"/>
  <c r="Y69" i="39"/>
  <c r="Y298" i="39"/>
  <c r="Y202" i="39"/>
  <c r="Y82" i="39"/>
  <c r="Y137" i="39"/>
  <c r="Y148" i="39"/>
  <c r="Y282" i="39"/>
  <c r="Y305" i="39"/>
  <c r="Y33" i="39"/>
  <c r="Y223" i="39"/>
  <c r="Y143" i="39"/>
  <c r="Y127" i="39"/>
  <c r="Y38" i="39"/>
  <c r="Y299" i="39"/>
  <c r="Y221" i="39"/>
  <c r="Y91" i="39"/>
  <c r="Y87" i="39"/>
  <c r="Y123" i="39"/>
  <c r="Y265" i="39"/>
  <c r="Y30" i="39"/>
  <c r="Y189" i="39"/>
  <c r="Y198" i="39"/>
  <c r="Y64" i="39"/>
  <c r="Y168" i="39"/>
  <c r="Y45" i="39"/>
  <c r="Y40" i="39"/>
  <c r="Y191" i="39"/>
  <c r="Y105" i="39"/>
  <c r="Y255" i="39"/>
  <c r="Y72" i="39"/>
  <c r="Y192" i="39"/>
  <c r="Y204" i="39"/>
  <c r="Y150" i="39"/>
  <c r="Y147" i="39"/>
  <c r="Y46" i="39"/>
  <c r="Y111" i="39"/>
  <c r="Y126" i="39"/>
  <c r="Y249" i="39"/>
  <c r="Y213" i="39"/>
  <c r="Y155" i="39"/>
  <c r="Y167" i="39"/>
  <c r="Y119" i="39"/>
  <c r="Y184" i="39"/>
  <c r="Y94" i="39"/>
  <c r="Y176" i="39"/>
  <c r="Y16" i="39"/>
  <c r="Y291" i="39"/>
  <c r="Y205" i="39"/>
  <c r="Y309" i="39"/>
  <c r="Y128" i="39"/>
  <c r="Y93" i="39"/>
  <c r="Y95" i="39"/>
  <c r="Y208" i="39"/>
  <c r="Y43" i="39"/>
  <c r="Y172" i="39"/>
  <c r="Y47" i="39"/>
  <c r="Y226" i="39"/>
  <c r="Y269" i="39"/>
  <c r="Y55" i="39"/>
  <c r="Y304" i="39"/>
  <c r="Y60" i="39"/>
  <c r="Y92" i="39"/>
  <c r="Y85" i="39"/>
  <c r="Y206" i="39"/>
  <c r="Y288" i="39"/>
  <c r="Y293" i="39"/>
  <c r="Y294" i="39"/>
  <c r="Y179" i="39"/>
  <c r="Y315" i="39"/>
  <c r="Y58" i="39"/>
  <c r="Y63" i="39"/>
  <c r="Y173" i="39"/>
  <c r="Y272" i="39"/>
  <c r="Y142" i="39"/>
  <c r="Y49" i="39"/>
  <c r="Y214" i="39"/>
  <c r="Y268" i="39"/>
  <c r="Y311" i="39"/>
  <c r="Y227" i="39"/>
  <c r="Y185" i="39"/>
  <c r="Y41" i="39"/>
  <c r="Y250" i="39"/>
  <c r="Y194" i="39"/>
  <c r="Y180" i="39"/>
  <c r="Y160" i="39"/>
  <c r="Y8" i="39"/>
  <c r="Y109" i="39"/>
  <c r="Y116" i="39"/>
  <c r="Y313" i="39"/>
  <c r="Y66" i="39"/>
  <c r="Y247" i="39"/>
  <c r="Y28" i="39"/>
  <c r="Y165" i="39"/>
  <c r="Y186" i="39"/>
  <c r="Y289" i="39"/>
  <c r="Y225" i="39"/>
  <c r="Y146" i="39"/>
  <c r="Y207" i="39"/>
  <c r="Y295" i="39"/>
  <c r="Y21" i="39"/>
  <c r="Y271" i="39"/>
  <c r="Y51" i="39"/>
  <c r="Y287" i="39"/>
  <c r="Y89" i="39"/>
  <c r="Y140" i="39"/>
  <c r="Y106" i="39"/>
  <c r="Y141" i="39"/>
  <c r="Y279" i="39"/>
  <c r="Y244" i="39"/>
  <c r="Y107" i="39"/>
  <c r="Y264" i="39"/>
  <c r="Y57" i="39"/>
  <c r="Y83" i="39"/>
  <c r="Y67" i="39"/>
  <c r="Y20" i="39"/>
  <c r="Y99" i="39"/>
  <c r="Y235" i="39"/>
  <c r="Y39" i="39"/>
  <c r="Y169" i="39"/>
  <c r="Y273" i="39"/>
  <c r="Y303" i="39"/>
  <c r="Y252" i="39"/>
  <c r="Y122" i="39"/>
  <c r="Y300" i="39"/>
  <c r="Y104" i="39"/>
  <c r="Y14" i="39"/>
  <c r="Y161" i="39"/>
  <c r="Y112" i="39"/>
  <c r="Y118" i="39"/>
  <c r="Y77" i="39"/>
  <c r="Y35" i="39"/>
  <c r="Y110" i="39"/>
  <c r="Y183" i="39"/>
  <c r="Y86" i="39"/>
  <c r="Y115" i="39"/>
  <c r="Y54" i="39"/>
  <c r="Y196" i="39"/>
  <c r="Y131" i="39"/>
  <c r="Y10" i="39"/>
  <c r="Y243" i="39"/>
  <c r="Y270" i="39"/>
  <c r="Y157" i="39"/>
  <c r="Y217" i="39"/>
  <c r="Y301" i="39"/>
  <c r="Y292" i="39"/>
  <c r="Y290" i="39"/>
  <c r="Y136" i="39"/>
  <c r="Y42" i="39"/>
  <c r="Y218" i="39"/>
  <c r="Y26" i="39"/>
  <c r="Y284" i="39"/>
  <c r="Y113" i="39"/>
  <c r="Y237" i="39"/>
  <c r="Y241" i="39"/>
  <c r="Y236" i="39"/>
  <c r="Y302" i="39"/>
  <c r="Y280" i="39"/>
  <c r="Y90" i="39"/>
  <c r="Y277" i="39"/>
  <c r="Y156" i="39"/>
  <c r="Y193" i="39"/>
  <c r="Y52" i="39"/>
  <c r="Y231" i="39"/>
  <c r="Y138" i="39"/>
  <c r="Y9" i="39"/>
  <c r="Y262" i="39"/>
  <c r="Y117" i="39"/>
  <c r="Y73" i="39"/>
  <c r="Y201" i="39"/>
  <c r="Y74" i="39"/>
  <c r="Y164" i="39"/>
  <c r="Y260" i="39"/>
  <c r="Y314" i="39"/>
  <c r="Y159" i="39"/>
  <c r="Y114" i="39"/>
  <c r="Y154" i="39"/>
  <c r="Y253" i="39"/>
  <c r="Y177" i="39"/>
  <c r="Y245" i="39"/>
  <c r="Y274" i="39"/>
  <c r="Y18" i="39"/>
  <c r="Y190" i="39"/>
  <c r="Y71" i="39"/>
  <c r="Y81" i="39"/>
  <c r="Y5" i="39"/>
  <c r="Y275" i="39"/>
  <c r="Y70" i="39"/>
  <c r="Y158" i="39"/>
  <c r="Y178" i="39"/>
  <c r="Y12" i="39"/>
  <c r="Y267" i="39"/>
  <c r="Y149" i="39"/>
  <c r="Y129" i="39"/>
  <c r="Y32" i="39"/>
  <c r="Y151" i="39"/>
  <c r="Y296" i="39"/>
  <c r="Y139" i="39"/>
  <c r="Y31" i="39"/>
  <c r="Y203" i="39"/>
  <c r="Y134" i="39"/>
  <c r="Y200" i="39"/>
  <c r="Y224" i="39"/>
  <c r="Y84" i="39"/>
  <c r="Y144" i="39"/>
  <c r="Y215" i="39"/>
  <c r="Y259" i="39"/>
  <c r="Y222" i="39"/>
  <c r="Y248" i="39"/>
  <c r="Y170" i="39"/>
  <c r="Y174" i="39"/>
  <c r="Y195" i="39"/>
  <c r="Y251" i="39"/>
  <c r="Y130" i="39"/>
  <c r="Y197" i="39"/>
  <c r="Y135" i="39"/>
  <c r="Y19" i="39"/>
  <c r="Y132" i="39"/>
  <c r="Y29" i="39"/>
  <c r="Y210" i="39"/>
  <c r="Y308" i="39"/>
  <c r="Y266" i="39"/>
  <c r="Y15" i="39"/>
  <c r="Y228" i="39"/>
  <c r="Y199" i="39"/>
  <c r="Y239" i="39"/>
  <c r="Y258" i="39"/>
  <c r="Y80" i="39"/>
  <c r="Y166" i="39"/>
  <c r="Y212" i="39"/>
  <c r="Y219" i="39"/>
  <c r="Y36" i="39"/>
  <c r="Y11" i="39"/>
  <c r="Y61" i="39"/>
  <c r="Y121" i="39"/>
  <c r="Y188" i="39"/>
  <c r="Y316" i="39"/>
  <c r="Y75" i="39"/>
  <c r="Y34" i="39"/>
  <c r="Y96" i="39"/>
  <c r="Y59" i="39"/>
  <c r="Y97" i="39"/>
  <c r="Y145" i="39"/>
  <c r="Y4" i="38"/>
  <c r="Y3" i="38" s="1" a="1"/>
  <c r="Y3" i="38" s="1"/>
  <c r="F3" i="19" l="1"/>
  <c r="Y4" i="39"/>
  <c r="Y3" i="39" s="1" a="1"/>
  <c r="Y3" i="39" s="1"/>
  <c r="H4" i="19"/>
  <c r="X3" i="39" a="1"/>
  <c r="X3" i="39" s="1"/>
  <c r="Z1" i="39" s="1"/>
  <c r="H3" i="19" l="1"/>
  <c r="AD195" i="19"/>
  <c r="AD318" i="19"/>
  <c r="AD317" i="19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D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AD275" i="19"/>
  <c r="AD274" i="19"/>
  <c r="AD273" i="19"/>
  <c r="AD272" i="19"/>
  <c r="AD271" i="19"/>
  <c r="AD270" i="19"/>
  <c r="AD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6" i="19"/>
  <c r="AD255" i="19"/>
  <c r="AD254" i="19"/>
  <c r="AD253" i="19"/>
  <c r="AD252" i="19"/>
  <c r="AD251" i="19"/>
  <c r="AD250" i="19"/>
  <c r="AD249" i="19"/>
  <c r="AD248" i="19"/>
  <c r="AD247" i="19"/>
  <c r="AD246" i="19"/>
  <c r="AD245" i="19"/>
  <c r="AD244" i="19"/>
  <c r="AD243" i="19"/>
  <c r="AD242" i="19"/>
  <c r="AD241" i="19"/>
  <c r="AD240" i="19"/>
  <c r="AD239" i="19"/>
  <c r="AD238" i="19"/>
  <c r="AD237" i="19"/>
  <c r="AD236" i="19"/>
  <c r="AD235" i="19"/>
  <c r="AD234" i="19"/>
  <c r="AD233" i="19"/>
  <c r="AD232" i="19"/>
  <c r="AD231" i="19"/>
  <c r="AD229" i="19"/>
  <c r="AD228" i="19"/>
  <c r="AD227" i="19"/>
  <c r="AD226" i="19"/>
  <c r="AD225" i="19"/>
  <c r="AD224" i="19"/>
  <c r="AD223" i="19"/>
  <c r="AD222" i="19"/>
  <c r="AD221" i="19"/>
  <c r="AD220" i="19"/>
  <c r="AD219" i="19"/>
  <c r="AD218" i="19"/>
  <c r="AD217" i="19"/>
  <c r="AD216" i="19"/>
  <c r="AD215" i="19"/>
  <c r="AD214" i="19"/>
  <c r="AD213" i="19"/>
  <c r="AD212" i="19"/>
  <c r="AD210" i="19"/>
  <c r="AD209" i="19"/>
  <c r="AD208" i="19"/>
  <c r="AD207" i="19"/>
  <c r="AD206" i="19"/>
  <c r="AD205" i="19"/>
  <c r="AD204" i="19"/>
  <c r="AD203" i="19"/>
  <c r="AD202" i="19"/>
  <c r="AD201" i="19"/>
  <c r="AD200" i="19"/>
  <c r="AD199" i="19"/>
  <c r="AD198" i="19"/>
  <c r="AD197" i="19"/>
  <c r="AD196" i="19"/>
  <c r="AD194" i="19"/>
  <c r="AD193" i="19"/>
  <c r="AD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9" i="19"/>
  <c r="AD178" i="19"/>
  <c r="AD177" i="19"/>
  <c r="AD176" i="19"/>
  <c r="AD175" i="19"/>
  <c r="AD174" i="19"/>
  <c r="AD173" i="19"/>
  <c r="AD172" i="19"/>
  <c r="AD171" i="19"/>
  <c r="AD170" i="19"/>
  <c r="AD169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D111" i="19"/>
  <c r="AD110" i="19"/>
  <c r="AD109" i="19"/>
  <c r="AD108" i="19"/>
  <c r="AD107" i="19"/>
  <c r="AD105" i="19"/>
  <c r="AD104" i="19"/>
  <c r="AD10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B18" i="12" l="1" a="1"/>
  <c r="B18" i="12" s="1"/>
  <c r="B19" i="12" l="1"/>
  <c r="Y1" i="19" s="1"/>
  <c r="B6" i="12"/>
  <c r="I1" i="19" l="1"/>
  <c r="B10" i="12"/>
  <c r="B17" i="12" l="1"/>
  <c r="I218" i="19" l="1"/>
  <c r="J218" i="19" s="1"/>
  <c r="I217" i="19"/>
  <c r="J217" i="19" s="1"/>
  <c r="I304" i="19"/>
  <c r="I308" i="19"/>
  <c r="J308" i="19" s="1"/>
  <c r="I255" i="19"/>
  <c r="J255" i="19" s="1"/>
  <c r="I104" i="19"/>
  <c r="J104" i="19" s="1"/>
  <c r="I271" i="19"/>
  <c r="J271" i="19" s="1"/>
  <c r="I266" i="19"/>
  <c r="J266" i="19" s="1"/>
  <c r="I267" i="19"/>
  <c r="J267" i="19" s="1"/>
  <c r="I207" i="19"/>
  <c r="J207" i="19" s="1"/>
  <c r="I236" i="19"/>
  <c r="I235" i="19"/>
  <c r="J235" i="19" s="1"/>
  <c r="I107" i="19"/>
  <c r="J107" i="19" s="1"/>
  <c r="I201" i="19"/>
  <c r="J201" i="19" s="1"/>
  <c r="I105" i="19"/>
  <c r="J105" i="19" s="1"/>
  <c r="I31" i="19"/>
  <c r="J31" i="19" s="1"/>
  <c r="I134" i="19"/>
  <c r="J134" i="19" s="1"/>
  <c r="U255" i="19" l="1"/>
  <c r="S255" i="19"/>
  <c r="V255" i="19"/>
  <c r="O255" i="19"/>
  <c r="P255" i="19"/>
  <c r="R255" i="19"/>
  <c r="S105" i="19"/>
  <c r="V105" i="19"/>
  <c r="U105" i="19"/>
  <c r="R105" i="19"/>
  <c r="P105" i="19"/>
  <c r="O105" i="19"/>
  <c r="U207" i="19"/>
  <c r="S207" i="19"/>
  <c r="O207" i="19"/>
  <c r="V207" i="19"/>
  <c r="R207" i="19"/>
  <c r="P207" i="19"/>
  <c r="U134" i="19"/>
  <c r="O134" i="19"/>
  <c r="V134" i="19"/>
  <c r="S134" i="19"/>
  <c r="P134" i="19"/>
  <c r="R134" i="19"/>
  <c r="S201" i="19"/>
  <c r="V201" i="19"/>
  <c r="R201" i="19"/>
  <c r="U201" i="19"/>
  <c r="O201" i="19"/>
  <c r="P201" i="19"/>
  <c r="U218" i="19"/>
  <c r="V218" i="19"/>
  <c r="O218" i="19"/>
  <c r="S218" i="19"/>
  <c r="P218" i="19"/>
  <c r="R218" i="19"/>
  <c r="L255" i="19"/>
  <c r="M255" i="19"/>
  <c r="L134" i="19"/>
  <c r="M134" i="19"/>
  <c r="L105" i="19"/>
  <c r="M105" i="19"/>
  <c r="L207" i="19"/>
  <c r="M207" i="19"/>
  <c r="L201" i="19"/>
  <c r="M201" i="19"/>
  <c r="L218" i="19"/>
  <c r="M218" i="19"/>
  <c r="J236" i="19"/>
  <c r="J304" i="19"/>
  <c r="I246" i="19"/>
  <c r="I10" i="19"/>
  <c r="J10" i="19" s="1"/>
  <c r="I53" i="19"/>
  <c r="J53" i="19" s="1"/>
  <c r="I116" i="19"/>
  <c r="J116" i="19" s="1"/>
  <c r="I161" i="19"/>
  <c r="J161" i="19" s="1"/>
  <c r="I192" i="19"/>
  <c r="J192" i="19" s="1"/>
  <c r="I272" i="19"/>
  <c r="J272" i="19" s="1"/>
  <c r="I165" i="19"/>
  <c r="J165" i="19" s="1"/>
  <c r="I43" i="19"/>
  <c r="J43" i="19" s="1"/>
  <c r="I114" i="19"/>
  <c r="J114" i="19" s="1"/>
  <c r="I42" i="19"/>
  <c r="J42" i="19" s="1"/>
  <c r="I125" i="19"/>
  <c r="J125" i="19" s="1"/>
  <c r="I233" i="19"/>
  <c r="J233" i="19" s="1"/>
  <c r="I87" i="19"/>
  <c r="J87" i="19" s="1"/>
  <c r="I294" i="19"/>
  <c r="J294" i="19" s="1"/>
  <c r="I50" i="19"/>
  <c r="J50" i="19" s="1"/>
  <c r="I84" i="19"/>
  <c r="J84" i="19" s="1"/>
  <c r="I24" i="19"/>
  <c r="J24" i="19" s="1"/>
  <c r="I25" i="19"/>
  <c r="J25" i="19" s="1"/>
  <c r="I132" i="19"/>
  <c r="J132" i="19" s="1"/>
  <c r="I60" i="19"/>
  <c r="J60" i="19" s="1"/>
  <c r="I48" i="19"/>
  <c r="J48" i="19" s="1"/>
  <c r="I306" i="19"/>
  <c r="J306" i="19" s="1"/>
  <c r="I295" i="19"/>
  <c r="J295" i="19" s="1"/>
  <c r="I81" i="19"/>
  <c r="J81" i="19" s="1"/>
  <c r="I98" i="19"/>
  <c r="J98" i="19" s="1"/>
  <c r="I268" i="19"/>
  <c r="J268" i="19" s="1"/>
  <c r="I141" i="19"/>
  <c r="J141" i="19" s="1"/>
  <c r="I176" i="19"/>
  <c r="J176" i="19" s="1"/>
  <c r="I30" i="19"/>
  <c r="J30" i="19" s="1"/>
  <c r="I270" i="19"/>
  <c r="J270" i="19" s="1"/>
  <c r="I226" i="19"/>
  <c r="J226" i="19" s="1"/>
  <c r="I232" i="19"/>
  <c r="J232" i="19" s="1"/>
  <c r="I252" i="19"/>
  <c r="J252" i="19" s="1"/>
  <c r="I45" i="19"/>
  <c r="J45" i="19" s="1"/>
  <c r="I173" i="19"/>
  <c r="J173" i="19" s="1"/>
  <c r="I109" i="19"/>
  <c r="J109" i="19" s="1"/>
  <c r="I195" i="19"/>
  <c r="J195" i="19" s="1"/>
  <c r="I115" i="19"/>
  <c r="J115" i="19" s="1"/>
  <c r="I17" i="19"/>
  <c r="J17" i="19" s="1"/>
  <c r="I285" i="19"/>
  <c r="J285" i="19" s="1"/>
  <c r="I146" i="19"/>
  <c r="J146" i="19" s="1"/>
  <c r="I292" i="19"/>
  <c r="J292" i="19" s="1"/>
  <c r="I22" i="19"/>
  <c r="J22" i="19" s="1"/>
  <c r="I80" i="19"/>
  <c r="J80" i="19" s="1"/>
  <c r="I183" i="19"/>
  <c r="J183" i="19" s="1"/>
  <c r="I298" i="19"/>
  <c r="J298" i="19" s="1"/>
  <c r="I263" i="19"/>
  <c r="J263" i="19" s="1"/>
  <c r="I110" i="19"/>
  <c r="J110" i="19" s="1"/>
  <c r="I130" i="19"/>
  <c r="J130" i="19" s="1"/>
  <c r="I163" i="19"/>
  <c r="J163" i="19" s="1"/>
  <c r="I185" i="19"/>
  <c r="J185" i="19" s="1"/>
  <c r="I44" i="19"/>
  <c r="J44" i="19" s="1"/>
  <c r="I311" i="19"/>
  <c r="J311" i="19" s="1"/>
  <c r="I289" i="19"/>
  <c r="J289" i="19" s="1"/>
  <c r="I133" i="19"/>
  <c r="J133" i="19" s="1"/>
  <c r="I229" i="19"/>
  <c r="J229" i="19" s="1"/>
  <c r="I307" i="19"/>
  <c r="J307" i="19" s="1"/>
  <c r="I148" i="19"/>
  <c r="J148" i="19" s="1"/>
  <c r="I297" i="19"/>
  <c r="J297" i="19" s="1"/>
  <c r="I91" i="19"/>
  <c r="J91" i="19" s="1"/>
  <c r="I178" i="19"/>
  <c r="J178" i="19" s="1"/>
  <c r="I7" i="19"/>
  <c r="J7" i="19" s="1"/>
  <c r="I275" i="19"/>
  <c r="J275" i="19" s="1"/>
  <c r="I254" i="19"/>
  <c r="J254" i="19" s="1"/>
  <c r="I251" i="19"/>
  <c r="J251" i="19" s="1"/>
  <c r="I18" i="19"/>
  <c r="J18" i="19" s="1"/>
  <c r="I46" i="19"/>
  <c r="J46" i="19" s="1"/>
  <c r="I154" i="19"/>
  <c r="J154" i="19" s="1"/>
  <c r="I290" i="19"/>
  <c r="J290" i="19" s="1"/>
  <c r="I149" i="19"/>
  <c r="J149" i="19" s="1"/>
  <c r="I300" i="19"/>
  <c r="J300" i="19" s="1"/>
  <c r="I72" i="19"/>
  <c r="J72" i="19" s="1"/>
  <c r="I213" i="19"/>
  <c r="J213" i="19" s="1"/>
  <c r="I57" i="19"/>
  <c r="J57" i="19" s="1"/>
  <c r="I202" i="19"/>
  <c r="J202" i="19" s="1"/>
  <c r="I33" i="19"/>
  <c r="J33" i="19" s="1"/>
  <c r="I279" i="19"/>
  <c r="J279" i="19" s="1"/>
  <c r="I239" i="19"/>
  <c r="J239" i="19" s="1"/>
  <c r="I69" i="19"/>
  <c r="J69" i="19" s="1"/>
  <c r="I51" i="19"/>
  <c r="J51" i="19" s="1"/>
  <c r="I206" i="19"/>
  <c r="J206" i="19" s="1"/>
  <c r="I208" i="19"/>
  <c r="J208" i="19" s="1"/>
  <c r="I55" i="19"/>
  <c r="J55" i="19" s="1"/>
  <c r="I287" i="19"/>
  <c r="J287" i="19" s="1"/>
  <c r="I108" i="19"/>
  <c r="J108" i="19" s="1"/>
  <c r="I240" i="19"/>
  <c r="J240" i="19" s="1"/>
  <c r="I62" i="19"/>
  <c r="J62" i="19" s="1"/>
  <c r="I171" i="19"/>
  <c r="J171" i="19" s="1"/>
  <c r="I199" i="19"/>
  <c r="J199" i="19" s="1"/>
  <c r="I145" i="19"/>
  <c r="J145" i="19" s="1"/>
  <c r="I180" i="19"/>
  <c r="J180" i="19" s="1"/>
  <c r="I6" i="19"/>
  <c r="I40" i="19"/>
  <c r="J40" i="19" s="1"/>
  <c r="I223" i="19"/>
  <c r="J223" i="19" s="1"/>
  <c r="I131" i="19"/>
  <c r="J131" i="19" s="1"/>
  <c r="I85" i="19"/>
  <c r="J85" i="19" s="1"/>
  <c r="I258" i="19"/>
  <c r="J258" i="19" s="1"/>
  <c r="I179" i="19"/>
  <c r="J179" i="19" s="1"/>
  <c r="I152" i="19"/>
  <c r="J152" i="19" s="1"/>
  <c r="I139" i="19"/>
  <c r="J139" i="19" s="1"/>
  <c r="I169" i="19"/>
  <c r="J169" i="19" s="1"/>
  <c r="I135" i="19"/>
  <c r="J135" i="19" s="1"/>
  <c r="I193" i="19"/>
  <c r="J193" i="19" s="1"/>
  <c r="I191" i="19"/>
  <c r="J191" i="19" s="1"/>
  <c r="I54" i="19"/>
  <c r="J54" i="19" s="1"/>
  <c r="I274" i="19"/>
  <c r="J274" i="19" s="1"/>
  <c r="I41" i="19"/>
  <c r="J41" i="19" s="1"/>
  <c r="I122" i="19"/>
  <c r="J122" i="19" s="1"/>
  <c r="I301" i="19"/>
  <c r="J301" i="19" s="1"/>
  <c r="I253" i="19"/>
  <c r="J253" i="19" s="1"/>
  <c r="I8" i="19"/>
  <c r="J8" i="19" s="1"/>
  <c r="I318" i="19"/>
  <c r="J318" i="19" s="1"/>
  <c r="I67" i="19"/>
  <c r="J67" i="19" s="1"/>
  <c r="I203" i="19"/>
  <c r="J203" i="19" s="1"/>
  <c r="I13" i="19"/>
  <c r="J13" i="19" s="1"/>
  <c r="I284" i="19"/>
  <c r="J284" i="19" s="1"/>
  <c r="I181" i="19"/>
  <c r="J181" i="19" s="1"/>
  <c r="I248" i="19"/>
  <c r="J248" i="19" s="1"/>
  <c r="I282" i="19"/>
  <c r="J282" i="19" s="1"/>
  <c r="I103" i="19"/>
  <c r="J103" i="19" s="1"/>
  <c r="I196" i="19"/>
  <c r="J196" i="19" s="1"/>
  <c r="I215" i="19"/>
  <c r="J215" i="19" s="1"/>
  <c r="I170" i="19"/>
  <c r="J170" i="19" s="1"/>
  <c r="I243" i="19"/>
  <c r="J243" i="19" s="1"/>
  <c r="I100" i="19"/>
  <c r="J100" i="19" s="1"/>
  <c r="I288" i="19"/>
  <c r="J288" i="19" s="1"/>
  <c r="I283" i="19"/>
  <c r="J283" i="19" s="1"/>
  <c r="I166" i="19"/>
  <c r="J166" i="19" s="1"/>
  <c r="I93" i="19"/>
  <c r="J93" i="19" s="1"/>
  <c r="I212" i="19"/>
  <c r="J212" i="19" s="1"/>
  <c r="I309" i="19"/>
  <c r="J309" i="19" s="1"/>
  <c r="I16" i="19"/>
  <c r="J16" i="19" s="1"/>
  <c r="I34" i="19"/>
  <c r="J34" i="19" s="1"/>
  <c r="I88" i="19"/>
  <c r="J88" i="19" s="1"/>
  <c r="I303" i="19"/>
  <c r="J303" i="19" s="1"/>
  <c r="I299" i="19"/>
  <c r="J299" i="19" s="1"/>
  <c r="I140" i="19"/>
  <c r="J140" i="19" s="1"/>
  <c r="I159" i="19"/>
  <c r="J159" i="19" s="1"/>
  <c r="I58" i="19"/>
  <c r="I222" i="19"/>
  <c r="J222" i="19" s="1"/>
  <c r="I216" i="19"/>
  <c r="J216" i="19" s="1"/>
  <c r="I227" i="19"/>
  <c r="J227" i="19" s="1"/>
  <c r="I71" i="19"/>
  <c r="J71" i="19" s="1"/>
  <c r="I214" i="19"/>
  <c r="J214" i="19" s="1"/>
  <c r="I305" i="19"/>
  <c r="J305" i="19" s="1"/>
  <c r="I269" i="19"/>
  <c r="J269" i="19" s="1"/>
  <c r="I113" i="19"/>
  <c r="J113" i="19" s="1"/>
  <c r="I129" i="19"/>
  <c r="J129" i="19" s="1"/>
  <c r="I231" i="19"/>
  <c r="J231" i="19" s="1"/>
  <c r="I220" i="19"/>
  <c r="J220" i="19" s="1"/>
  <c r="I99" i="19"/>
  <c r="J99" i="19" s="1"/>
  <c r="I49" i="19"/>
  <c r="J49" i="19" s="1"/>
  <c r="I238" i="19"/>
  <c r="J238" i="19" s="1"/>
  <c r="I160" i="19"/>
  <c r="J160" i="19" s="1"/>
  <c r="I291" i="19"/>
  <c r="J291" i="19" s="1"/>
  <c r="I77" i="19"/>
  <c r="J77" i="19" s="1"/>
  <c r="I63" i="19"/>
  <c r="J63" i="19" s="1"/>
  <c r="I138" i="19"/>
  <c r="J138" i="19" s="1"/>
  <c r="I47" i="19"/>
  <c r="J47" i="19" s="1"/>
  <c r="I259" i="19"/>
  <c r="I264" i="19"/>
  <c r="J264" i="19" s="1"/>
  <c r="I172" i="19"/>
  <c r="J172" i="19" s="1"/>
  <c r="I187" i="19"/>
  <c r="J187" i="19" s="1"/>
  <c r="I111" i="19"/>
  <c r="J111" i="19" s="1"/>
  <c r="I250" i="19"/>
  <c r="J250" i="19" s="1"/>
  <c r="I121" i="19"/>
  <c r="J121" i="19" s="1"/>
  <c r="I5" i="19"/>
  <c r="J5" i="19" s="1"/>
  <c r="I92" i="19"/>
  <c r="J92" i="19" s="1"/>
  <c r="I56" i="19"/>
  <c r="J56" i="19" s="1"/>
  <c r="I59" i="19"/>
  <c r="J59" i="19" s="1"/>
  <c r="I101" i="19"/>
  <c r="J101" i="19" s="1"/>
  <c r="I118" i="19"/>
  <c r="J118" i="19" s="1"/>
  <c r="I158" i="19"/>
  <c r="J158" i="19" s="1"/>
  <c r="I75" i="19"/>
  <c r="J75" i="19" s="1"/>
  <c r="I241" i="19"/>
  <c r="J241" i="19" s="1"/>
  <c r="I228" i="19"/>
  <c r="J228" i="19" s="1"/>
  <c r="I164" i="19"/>
  <c r="J164" i="19" s="1"/>
  <c r="I137" i="19"/>
  <c r="J137" i="19" s="1"/>
  <c r="I310" i="19"/>
  <c r="J310" i="19" s="1"/>
  <c r="I262" i="19"/>
  <c r="J262" i="19" s="1"/>
  <c r="I39" i="19"/>
  <c r="J39" i="19" s="1"/>
  <c r="I177" i="19"/>
  <c r="J177" i="19" s="1"/>
  <c r="I273" i="19"/>
  <c r="J273" i="19" s="1"/>
  <c r="I23" i="19"/>
  <c r="J23" i="19" s="1"/>
  <c r="I147" i="19"/>
  <c r="J147" i="19" s="1"/>
  <c r="I70" i="19"/>
  <c r="J70" i="19" s="1"/>
  <c r="I157" i="19"/>
  <c r="I188" i="19"/>
  <c r="J188" i="19" s="1"/>
  <c r="I117" i="19"/>
  <c r="J117" i="19" s="1"/>
  <c r="I168" i="19"/>
  <c r="J168" i="19" s="1"/>
  <c r="I61" i="19"/>
  <c r="J61" i="19" s="1"/>
  <c r="I20" i="19"/>
  <c r="J20" i="19" s="1"/>
  <c r="I38" i="19"/>
  <c r="J38" i="19" s="1"/>
  <c r="I9" i="19"/>
  <c r="J9" i="19" s="1"/>
  <c r="I89" i="19"/>
  <c r="J89" i="19" s="1"/>
  <c r="I29" i="19"/>
  <c r="J29" i="19" s="1"/>
  <c r="I83" i="19"/>
  <c r="J83" i="19" s="1"/>
  <c r="I79" i="19"/>
  <c r="J79" i="19" s="1"/>
  <c r="I156" i="19"/>
  <c r="J156" i="19" s="1"/>
  <c r="I317" i="19"/>
  <c r="J317" i="19" s="1"/>
  <c r="I96" i="19"/>
  <c r="J96" i="19" s="1"/>
  <c r="I151" i="19"/>
  <c r="J151" i="19" s="1"/>
  <c r="I198" i="19"/>
  <c r="I296" i="19"/>
  <c r="J296" i="19" s="1"/>
  <c r="I68" i="19"/>
  <c r="I124" i="19"/>
  <c r="J124" i="19" s="1"/>
  <c r="I15" i="19"/>
  <c r="I14" i="19"/>
  <c r="J14" i="19" s="1"/>
  <c r="I184" i="19"/>
  <c r="J184" i="19" s="1"/>
  <c r="I189" i="19"/>
  <c r="J189" i="19" s="1"/>
  <c r="I209" i="19"/>
  <c r="J209" i="19" s="1"/>
  <c r="I64" i="19"/>
  <c r="J64" i="19" s="1"/>
  <c r="I247" i="19"/>
  <c r="J247" i="19" s="1"/>
  <c r="I277" i="19"/>
  <c r="J277" i="19" s="1"/>
  <c r="I245" i="19"/>
  <c r="J245" i="19" s="1"/>
  <c r="I78" i="19"/>
  <c r="J78" i="19" s="1"/>
  <c r="I94" i="19"/>
  <c r="J94" i="19" s="1"/>
  <c r="I237" i="19"/>
  <c r="J237" i="19" s="1"/>
  <c r="I120" i="19"/>
  <c r="J120" i="19" s="1"/>
  <c r="I182" i="19"/>
  <c r="J182" i="19" s="1"/>
  <c r="I194" i="19"/>
  <c r="J194" i="19" s="1"/>
  <c r="I219" i="19"/>
  <c r="J219" i="19" s="1"/>
  <c r="I175" i="19"/>
  <c r="J175" i="19" s="1"/>
  <c r="I225" i="19"/>
  <c r="J225" i="19" s="1"/>
  <c r="I249" i="19"/>
  <c r="J249" i="19" s="1"/>
  <c r="I257" i="19"/>
  <c r="J257" i="19" s="1"/>
  <c r="I35" i="19"/>
  <c r="J35" i="19" s="1"/>
  <c r="I242" i="19"/>
  <c r="I286" i="19"/>
  <c r="J286" i="19" s="1"/>
  <c r="I210" i="19"/>
  <c r="J210" i="19" s="1"/>
  <c r="I174" i="19"/>
  <c r="J174" i="19" s="1"/>
  <c r="I36" i="19"/>
  <c r="J36" i="19" s="1"/>
  <c r="I224" i="19"/>
  <c r="J224" i="19" s="1"/>
  <c r="I204" i="19"/>
  <c r="J204" i="19" s="1"/>
  <c r="I12" i="19"/>
  <c r="J12" i="19" s="1"/>
  <c r="I200" i="19"/>
  <c r="J200" i="19" s="1"/>
  <c r="I281" i="19"/>
  <c r="J281" i="19" s="1"/>
  <c r="I112" i="19"/>
  <c r="J112" i="19" s="1"/>
  <c r="I119" i="19"/>
  <c r="J119" i="19" s="1"/>
  <c r="I302" i="19"/>
  <c r="J302" i="19" s="1"/>
  <c r="I19" i="19"/>
  <c r="J19" i="19" s="1"/>
  <c r="I197" i="19"/>
  <c r="J197" i="19" s="1"/>
  <c r="I276" i="19"/>
  <c r="J276" i="19" s="1"/>
  <c r="I313" i="19"/>
  <c r="J313" i="19" s="1"/>
  <c r="I11" i="19"/>
  <c r="J11" i="19" s="1"/>
  <c r="I102" i="19"/>
  <c r="J102" i="19" s="1"/>
  <c r="I73" i="19"/>
  <c r="J73" i="19" s="1"/>
  <c r="I155" i="19"/>
  <c r="J155" i="19" s="1"/>
  <c r="I128" i="19"/>
  <c r="I144" i="19"/>
  <c r="J144" i="19" s="1"/>
  <c r="I90" i="19"/>
  <c r="J90" i="19" s="1"/>
  <c r="I126" i="19"/>
  <c r="J126" i="19" s="1"/>
  <c r="I143" i="19"/>
  <c r="J143" i="19" s="1"/>
  <c r="I52" i="19"/>
  <c r="J52" i="19" s="1"/>
  <c r="I293" i="19"/>
  <c r="J293" i="19" s="1"/>
  <c r="I150" i="19"/>
  <c r="J150" i="19" s="1"/>
  <c r="I28" i="19"/>
  <c r="J28" i="19" s="1"/>
  <c r="I234" i="19"/>
  <c r="J234" i="19" s="1"/>
  <c r="I315" i="19"/>
  <c r="J315" i="19" s="1"/>
  <c r="I278" i="19"/>
  <c r="J278" i="19" s="1"/>
  <c r="I76" i="19"/>
  <c r="J76" i="19" s="1"/>
  <c r="I265" i="19"/>
  <c r="J265" i="19" s="1"/>
  <c r="I280" i="19"/>
  <c r="J280" i="19" s="1"/>
  <c r="I314" i="19"/>
  <c r="J314" i="19" s="1"/>
  <c r="I153" i="19"/>
  <c r="J153" i="19" s="1"/>
  <c r="I27" i="19"/>
  <c r="I316" i="19"/>
  <c r="J316" i="19" s="1"/>
  <c r="I256" i="19"/>
  <c r="J256" i="19" s="1"/>
  <c r="I142" i="19"/>
  <c r="J142" i="19" s="1"/>
  <c r="I74" i="19"/>
  <c r="J74" i="19" s="1"/>
  <c r="I21" i="19"/>
  <c r="J21" i="19" s="1"/>
  <c r="I37" i="19"/>
  <c r="J37" i="19" s="1"/>
  <c r="I82" i="19"/>
  <c r="J82" i="19" s="1"/>
  <c r="I66" i="19"/>
  <c r="J66" i="19" s="1"/>
  <c r="I244" i="19"/>
  <c r="J244" i="19" s="1"/>
  <c r="I97" i="19"/>
  <c r="J97" i="19" s="1"/>
  <c r="I136" i="19"/>
  <c r="J136" i="19" s="1"/>
  <c r="I95" i="19"/>
  <c r="J95" i="19" s="1"/>
  <c r="I211" i="19"/>
  <c r="J211" i="19" s="1"/>
  <c r="I162" i="19"/>
  <c r="J162" i="19" s="1"/>
  <c r="I261" i="19"/>
  <c r="I190" i="19"/>
  <c r="J190" i="19" s="1"/>
  <c r="I65" i="19"/>
  <c r="J65" i="19" s="1"/>
  <c r="I127" i="19"/>
  <c r="J127" i="19" s="1"/>
  <c r="I26" i="19"/>
  <c r="J26" i="19" s="1"/>
  <c r="I32" i="19"/>
  <c r="J32" i="19" s="1"/>
  <c r="I86" i="19"/>
  <c r="J86" i="19" s="1"/>
  <c r="I123" i="19"/>
  <c r="J123" i="19" s="1"/>
  <c r="I312" i="19"/>
  <c r="J312" i="19" s="1"/>
  <c r="I260" i="19"/>
  <c r="J260" i="19" s="1"/>
  <c r="I186" i="19"/>
  <c r="J186" i="19" s="1"/>
  <c r="I167" i="19"/>
  <c r="J167" i="19" s="1"/>
  <c r="I205" i="19"/>
  <c r="J205" i="19" s="1"/>
  <c r="I4" i="19"/>
  <c r="J4" i="19" s="1"/>
  <c r="R297" i="19" l="1"/>
  <c r="S297" i="19"/>
  <c r="V297" i="19"/>
  <c r="P297" i="19"/>
  <c r="U297" i="19"/>
  <c r="O297" i="19"/>
  <c r="V263" i="19"/>
  <c r="S263" i="19"/>
  <c r="R263" i="19"/>
  <c r="O263" i="19"/>
  <c r="U263" i="19"/>
  <c r="P263" i="19"/>
  <c r="V304" i="19"/>
  <c r="U304" i="19"/>
  <c r="R304" i="19"/>
  <c r="O304" i="19"/>
  <c r="S304" i="19"/>
  <c r="P304" i="19"/>
  <c r="V144" i="19"/>
  <c r="R144" i="19"/>
  <c r="U144" i="19"/>
  <c r="O144" i="19"/>
  <c r="S144" i="19"/>
  <c r="P144" i="19"/>
  <c r="V257" i="19"/>
  <c r="U257" i="19"/>
  <c r="R257" i="19"/>
  <c r="P257" i="19"/>
  <c r="S257" i="19"/>
  <c r="O257" i="19"/>
  <c r="V168" i="19"/>
  <c r="S168" i="19"/>
  <c r="U168" i="19"/>
  <c r="R168" i="19"/>
  <c r="O168" i="19"/>
  <c r="P168" i="19"/>
  <c r="U121" i="19"/>
  <c r="S121" i="19"/>
  <c r="O121" i="19"/>
  <c r="R121" i="19"/>
  <c r="V121" i="19"/>
  <c r="P121" i="19"/>
  <c r="U160" i="19"/>
  <c r="S160" i="19"/>
  <c r="V160" i="19"/>
  <c r="O160" i="19"/>
  <c r="R160" i="19"/>
  <c r="P160" i="19"/>
  <c r="V227" i="19"/>
  <c r="S227" i="19"/>
  <c r="U227" i="19"/>
  <c r="R227" i="19"/>
  <c r="P227" i="19"/>
  <c r="O227" i="19"/>
  <c r="V248" i="19"/>
  <c r="U248" i="19"/>
  <c r="R248" i="19"/>
  <c r="S248" i="19"/>
  <c r="O248" i="19"/>
  <c r="P248" i="19"/>
  <c r="V298" i="19"/>
  <c r="U298" i="19"/>
  <c r="R298" i="19"/>
  <c r="P298" i="19"/>
  <c r="S298" i="19"/>
  <c r="O298" i="19"/>
  <c r="S45" i="19"/>
  <c r="V45" i="19"/>
  <c r="R45" i="19"/>
  <c r="U45" i="19"/>
  <c r="P45" i="19"/>
  <c r="O45" i="19"/>
  <c r="V306" i="19"/>
  <c r="U306" i="19"/>
  <c r="S306" i="19"/>
  <c r="R306" i="19"/>
  <c r="O306" i="19"/>
  <c r="P306" i="19"/>
  <c r="V236" i="19"/>
  <c r="U236" i="19"/>
  <c r="R236" i="19"/>
  <c r="O236" i="19"/>
  <c r="S236" i="19"/>
  <c r="P236" i="19"/>
  <c r="V55" i="19"/>
  <c r="U55" i="19"/>
  <c r="R55" i="19"/>
  <c r="S55" i="19"/>
  <c r="O55" i="19"/>
  <c r="P55" i="19"/>
  <c r="V164" i="19"/>
  <c r="U164" i="19"/>
  <c r="R164" i="19"/>
  <c r="O164" i="19"/>
  <c r="S164" i="19"/>
  <c r="P164" i="19"/>
  <c r="S93" i="19"/>
  <c r="V93" i="19"/>
  <c r="R93" i="19"/>
  <c r="O93" i="19"/>
  <c r="U93" i="19"/>
  <c r="P93" i="19"/>
  <c r="V282" i="19"/>
  <c r="U282" i="19"/>
  <c r="R282" i="19"/>
  <c r="S282" i="19"/>
  <c r="P282" i="19"/>
  <c r="O282" i="19"/>
  <c r="S117" i="19"/>
  <c r="V117" i="19"/>
  <c r="R117" i="19"/>
  <c r="U117" i="19"/>
  <c r="P117" i="19"/>
  <c r="O117" i="19"/>
  <c r="U37" i="19"/>
  <c r="S37" i="19"/>
  <c r="O37" i="19"/>
  <c r="R37" i="19"/>
  <c r="V37" i="19"/>
  <c r="P37" i="19"/>
  <c r="V317" i="19"/>
  <c r="R317" i="19"/>
  <c r="U317" i="19"/>
  <c r="S317" i="19"/>
  <c r="O317" i="19"/>
  <c r="P317" i="19"/>
  <c r="U111" i="19"/>
  <c r="S111" i="19"/>
  <c r="O111" i="19"/>
  <c r="V111" i="19"/>
  <c r="P111" i="19"/>
  <c r="R111" i="19"/>
  <c r="V191" i="19"/>
  <c r="U191" i="19"/>
  <c r="S191" i="19"/>
  <c r="R191" i="19"/>
  <c r="P191" i="19"/>
  <c r="O191" i="19"/>
  <c r="U229" i="19"/>
  <c r="S229" i="19"/>
  <c r="O229" i="19"/>
  <c r="V229" i="19"/>
  <c r="R229" i="19"/>
  <c r="P229" i="19"/>
  <c r="U232" i="19"/>
  <c r="S232" i="19"/>
  <c r="R232" i="19"/>
  <c r="V232" i="19"/>
  <c r="P232" i="19"/>
  <c r="O232" i="19"/>
  <c r="V65" i="19"/>
  <c r="U65" i="19"/>
  <c r="R65" i="19"/>
  <c r="O65" i="19"/>
  <c r="P65" i="19"/>
  <c r="S65" i="19"/>
  <c r="S12" i="19"/>
  <c r="V12" i="19"/>
  <c r="R12" i="19"/>
  <c r="U12" i="19"/>
  <c r="P12" i="19"/>
  <c r="O12" i="19"/>
  <c r="V156" i="19"/>
  <c r="U156" i="19"/>
  <c r="S156" i="19"/>
  <c r="R156" i="19"/>
  <c r="O156" i="19"/>
  <c r="P156" i="19"/>
  <c r="V187" i="19"/>
  <c r="U187" i="19"/>
  <c r="S187" i="19"/>
  <c r="R187" i="19"/>
  <c r="O187" i="19"/>
  <c r="P187" i="19"/>
  <c r="U99" i="19"/>
  <c r="S99" i="19"/>
  <c r="V99" i="19"/>
  <c r="O99" i="19"/>
  <c r="P99" i="19"/>
  <c r="R99" i="19"/>
  <c r="V283" i="19"/>
  <c r="U283" i="19"/>
  <c r="R283" i="19"/>
  <c r="O283" i="19"/>
  <c r="S283" i="19"/>
  <c r="P283" i="19"/>
  <c r="U193" i="19"/>
  <c r="S193" i="19"/>
  <c r="O193" i="19"/>
  <c r="V193" i="19"/>
  <c r="R193" i="19"/>
  <c r="P193" i="19"/>
  <c r="S69" i="19"/>
  <c r="V69" i="19"/>
  <c r="R69" i="19"/>
  <c r="U69" i="19"/>
  <c r="O69" i="19"/>
  <c r="P69" i="19"/>
  <c r="U133" i="19"/>
  <c r="S133" i="19"/>
  <c r="O133" i="19"/>
  <c r="V133" i="19"/>
  <c r="P133" i="19"/>
  <c r="R133" i="19"/>
  <c r="S22" i="19"/>
  <c r="R22" i="19"/>
  <c r="V22" i="19"/>
  <c r="U22" i="19"/>
  <c r="O22" i="19"/>
  <c r="P22" i="19"/>
  <c r="S165" i="19"/>
  <c r="V165" i="19"/>
  <c r="U165" i="19"/>
  <c r="R165" i="19"/>
  <c r="O165" i="19"/>
  <c r="P165" i="19"/>
  <c r="S82" i="19"/>
  <c r="V82" i="19"/>
  <c r="U82" i="19"/>
  <c r="R82" i="19"/>
  <c r="P82" i="19"/>
  <c r="O82" i="19"/>
  <c r="U181" i="19"/>
  <c r="S181" i="19"/>
  <c r="O181" i="19"/>
  <c r="P181" i="19"/>
  <c r="V181" i="19"/>
  <c r="R181" i="19"/>
  <c r="V190" i="19"/>
  <c r="U190" i="19"/>
  <c r="S190" i="19"/>
  <c r="R190" i="19"/>
  <c r="O190" i="19"/>
  <c r="P190" i="19"/>
  <c r="V234" i="19"/>
  <c r="R234" i="19"/>
  <c r="U234" i="19"/>
  <c r="O234" i="19"/>
  <c r="S234" i="19"/>
  <c r="P234" i="19"/>
  <c r="S189" i="19"/>
  <c r="V189" i="19"/>
  <c r="U189" i="19"/>
  <c r="R189" i="19"/>
  <c r="O189" i="19"/>
  <c r="P189" i="19"/>
  <c r="U220" i="19"/>
  <c r="S220" i="19"/>
  <c r="O220" i="19"/>
  <c r="V220" i="19"/>
  <c r="R220" i="19"/>
  <c r="P220" i="19"/>
  <c r="U145" i="19"/>
  <c r="S145" i="19"/>
  <c r="O145" i="19"/>
  <c r="V145" i="19"/>
  <c r="P145" i="19"/>
  <c r="R145" i="19"/>
  <c r="V18" i="19"/>
  <c r="U18" i="19"/>
  <c r="S18" i="19"/>
  <c r="O18" i="19"/>
  <c r="P18" i="19"/>
  <c r="R18" i="19"/>
  <c r="U289" i="19"/>
  <c r="S289" i="19"/>
  <c r="V289" i="19"/>
  <c r="O289" i="19"/>
  <c r="R289" i="19"/>
  <c r="P289" i="19"/>
  <c r="V292" i="19"/>
  <c r="U292" i="19"/>
  <c r="R292" i="19"/>
  <c r="S292" i="19"/>
  <c r="O292" i="19"/>
  <c r="P292" i="19"/>
  <c r="V216" i="19"/>
  <c r="U216" i="19"/>
  <c r="R216" i="19"/>
  <c r="O216" i="19"/>
  <c r="S216" i="19"/>
  <c r="P216" i="19"/>
  <c r="U64" i="19"/>
  <c r="S64" i="19"/>
  <c r="R64" i="19"/>
  <c r="O64" i="19"/>
  <c r="P64" i="19"/>
  <c r="V64" i="19"/>
  <c r="U28" i="19"/>
  <c r="S28" i="19"/>
  <c r="O28" i="19"/>
  <c r="R28" i="19"/>
  <c r="V28" i="19"/>
  <c r="P28" i="19"/>
  <c r="V224" i="19"/>
  <c r="U224" i="19"/>
  <c r="S224" i="19"/>
  <c r="R224" i="19"/>
  <c r="O224" i="19"/>
  <c r="P224" i="19"/>
  <c r="U194" i="19"/>
  <c r="O194" i="19"/>
  <c r="V194" i="19"/>
  <c r="S194" i="19"/>
  <c r="R194" i="19"/>
  <c r="P194" i="19"/>
  <c r="U184" i="19"/>
  <c r="S184" i="19"/>
  <c r="V184" i="19"/>
  <c r="O184" i="19"/>
  <c r="P184" i="19"/>
  <c r="R184" i="19"/>
  <c r="U158" i="19"/>
  <c r="V158" i="19"/>
  <c r="O158" i="19"/>
  <c r="S158" i="19"/>
  <c r="R158" i="19"/>
  <c r="P158" i="19"/>
  <c r="V140" i="19"/>
  <c r="U140" i="19"/>
  <c r="R140" i="19"/>
  <c r="O140" i="19"/>
  <c r="P140" i="19"/>
  <c r="S140" i="19"/>
  <c r="U169" i="19"/>
  <c r="S169" i="19"/>
  <c r="O169" i="19"/>
  <c r="V169" i="19"/>
  <c r="R169" i="19"/>
  <c r="P169" i="19"/>
  <c r="V199" i="19"/>
  <c r="U199" i="19"/>
  <c r="R199" i="19"/>
  <c r="O199" i="19"/>
  <c r="P199" i="19"/>
  <c r="S199" i="19"/>
  <c r="U279" i="19"/>
  <c r="S279" i="19"/>
  <c r="V279" i="19"/>
  <c r="P279" i="19"/>
  <c r="O279" i="19"/>
  <c r="R279" i="19"/>
  <c r="V251" i="19"/>
  <c r="U251" i="19"/>
  <c r="R251" i="19"/>
  <c r="O251" i="19"/>
  <c r="P251" i="19"/>
  <c r="S251" i="19"/>
  <c r="S24" i="19"/>
  <c r="V24" i="19"/>
  <c r="R24" i="19"/>
  <c r="U24" i="19"/>
  <c r="O24" i="19"/>
  <c r="P24" i="19"/>
  <c r="U182" i="19"/>
  <c r="O182" i="19"/>
  <c r="P182" i="19"/>
  <c r="S182" i="19"/>
  <c r="V182" i="19"/>
  <c r="R182" i="19"/>
  <c r="U14" i="19"/>
  <c r="S14" i="19"/>
  <c r="V14" i="19"/>
  <c r="O14" i="19"/>
  <c r="R14" i="19"/>
  <c r="P14" i="19"/>
  <c r="V29" i="19"/>
  <c r="U29" i="19"/>
  <c r="O29" i="19"/>
  <c r="S29" i="19"/>
  <c r="R29" i="19"/>
  <c r="P29" i="19"/>
  <c r="S23" i="19"/>
  <c r="V23" i="19"/>
  <c r="R23" i="19"/>
  <c r="U23" i="19"/>
  <c r="O23" i="19"/>
  <c r="P23" i="19"/>
  <c r="S118" i="19"/>
  <c r="R118" i="19"/>
  <c r="V118" i="19"/>
  <c r="P118" i="19"/>
  <c r="O118" i="19"/>
  <c r="U118" i="19"/>
  <c r="S129" i="19"/>
  <c r="V129" i="19"/>
  <c r="U129" i="19"/>
  <c r="R129" i="19"/>
  <c r="O129" i="19"/>
  <c r="P129" i="19"/>
  <c r="V299" i="19"/>
  <c r="U299" i="19"/>
  <c r="R299" i="19"/>
  <c r="P299" i="19"/>
  <c r="O299" i="19"/>
  <c r="S299" i="19"/>
  <c r="S33" i="19"/>
  <c r="V33" i="19"/>
  <c r="R33" i="19"/>
  <c r="O33" i="19"/>
  <c r="P33" i="19"/>
  <c r="U33" i="19"/>
  <c r="U254" i="19"/>
  <c r="V254" i="19"/>
  <c r="O254" i="19"/>
  <c r="P254" i="19"/>
  <c r="R254" i="19"/>
  <c r="S254" i="19"/>
  <c r="V176" i="19"/>
  <c r="U176" i="19"/>
  <c r="R176" i="19"/>
  <c r="S176" i="19"/>
  <c r="O176" i="19"/>
  <c r="P176" i="19"/>
  <c r="S84" i="19"/>
  <c r="V84" i="19"/>
  <c r="U84" i="19"/>
  <c r="R84" i="19"/>
  <c r="O84" i="19"/>
  <c r="P84" i="19"/>
  <c r="V310" i="19"/>
  <c r="U310" i="19"/>
  <c r="S310" i="19"/>
  <c r="R310" i="19"/>
  <c r="P310" i="19"/>
  <c r="O310" i="19"/>
  <c r="S96" i="19"/>
  <c r="V96" i="19"/>
  <c r="U96" i="19"/>
  <c r="R96" i="19"/>
  <c r="O96" i="19"/>
  <c r="P96" i="19"/>
  <c r="U290" i="19"/>
  <c r="S290" i="19"/>
  <c r="V290" i="19"/>
  <c r="O290" i="19"/>
  <c r="R290" i="19"/>
  <c r="P290" i="19"/>
  <c r="S225" i="19"/>
  <c r="V225" i="19"/>
  <c r="U225" i="19"/>
  <c r="R225" i="19"/>
  <c r="P225" i="19"/>
  <c r="O225" i="19"/>
  <c r="V211" i="19"/>
  <c r="U211" i="19"/>
  <c r="R211" i="19"/>
  <c r="S211" i="19"/>
  <c r="P211" i="19"/>
  <c r="O211" i="19"/>
  <c r="U276" i="19"/>
  <c r="S276" i="19"/>
  <c r="V276" i="19"/>
  <c r="O276" i="19"/>
  <c r="P276" i="19"/>
  <c r="R276" i="19"/>
  <c r="V120" i="19"/>
  <c r="R120" i="19"/>
  <c r="P120" i="19"/>
  <c r="S120" i="19"/>
  <c r="O120" i="19"/>
  <c r="U120" i="19"/>
  <c r="V89" i="19"/>
  <c r="U89" i="19"/>
  <c r="R89" i="19"/>
  <c r="O89" i="19"/>
  <c r="S89" i="19"/>
  <c r="P89" i="19"/>
  <c r="V152" i="19"/>
  <c r="U152" i="19"/>
  <c r="S152" i="19"/>
  <c r="R152" i="19"/>
  <c r="O152" i="19"/>
  <c r="P152" i="19"/>
  <c r="U62" i="19"/>
  <c r="O62" i="19"/>
  <c r="P62" i="19"/>
  <c r="V62" i="19"/>
  <c r="R62" i="19"/>
  <c r="S62" i="19"/>
  <c r="R202" i="19"/>
  <c r="V202" i="19"/>
  <c r="U202" i="19"/>
  <c r="O202" i="19"/>
  <c r="S202" i="19"/>
  <c r="P202" i="19"/>
  <c r="V275" i="19"/>
  <c r="U275" i="19"/>
  <c r="S275" i="19"/>
  <c r="R275" i="19"/>
  <c r="O275" i="19"/>
  <c r="P275" i="19"/>
  <c r="V17" i="19"/>
  <c r="U17" i="19"/>
  <c r="S17" i="19"/>
  <c r="O17" i="19"/>
  <c r="P17" i="19"/>
  <c r="R17" i="19"/>
  <c r="S141" i="19"/>
  <c r="V141" i="19"/>
  <c r="R141" i="19"/>
  <c r="U141" i="19"/>
  <c r="O141" i="19"/>
  <c r="P141" i="19"/>
  <c r="U26" i="19"/>
  <c r="O26" i="19"/>
  <c r="R26" i="19"/>
  <c r="S26" i="19"/>
  <c r="V26" i="19"/>
  <c r="P26" i="19"/>
  <c r="U183" i="19"/>
  <c r="S183" i="19"/>
  <c r="V183" i="19"/>
  <c r="O183" i="19"/>
  <c r="P183" i="19"/>
  <c r="R183" i="19"/>
  <c r="S155" i="19"/>
  <c r="V155" i="19"/>
  <c r="U155" i="19"/>
  <c r="R155" i="19"/>
  <c r="P155" i="19"/>
  <c r="O155" i="19"/>
  <c r="U49" i="19"/>
  <c r="S49" i="19"/>
  <c r="O49" i="19"/>
  <c r="V49" i="19"/>
  <c r="R49" i="19"/>
  <c r="P49" i="19"/>
  <c r="V162" i="19"/>
  <c r="R162" i="19"/>
  <c r="U162" i="19"/>
  <c r="S162" i="19"/>
  <c r="P162" i="19"/>
  <c r="O162" i="19"/>
  <c r="V197" i="19"/>
  <c r="U197" i="19"/>
  <c r="R197" i="19"/>
  <c r="S197" i="19"/>
  <c r="P197" i="19"/>
  <c r="O197" i="19"/>
  <c r="S9" i="19"/>
  <c r="V9" i="19"/>
  <c r="R9" i="19"/>
  <c r="U9" i="19"/>
  <c r="P9" i="19"/>
  <c r="O9" i="19"/>
  <c r="S59" i="19"/>
  <c r="V59" i="19"/>
  <c r="U59" i="19"/>
  <c r="O59" i="19"/>
  <c r="R59" i="19"/>
  <c r="P59" i="19"/>
  <c r="V138" i="19"/>
  <c r="R138" i="19"/>
  <c r="U138" i="19"/>
  <c r="S138" i="19"/>
  <c r="O138" i="19"/>
  <c r="P138" i="19"/>
  <c r="U88" i="19"/>
  <c r="S88" i="19"/>
  <c r="O88" i="19"/>
  <c r="R88" i="19"/>
  <c r="P88" i="19"/>
  <c r="V88" i="19"/>
  <c r="V215" i="19"/>
  <c r="U215" i="19"/>
  <c r="R215" i="19"/>
  <c r="S215" i="19"/>
  <c r="P215" i="19"/>
  <c r="O215" i="19"/>
  <c r="S57" i="19"/>
  <c r="V57" i="19"/>
  <c r="R57" i="19"/>
  <c r="U57" i="19"/>
  <c r="O57" i="19"/>
  <c r="P57" i="19"/>
  <c r="V7" i="19"/>
  <c r="U7" i="19"/>
  <c r="R7" i="19"/>
  <c r="O7" i="19"/>
  <c r="S7" i="19"/>
  <c r="P7" i="19"/>
  <c r="V280" i="19"/>
  <c r="U280" i="19"/>
  <c r="R280" i="19"/>
  <c r="S280" i="19"/>
  <c r="P280" i="19"/>
  <c r="O280" i="19"/>
  <c r="V200" i="19"/>
  <c r="U200" i="19"/>
  <c r="R200" i="19"/>
  <c r="O200" i="19"/>
  <c r="S200" i="19"/>
  <c r="P200" i="19"/>
  <c r="V228" i="19"/>
  <c r="S228" i="19"/>
  <c r="U228" i="19"/>
  <c r="R228" i="19"/>
  <c r="P228" i="19"/>
  <c r="O228" i="19"/>
  <c r="V167" i="19"/>
  <c r="S167" i="19"/>
  <c r="U167" i="19"/>
  <c r="R167" i="19"/>
  <c r="O167" i="19"/>
  <c r="P167" i="19"/>
  <c r="U312" i="19"/>
  <c r="S312" i="19"/>
  <c r="V312" i="19"/>
  <c r="O312" i="19"/>
  <c r="P312" i="19"/>
  <c r="R312" i="19"/>
  <c r="S143" i="19"/>
  <c r="V143" i="19"/>
  <c r="R143" i="19"/>
  <c r="U143" i="19"/>
  <c r="O143" i="19"/>
  <c r="P143" i="19"/>
  <c r="V19" i="19"/>
  <c r="U19" i="19"/>
  <c r="S19" i="19"/>
  <c r="O19" i="19"/>
  <c r="P19" i="19"/>
  <c r="R19" i="19"/>
  <c r="S94" i="19"/>
  <c r="R94" i="19"/>
  <c r="O94" i="19"/>
  <c r="U94" i="19"/>
  <c r="V94" i="19"/>
  <c r="P94" i="19"/>
  <c r="U38" i="19"/>
  <c r="O38" i="19"/>
  <c r="R38" i="19"/>
  <c r="V38" i="19"/>
  <c r="S38" i="19"/>
  <c r="P38" i="19"/>
  <c r="U39" i="19"/>
  <c r="S39" i="19"/>
  <c r="V39" i="19"/>
  <c r="O39" i="19"/>
  <c r="R39" i="19"/>
  <c r="P39" i="19"/>
  <c r="V305" i="19"/>
  <c r="S305" i="19"/>
  <c r="R305" i="19"/>
  <c r="U305" i="19"/>
  <c r="O305" i="19"/>
  <c r="P305" i="19"/>
  <c r="S34" i="19"/>
  <c r="V34" i="19"/>
  <c r="O34" i="19"/>
  <c r="R34" i="19"/>
  <c r="P34" i="19"/>
  <c r="U34" i="19"/>
  <c r="S213" i="19"/>
  <c r="V213" i="19"/>
  <c r="R213" i="19"/>
  <c r="P213" i="19"/>
  <c r="U213" i="19"/>
  <c r="O213" i="19"/>
  <c r="U195" i="19"/>
  <c r="S195" i="19"/>
  <c r="O195" i="19"/>
  <c r="V195" i="19"/>
  <c r="R195" i="19"/>
  <c r="P195" i="19"/>
  <c r="U98" i="19"/>
  <c r="V98" i="19"/>
  <c r="O98" i="19"/>
  <c r="P98" i="19"/>
  <c r="S98" i="19"/>
  <c r="R98" i="19"/>
  <c r="U86" i="19"/>
  <c r="O86" i="19"/>
  <c r="S86" i="19"/>
  <c r="V86" i="19"/>
  <c r="R86" i="19"/>
  <c r="P86" i="19"/>
  <c r="U278" i="19"/>
  <c r="S278" i="19"/>
  <c r="V278" i="19"/>
  <c r="P278" i="19"/>
  <c r="O278" i="19"/>
  <c r="R278" i="19"/>
  <c r="V260" i="19"/>
  <c r="U260" i="19"/>
  <c r="S260" i="19"/>
  <c r="R260" i="19"/>
  <c r="O260" i="19"/>
  <c r="P260" i="19"/>
  <c r="U97" i="19"/>
  <c r="S97" i="19"/>
  <c r="O97" i="19"/>
  <c r="P97" i="19"/>
  <c r="R97" i="19"/>
  <c r="V97" i="19"/>
  <c r="U302" i="19"/>
  <c r="S302" i="19"/>
  <c r="V302" i="19"/>
  <c r="R302" i="19"/>
  <c r="O302" i="19"/>
  <c r="P302" i="19"/>
  <c r="V92" i="19"/>
  <c r="U92" i="19"/>
  <c r="R92" i="19"/>
  <c r="O92" i="19"/>
  <c r="S92" i="19"/>
  <c r="P92" i="19"/>
  <c r="V77" i="19"/>
  <c r="U77" i="19"/>
  <c r="R77" i="19"/>
  <c r="S77" i="19"/>
  <c r="O77" i="19"/>
  <c r="P77" i="19"/>
  <c r="U122" i="19"/>
  <c r="O122" i="19"/>
  <c r="R122" i="19"/>
  <c r="V122" i="19"/>
  <c r="P122" i="19"/>
  <c r="S122" i="19"/>
  <c r="U109" i="19"/>
  <c r="S109" i="19"/>
  <c r="O109" i="19"/>
  <c r="V109" i="19"/>
  <c r="R109" i="19"/>
  <c r="P109" i="19"/>
  <c r="V233" i="19"/>
  <c r="U233" i="19"/>
  <c r="R233" i="19"/>
  <c r="S233" i="19"/>
  <c r="O233" i="19"/>
  <c r="P233" i="19"/>
  <c r="L228" i="19"/>
  <c r="M228" i="19"/>
  <c r="L144" i="19"/>
  <c r="M144" i="19"/>
  <c r="L257" i="19"/>
  <c r="M257" i="19"/>
  <c r="L168" i="19"/>
  <c r="M168" i="19"/>
  <c r="L121" i="19"/>
  <c r="M121" i="19"/>
  <c r="L160" i="19"/>
  <c r="M160" i="19"/>
  <c r="L227" i="19"/>
  <c r="M227" i="19"/>
  <c r="L248" i="19"/>
  <c r="M248" i="19"/>
  <c r="L298" i="19"/>
  <c r="M298" i="19"/>
  <c r="L45" i="19"/>
  <c r="M45" i="19"/>
  <c r="L306" i="19"/>
  <c r="M306" i="19"/>
  <c r="L236" i="19"/>
  <c r="M236" i="19"/>
  <c r="L96" i="19"/>
  <c r="M96" i="19"/>
  <c r="L117" i="19"/>
  <c r="M117" i="19"/>
  <c r="L164" i="19"/>
  <c r="M164" i="19"/>
  <c r="L216" i="19"/>
  <c r="M216" i="19"/>
  <c r="L93" i="19"/>
  <c r="M93" i="19"/>
  <c r="L181" i="19"/>
  <c r="M181" i="19"/>
  <c r="L290" i="19"/>
  <c r="M290" i="19"/>
  <c r="L183" i="19"/>
  <c r="M183" i="19"/>
  <c r="L232" i="19"/>
  <c r="M232" i="19"/>
  <c r="L156" i="19"/>
  <c r="M156" i="19"/>
  <c r="L187" i="19"/>
  <c r="M187" i="19"/>
  <c r="L99" i="19"/>
  <c r="M99" i="19"/>
  <c r="L193" i="19"/>
  <c r="M193" i="19"/>
  <c r="L69" i="19"/>
  <c r="M69" i="19"/>
  <c r="L133" i="19"/>
  <c r="M133" i="19"/>
  <c r="L22" i="19"/>
  <c r="M22" i="19"/>
  <c r="L165" i="19"/>
  <c r="M165" i="19"/>
  <c r="L111" i="19"/>
  <c r="M111" i="19"/>
  <c r="L12" i="19"/>
  <c r="M12" i="19"/>
  <c r="L190" i="19"/>
  <c r="M190" i="19"/>
  <c r="L234" i="19"/>
  <c r="M234" i="19"/>
  <c r="L189" i="19"/>
  <c r="M189" i="19"/>
  <c r="L220" i="19"/>
  <c r="M220" i="19"/>
  <c r="L145" i="19"/>
  <c r="M145" i="19"/>
  <c r="L18" i="19"/>
  <c r="M18" i="19"/>
  <c r="L289" i="19"/>
  <c r="M289" i="19"/>
  <c r="L292" i="19"/>
  <c r="M292" i="19"/>
  <c r="L26" i="19"/>
  <c r="M26" i="19"/>
  <c r="L317" i="19"/>
  <c r="M317" i="19"/>
  <c r="L49" i="19"/>
  <c r="M49" i="19"/>
  <c r="L191" i="19"/>
  <c r="M191" i="19"/>
  <c r="L229" i="19"/>
  <c r="M229" i="19"/>
  <c r="L283" i="19"/>
  <c r="M283" i="19"/>
  <c r="L28" i="19"/>
  <c r="M28" i="19"/>
  <c r="L224" i="19"/>
  <c r="M224" i="19"/>
  <c r="L194" i="19"/>
  <c r="M194" i="19"/>
  <c r="L184" i="19"/>
  <c r="M184" i="19"/>
  <c r="L158" i="19"/>
  <c r="M158" i="19"/>
  <c r="L140" i="19"/>
  <c r="M140" i="19"/>
  <c r="L169" i="19"/>
  <c r="M169" i="19"/>
  <c r="L199" i="19"/>
  <c r="M199" i="19"/>
  <c r="L279" i="19"/>
  <c r="M279" i="19"/>
  <c r="L251" i="19"/>
  <c r="M251" i="19"/>
  <c r="L24" i="19"/>
  <c r="M24" i="19"/>
  <c r="L82" i="19"/>
  <c r="M82" i="19"/>
  <c r="L225" i="19"/>
  <c r="M225" i="19"/>
  <c r="L167" i="19"/>
  <c r="M167" i="19"/>
  <c r="L162" i="19"/>
  <c r="M162" i="19"/>
  <c r="L182" i="19"/>
  <c r="M182" i="19"/>
  <c r="L14" i="19"/>
  <c r="M14" i="19"/>
  <c r="L29" i="19"/>
  <c r="M29" i="19"/>
  <c r="L23" i="19"/>
  <c r="M23" i="19"/>
  <c r="L118" i="19"/>
  <c r="M118" i="19"/>
  <c r="L129" i="19"/>
  <c r="M129" i="19"/>
  <c r="L299" i="19"/>
  <c r="M299" i="19"/>
  <c r="L33" i="19"/>
  <c r="M33" i="19"/>
  <c r="L254" i="19"/>
  <c r="M254" i="19"/>
  <c r="L176" i="19"/>
  <c r="M176" i="19"/>
  <c r="L84" i="19"/>
  <c r="M84" i="19"/>
  <c r="L200" i="19"/>
  <c r="M200" i="19"/>
  <c r="L211" i="19"/>
  <c r="M211" i="19"/>
  <c r="L276" i="19"/>
  <c r="M276" i="19"/>
  <c r="L120" i="19"/>
  <c r="M120" i="19"/>
  <c r="L89" i="19"/>
  <c r="M89" i="19"/>
  <c r="L152" i="19"/>
  <c r="M152" i="19"/>
  <c r="L62" i="19"/>
  <c r="M62" i="19"/>
  <c r="L202" i="19"/>
  <c r="M202" i="19"/>
  <c r="L275" i="19"/>
  <c r="M275" i="19"/>
  <c r="L17" i="19"/>
  <c r="M17" i="19"/>
  <c r="L141" i="19"/>
  <c r="M141" i="19"/>
  <c r="L155" i="19"/>
  <c r="M155" i="19"/>
  <c r="L197" i="19"/>
  <c r="M197" i="19"/>
  <c r="L9" i="19"/>
  <c r="M9" i="19"/>
  <c r="L59" i="19"/>
  <c r="M59" i="19"/>
  <c r="L138" i="19"/>
  <c r="M138" i="19"/>
  <c r="L88" i="19"/>
  <c r="M88" i="19"/>
  <c r="L215" i="19"/>
  <c r="M215" i="19"/>
  <c r="L57" i="19"/>
  <c r="M57" i="19"/>
  <c r="L7" i="19"/>
  <c r="M7" i="19"/>
  <c r="L64" i="19"/>
  <c r="M64" i="19"/>
  <c r="L260" i="19"/>
  <c r="M260" i="19"/>
  <c r="L312" i="19"/>
  <c r="M312" i="19"/>
  <c r="L143" i="19"/>
  <c r="M143" i="19"/>
  <c r="L19" i="19"/>
  <c r="M19" i="19"/>
  <c r="L94" i="19"/>
  <c r="M94" i="19"/>
  <c r="L38" i="19"/>
  <c r="M38" i="19"/>
  <c r="L39" i="19"/>
  <c r="M39" i="19"/>
  <c r="L305" i="19"/>
  <c r="M305" i="19"/>
  <c r="L34" i="19"/>
  <c r="M34" i="19"/>
  <c r="L213" i="19"/>
  <c r="M213" i="19"/>
  <c r="L195" i="19"/>
  <c r="M195" i="19"/>
  <c r="L98" i="19"/>
  <c r="M98" i="19"/>
  <c r="L278" i="19"/>
  <c r="M278" i="19"/>
  <c r="L97" i="19"/>
  <c r="M97" i="19"/>
  <c r="L302" i="19"/>
  <c r="M302" i="19"/>
  <c r="L92" i="19"/>
  <c r="M92" i="19"/>
  <c r="L77" i="19"/>
  <c r="M77" i="19"/>
  <c r="L122" i="19"/>
  <c r="M122" i="19"/>
  <c r="L109" i="19"/>
  <c r="M109" i="19"/>
  <c r="L233" i="19"/>
  <c r="M233" i="19"/>
  <c r="L37" i="19"/>
  <c r="M37" i="19"/>
  <c r="L65" i="19"/>
  <c r="M65" i="19"/>
  <c r="L86" i="19"/>
  <c r="M86" i="19"/>
  <c r="L280" i="19"/>
  <c r="M280" i="19"/>
  <c r="L310" i="19"/>
  <c r="M310" i="19"/>
  <c r="L282" i="19"/>
  <c r="M282" i="19"/>
  <c r="L55" i="19"/>
  <c r="M55" i="19"/>
  <c r="L297" i="19"/>
  <c r="M297" i="19"/>
  <c r="L263" i="19"/>
  <c r="M263" i="19"/>
  <c r="L304" i="19"/>
  <c r="M304" i="19"/>
  <c r="J157" i="19"/>
  <c r="J58" i="19"/>
  <c r="J259" i="19"/>
  <c r="J68" i="19"/>
  <c r="J15" i="19"/>
  <c r="J242" i="19"/>
  <c r="J246" i="19"/>
  <c r="J198" i="19"/>
  <c r="J261" i="19"/>
  <c r="J27" i="19"/>
  <c r="J128" i="19"/>
  <c r="J6" i="19"/>
  <c r="K304" i="19"/>
  <c r="I221" i="19"/>
  <c r="U27" i="19" l="1"/>
  <c r="S27" i="19"/>
  <c r="O27" i="19"/>
  <c r="R27" i="19"/>
  <c r="V27" i="19"/>
  <c r="P27" i="19"/>
  <c r="U157" i="19"/>
  <c r="S157" i="19"/>
  <c r="V157" i="19"/>
  <c r="O157" i="19"/>
  <c r="R157" i="19"/>
  <c r="P157" i="19"/>
  <c r="V261" i="19"/>
  <c r="S261" i="19"/>
  <c r="R261" i="19"/>
  <c r="U261" i="19"/>
  <c r="P261" i="19"/>
  <c r="O261" i="19"/>
  <c r="V198" i="19"/>
  <c r="R198" i="19"/>
  <c r="U198" i="19"/>
  <c r="P198" i="19"/>
  <c r="O198" i="19"/>
  <c r="S198" i="19"/>
  <c r="V246" i="19"/>
  <c r="U246" i="19"/>
  <c r="R246" i="19"/>
  <c r="S246" i="19"/>
  <c r="P246" i="19"/>
  <c r="O246" i="19"/>
  <c r="U15" i="19"/>
  <c r="S15" i="19"/>
  <c r="V15" i="19"/>
  <c r="O15" i="19"/>
  <c r="R15" i="19"/>
  <c r="P15" i="19"/>
  <c r="U242" i="19"/>
  <c r="V242" i="19"/>
  <c r="S242" i="19"/>
  <c r="P242" i="19"/>
  <c r="R242" i="19"/>
  <c r="O242" i="19"/>
  <c r="V259" i="19"/>
  <c r="U259" i="19"/>
  <c r="S259" i="19"/>
  <c r="R259" i="19"/>
  <c r="P259" i="19"/>
  <c r="O259" i="19"/>
  <c r="S58" i="19"/>
  <c r="V58" i="19"/>
  <c r="U58" i="19"/>
  <c r="R58" i="19"/>
  <c r="O58" i="19"/>
  <c r="P58" i="19"/>
  <c r="L27" i="19"/>
  <c r="M27" i="19"/>
  <c r="L261" i="19"/>
  <c r="M261" i="19"/>
  <c r="L198" i="19"/>
  <c r="M198" i="19"/>
  <c r="L246" i="19"/>
  <c r="M246" i="19"/>
  <c r="L242" i="19"/>
  <c r="M242" i="19"/>
  <c r="L157" i="19"/>
  <c r="M157" i="19"/>
  <c r="L259" i="19"/>
  <c r="M259" i="19"/>
  <c r="L15" i="19"/>
  <c r="M15" i="19"/>
  <c r="L58" i="19"/>
  <c r="M58" i="19"/>
  <c r="I3" i="19"/>
  <c r="B11" i="12" s="1"/>
  <c r="B12" i="12" s="1"/>
  <c r="K1" i="19" s="1"/>
  <c r="J221" i="19"/>
  <c r="K246" i="19"/>
  <c r="K198" i="19"/>
  <c r="K15" i="19"/>
  <c r="K259" i="19"/>
  <c r="K27" i="19"/>
  <c r="K261" i="19"/>
  <c r="K242" i="19"/>
  <c r="K157" i="19"/>
  <c r="K58" i="19"/>
  <c r="J3" i="19"/>
  <c r="K128" i="19" l="1"/>
  <c r="K201" i="19"/>
  <c r="K229" i="19"/>
  <c r="K306" i="19"/>
  <c r="K175" i="19"/>
  <c r="K59" i="19"/>
  <c r="K88" i="19"/>
  <c r="K248" i="19"/>
  <c r="K191" i="19"/>
  <c r="K227" i="19"/>
  <c r="K64" i="19"/>
  <c r="K18" i="19"/>
  <c r="K200" i="19"/>
  <c r="K55" i="19"/>
  <c r="K230" i="19"/>
  <c r="K137" i="19"/>
  <c r="L137" i="19" s="1"/>
  <c r="M137" i="19" s="1"/>
  <c r="B9" i="12"/>
  <c r="B14" i="12" s="1"/>
  <c r="L230" i="19" l="1"/>
  <c r="M230" i="19" s="1"/>
  <c r="L128" i="19"/>
  <c r="M128" i="19" s="1"/>
  <c r="L175" i="19"/>
  <c r="M175" i="19" s="1"/>
  <c r="K106" i="19"/>
  <c r="K238" i="19"/>
  <c r="K143" i="19"/>
  <c r="K218" i="19"/>
  <c r="K266" i="19"/>
  <c r="K155" i="19"/>
  <c r="K63" i="19"/>
  <c r="K223" i="19"/>
  <c r="K122" i="19"/>
  <c r="K104" i="19"/>
  <c r="K17" i="19"/>
  <c r="K16" i="19"/>
  <c r="K176" i="19"/>
  <c r="K273" i="19"/>
  <c r="K186" i="19"/>
  <c r="K50" i="19"/>
  <c r="K150" i="19"/>
  <c r="K19" i="19"/>
  <c r="K130" i="19"/>
  <c r="K7" i="19"/>
  <c r="K154" i="19"/>
  <c r="K96" i="19"/>
  <c r="K125" i="19"/>
  <c r="K83" i="19"/>
  <c r="K236" i="19"/>
  <c r="K267" i="19"/>
  <c r="K205" i="19"/>
  <c r="K32" i="19"/>
  <c r="K4" i="19"/>
  <c r="L4" i="19" s="1"/>
  <c r="M4" i="19" s="1"/>
  <c r="K151" i="19"/>
  <c r="K43" i="19"/>
  <c r="K171" i="19"/>
  <c r="K84" i="19"/>
  <c r="K115" i="19"/>
  <c r="K293" i="19"/>
  <c r="K161" i="19"/>
  <c r="K315" i="19"/>
  <c r="K29" i="19"/>
  <c r="K318" i="19"/>
  <c r="K311" i="19"/>
  <c r="K208" i="19"/>
  <c r="K24" i="19"/>
  <c r="K284" i="19"/>
  <c r="K168" i="19"/>
  <c r="K42" i="19"/>
  <c r="K158" i="19"/>
  <c r="K287" i="19"/>
  <c r="K280" i="19"/>
  <c r="K250" i="19"/>
  <c r="K45" i="19"/>
  <c r="K74" i="19"/>
  <c r="K310" i="19"/>
  <c r="K85" i="19"/>
  <c r="K94" i="19"/>
  <c r="K301" i="19"/>
  <c r="K272" i="19"/>
  <c r="K298" i="19"/>
  <c r="K28" i="19"/>
  <c r="K87" i="19"/>
  <c r="K260" i="19"/>
  <c r="K165" i="19"/>
  <c r="K194" i="19"/>
  <c r="K234" i="19"/>
  <c r="K288" i="19"/>
  <c r="K117" i="19"/>
  <c r="K160" i="19"/>
  <c r="K313" i="19"/>
  <c r="K222" i="19"/>
  <c r="K249" i="19"/>
  <c r="K193" i="19"/>
  <c r="K54" i="19"/>
  <c r="K36" i="19"/>
  <c r="K163" i="19"/>
  <c r="K188" i="19"/>
  <c r="K9" i="19"/>
  <c r="K312" i="19"/>
  <c r="K6" i="19"/>
  <c r="K316" i="19"/>
  <c r="L316" i="19" s="1"/>
  <c r="M316" i="19" s="1"/>
  <c r="K25" i="19"/>
  <c r="K235" i="19"/>
  <c r="K203" i="19"/>
  <c r="K265" i="19"/>
  <c r="L265" i="19" s="1"/>
  <c r="M265" i="19" s="1"/>
  <c r="K271" i="19"/>
  <c r="K252" i="19"/>
  <c r="K147" i="19"/>
  <c r="K214" i="19"/>
  <c r="K86" i="19"/>
  <c r="K305" i="19"/>
  <c r="K68" i="19"/>
  <c r="K56" i="19"/>
  <c r="K100" i="19"/>
  <c r="K89" i="19"/>
  <c r="K254" i="19"/>
  <c r="K52" i="19"/>
  <c r="K209" i="19"/>
  <c r="K139" i="19"/>
  <c r="K275" i="19"/>
  <c r="K10" i="19"/>
  <c r="K314" i="19"/>
  <c r="K237" i="19"/>
  <c r="K182" i="19"/>
  <c r="K264" i="19"/>
  <c r="K239" i="19"/>
  <c r="L239" i="19" s="1"/>
  <c r="M239" i="19" s="1"/>
  <c r="K225" i="19"/>
  <c r="K57" i="19"/>
  <c r="K20" i="19"/>
  <c r="K257" i="19"/>
  <c r="K144" i="19"/>
  <c r="K90" i="19"/>
  <c r="K48" i="19"/>
  <c r="K127" i="19"/>
  <c r="K107" i="19"/>
  <c r="K206" i="19"/>
  <c r="K308" i="19"/>
  <c r="K26" i="19"/>
  <c r="K149" i="19"/>
  <c r="K177" i="19"/>
  <c r="L177" i="19" s="1"/>
  <c r="M177" i="19" s="1"/>
  <c r="K274" i="19"/>
  <c r="K159" i="19"/>
  <c r="L159" i="19" s="1"/>
  <c r="M159" i="19" s="1"/>
  <c r="K111" i="19"/>
  <c r="K268" i="19"/>
  <c r="K210" i="19"/>
  <c r="K241" i="19"/>
  <c r="K213" i="19"/>
  <c r="K180" i="19"/>
  <c r="K207" i="19"/>
  <c r="K67" i="19"/>
  <c r="L67" i="19" s="1"/>
  <c r="M67" i="19" s="1"/>
  <c r="K145" i="19"/>
  <c r="K167" i="19"/>
  <c r="K105" i="19"/>
  <c r="K232" i="19"/>
  <c r="K219" i="19"/>
  <c r="K121" i="19"/>
  <c r="K134" i="19"/>
  <c r="K80" i="19"/>
  <c r="K228" i="19"/>
  <c r="K152" i="19"/>
  <c r="K136" i="19"/>
  <c r="K217" i="19"/>
  <c r="K91" i="19"/>
  <c r="L91" i="19" s="1"/>
  <c r="M91" i="19" s="1"/>
  <c r="K184" i="19"/>
  <c r="K77" i="19"/>
  <c r="K62" i="19"/>
  <c r="K211" i="19"/>
  <c r="K255" i="19"/>
  <c r="K226" i="19"/>
  <c r="K233" i="19"/>
  <c r="K290" i="19"/>
  <c r="K299" i="19"/>
  <c r="K148" i="19"/>
  <c r="K292" i="19"/>
  <c r="K13" i="19"/>
  <c r="K12" i="19"/>
  <c r="K31" i="19"/>
  <c r="K129" i="19"/>
  <c r="K220" i="19"/>
  <c r="K285" i="19"/>
  <c r="K300" i="19"/>
  <c r="K93" i="19"/>
  <c r="K131" i="19"/>
  <c r="K286" i="19"/>
  <c r="K189" i="19"/>
  <c r="K169" i="19"/>
  <c r="K113" i="19"/>
  <c r="L113" i="19" s="1"/>
  <c r="M113" i="19" s="1"/>
  <c r="K23" i="19"/>
  <c r="K174" i="19"/>
  <c r="K279" i="19"/>
  <c r="K276" i="19"/>
  <c r="K156" i="19"/>
  <c r="K133" i="19"/>
  <c r="K281" i="19"/>
  <c r="K120" i="19"/>
  <c r="K240" i="19"/>
  <c r="K102" i="19"/>
  <c r="L102" i="19" s="1"/>
  <c r="M102" i="19" s="1"/>
  <c r="K103" i="19"/>
  <c r="K244" i="19"/>
  <c r="K307" i="19"/>
  <c r="K197" i="19"/>
  <c r="K294" i="19"/>
  <c r="K70" i="19"/>
  <c r="K282" i="19"/>
  <c r="K263" i="19"/>
  <c r="K66" i="19"/>
  <c r="K8" i="19"/>
  <c r="K164" i="19"/>
  <c r="K72" i="19"/>
  <c r="K46" i="19"/>
  <c r="K114" i="19"/>
  <c r="L114" i="19" s="1"/>
  <c r="M114" i="19" s="1"/>
  <c r="K97" i="19"/>
  <c r="K38" i="19"/>
  <c r="K37" i="19"/>
  <c r="K123" i="19"/>
  <c r="K44" i="19"/>
  <c r="K183" i="19"/>
  <c r="K60" i="19"/>
  <c r="K142" i="19"/>
  <c r="K22" i="19"/>
  <c r="K98" i="19"/>
  <c r="K101" i="19"/>
  <c r="K99" i="19"/>
  <c r="K170" i="19"/>
  <c r="L170" i="19" s="1"/>
  <c r="M170" i="19" s="1"/>
  <c r="K108" i="19"/>
  <c r="L108" i="19" s="1"/>
  <c r="M108" i="19" s="1"/>
  <c r="K76" i="19"/>
  <c r="K71" i="19"/>
  <c r="K34" i="19"/>
  <c r="K278" i="19"/>
  <c r="K251" i="19"/>
  <c r="K178" i="19"/>
  <c r="K253" i="19"/>
  <c r="K215" i="19"/>
  <c r="K40" i="19"/>
  <c r="K92" i="19"/>
  <c r="K173" i="19"/>
  <c r="K78" i="19"/>
  <c r="K49" i="19"/>
  <c r="K95" i="19"/>
  <c r="K296" i="19"/>
  <c r="L296" i="19" s="1"/>
  <c r="M296" i="19" s="1"/>
  <c r="K256" i="19"/>
  <c r="K138" i="19"/>
  <c r="K132" i="19"/>
  <c r="K14" i="19"/>
  <c r="K53" i="19"/>
  <c r="L53" i="19" s="1"/>
  <c r="M53" i="19" s="1"/>
  <c r="K231" i="19"/>
  <c r="K172" i="19"/>
  <c r="K297" i="19"/>
  <c r="K35" i="19"/>
  <c r="K140" i="19"/>
  <c r="K146" i="19"/>
  <c r="K5" i="19"/>
  <c r="K317" i="19"/>
  <c r="K216" i="19"/>
  <c r="K269" i="19"/>
  <c r="L269" i="19" s="1"/>
  <c r="M269" i="19" s="1"/>
  <c r="K69" i="19"/>
  <c r="K112" i="19"/>
  <c r="K30" i="19"/>
  <c r="K116" i="19"/>
  <c r="K81" i="19"/>
  <c r="K39" i="19"/>
  <c r="K185" i="19"/>
  <c r="K303" i="19"/>
  <c r="L303" i="19" s="1"/>
  <c r="M303" i="19" s="1"/>
  <c r="K21" i="19"/>
  <c r="K283" i="19"/>
  <c r="K190" i="19"/>
  <c r="K262" i="19"/>
  <c r="L262" i="19" s="1"/>
  <c r="M262" i="19" s="1"/>
  <c r="K291" i="19"/>
  <c r="K11" i="19"/>
  <c r="K195" i="19"/>
  <c r="K162" i="19"/>
  <c r="K33" i="19"/>
  <c r="K79" i="19"/>
  <c r="L79" i="19" s="1"/>
  <c r="M79" i="19" s="1"/>
  <c r="K75" i="19"/>
  <c r="L75" i="19" s="1"/>
  <c r="M75" i="19" s="1"/>
  <c r="K247" i="19"/>
  <c r="K41" i="19"/>
  <c r="K212" i="19"/>
  <c r="K199" i="19"/>
  <c r="K202" i="19"/>
  <c r="K109" i="19"/>
  <c r="K179" i="19"/>
  <c r="K295" i="19"/>
  <c r="L295" i="19" s="1"/>
  <c r="M295" i="19" s="1"/>
  <c r="K309" i="19"/>
  <c r="L309" i="19" s="1"/>
  <c r="M309" i="19" s="1"/>
  <c r="K119" i="19"/>
  <c r="K196" i="19"/>
  <c r="K51" i="19"/>
  <c r="K192" i="19"/>
  <c r="L192" i="19" s="1"/>
  <c r="M192" i="19" s="1"/>
  <c r="K258" i="19"/>
  <c r="K153" i="19"/>
  <c r="K61" i="19"/>
  <c r="K187" i="19"/>
  <c r="K135" i="19"/>
  <c r="L135" i="19" s="1"/>
  <c r="M135" i="19" s="1"/>
  <c r="K243" i="19"/>
  <c r="L243" i="19" s="1"/>
  <c r="M243" i="19" s="1"/>
  <c r="K302" i="19"/>
  <c r="K124" i="19"/>
  <c r="K221" i="19"/>
  <c r="L221" i="19" s="1"/>
  <c r="M221" i="19" s="1"/>
  <c r="K245" i="19"/>
  <c r="K166" i="19"/>
  <c r="L166" i="19" s="1"/>
  <c r="M166" i="19" s="1"/>
  <c r="K126" i="19"/>
  <c r="L126" i="19" s="1"/>
  <c r="M126" i="19" s="1"/>
  <c r="K277" i="19"/>
  <c r="K65" i="19"/>
  <c r="K118" i="19"/>
  <c r="K181" i="19"/>
  <c r="K141" i="19"/>
  <c r="K270" i="19"/>
  <c r="L270" i="19" s="1"/>
  <c r="M270" i="19" s="1"/>
  <c r="K204" i="19"/>
  <c r="K82" i="19"/>
  <c r="K289" i="19"/>
  <c r="K47" i="19"/>
  <c r="L47" i="19" s="1"/>
  <c r="M47" i="19" s="1"/>
  <c r="K224" i="19"/>
  <c r="K110" i="19"/>
  <c r="K73" i="19"/>
  <c r="L277" i="19" l="1"/>
  <c r="M277" i="19" s="1"/>
  <c r="L68" i="19"/>
  <c r="M68" i="19" s="1"/>
  <c r="L258" i="19"/>
  <c r="M258" i="19" s="1"/>
  <c r="L266" i="19"/>
  <c r="M266" i="19" s="1"/>
  <c r="L240" i="19"/>
  <c r="M240" i="19" s="1"/>
  <c r="L6" i="19"/>
  <c r="M6" i="19" s="1"/>
  <c r="L142" i="19"/>
  <c r="M142" i="19" s="1"/>
  <c r="L288" i="19"/>
  <c r="M288" i="19" s="1"/>
  <c r="L48" i="19"/>
  <c r="M48" i="19" s="1"/>
  <c r="L250" i="19"/>
  <c r="M250" i="19" s="1"/>
  <c r="L196" i="19"/>
  <c r="M196" i="19" s="1"/>
  <c r="L185" i="19"/>
  <c r="M185" i="19" s="1"/>
  <c r="L71" i="19"/>
  <c r="M71" i="19" s="1"/>
  <c r="L123" i="19"/>
  <c r="M123" i="19" s="1"/>
  <c r="L70" i="19"/>
  <c r="M70" i="19" s="1"/>
  <c r="L219" i="19"/>
  <c r="M219" i="19" s="1"/>
  <c r="L139" i="19"/>
  <c r="M139" i="19" s="1"/>
  <c r="L252" i="19"/>
  <c r="M252" i="19" s="1"/>
  <c r="L36" i="19"/>
  <c r="M36" i="19" s="1"/>
  <c r="L161" i="19"/>
  <c r="M161" i="19" s="1"/>
  <c r="L106" i="19"/>
  <c r="M106" i="19" s="1"/>
  <c r="L110" i="19"/>
  <c r="M110" i="19" s="1"/>
  <c r="L178" i="19"/>
  <c r="M178" i="19" s="1"/>
  <c r="L180" i="19"/>
  <c r="M180" i="19" s="1"/>
  <c r="L208" i="19"/>
  <c r="M208" i="19" s="1"/>
  <c r="L131" i="19"/>
  <c r="M131" i="19" s="1"/>
  <c r="L212" i="19"/>
  <c r="M212" i="19" s="1"/>
  <c r="L60" i="19"/>
  <c r="M60" i="19" s="1"/>
  <c r="L314" i="19"/>
  <c r="M314" i="19" s="1"/>
  <c r="L74" i="19"/>
  <c r="M74" i="19" s="1"/>
  <c r="L41" i="19"/>
  <c r="M41" i="19" s="1"/>
  <c r="L267" i="19"/>
  <c r="M267" i="19" s="1"/>
  <c r="L247" i="19"/>
  <c r="M247" i="19" s="1"/>
  <c r="L285" i="19"/>
  <c r="M285" i="19" s="1"/>
  <c r="L204" i="19"/>
  <c r="M204" i="19" s="1"/>
  <c r="L124" i="19"/>
  <c r="M124" i="19" s="1"/>
  <c r="L119" i="19"/>
  <c r="M119" i="19" s="1"/>
  <c r="L35" i="19"/>
  <c r="M35" i="19" s="1"/>
  <c r="L78" i="19"/>
  <c r="M78" i="19" s="1"/>
  <c r="L76" i="19"/>
  <c r="M76" i="19" s="1"/>
  <c r="L294" i="19"/>
  <c r="M294" i="19" s="1"/>
  <c r="L209" i="19"/>
  <c r="M209" i="19" s="1"/>
  <c r="L271" i="19"/>
  <c r="M271" i="19" s="1"/>
  <c r="L54" i="19"/>
  <c r="M54" i="19" s="1"/>
  <c r="L87" i="19"/>
  <c r="M87" i="19" s="1"/>
  <c r="L287" i="19"/>
  <c r="M287" i="19" s="1"/>
  <c r="L293" i="19"/>
  <c r="M293" i="19" s="1"/>
  <c r="L83" i="19"/>
  <c r="M83" i="19" s="1"/>
  <c r="L16" i="19"/>
  <c r="M16" i="19" s="1"/>
  <c r="L132" i="19"/>
  <c r="M132" i="19" s="1"/>
  <c r="L206" i="19"/>
  <c r="M206" i="19" s="1"/>
  <c r="L8" i="19"/>
  <c r="M8" i="19" s="1"/>
  <c r="L50" i="19"/>
  <c r="M50" i="19" s="1"/>
  <c r="L21" i="19"/>
  <c r="M21" i="19" s="1"/>
  <c r="L226" i="19"/>
  <c r="M226" i="19" s="1"/>
  <c r="L147" i="19"/>
  <c r="M147" i="19" s="1"/>
  <c r="L315" i="19"/>
  <c r="M315" i="19" s="1"/>
  <c r="L173" i="19"/>
  <c r="M173" i="19" s="1"/>
  <c r="L31" i="19"/>
  <c r="M31" i="19" s="1"/>
  <c r="L274" i="19"/>
  <c r="M274" i="19" s="1"/>
  <c r="L20" i="19"/>
  <c r="M20" i="19" s="1"/>
  <c r="L52" i="19"/>
  <c r="M52" i="19" s="1"/>
  <c r="L115" i="19"/>
  <c r="M115" i="19" s="1"/>
  <c r="L125" i="19"/>
  <c r="M125" i="19" s="1"/>
  <c r="L311" i="19"/>
  <c r="M311" i="19" s="1"/>
  <c r="L281" i="19"/>
  <c r="M281" i="19" s="1"/>
  <c r="L245" i="19"/>
  <c r="M245" i="19" s="1"/>
  <c r="L300" i="19"/>
  <c r="M300" i="19" s="1"/>
  <c r="L188" i="19"/>
  <c r="M188" i="19" s="1"/>
  <c r="L90" i="19"/>
  <c r="M90" i="19" s="1"/>
  <c r="L163" i="19"/>
  <c r="M163" i="19" s="1"/>
  <c r="L307" i="19"/>
  <c r="M307" i="19" s="1"/>
  <c r="L203" i="19"/>
  <c r="M203" i="19" s="1"/>
  <c r="L249" i="19"/>
  <c r="M249" i="19" s="1"/>
  <c r="L42" i="19"/>
  <c r="M42" i="19" s="1"/>
  <c r="L104" i="19"/>
  <c r="M104" i="19" s="1"/>
  <c r="L153" i="19"/>
  <c r="M153" i="19" s="1"/>
  <c r="L107" i="19"/>
  <c r="M107" i="19" s="1"/>
  <c r="L150" i="19"/>
  <c r="M150" i="19" s="1"/>
  <c r="L256" i="19"/>
  <c r="M256" i="19" s="1"/>
  <c r="L80" i="19"/>
  <c r="M80" i="19" s="1"/>
  <c r="L205" i="19"/>
  <c r="M205" i="19" s="1"/>
  <c r="L5" i="19"/>
  <c r="M5" i="19" s="1"/>
  <c r="L210" i="19"/>
  <c r="M210" i="19" s="1"/>
  <c r="L51" i="19"/>
  <c r="M51" i="19" s="1"/>
  <c r="L44" i="19"/>
  <c r="M44" i="19" s="1"/>
  <c r="L273" i="19"/>
  <c r="M273" i="19" s="1"/>
  <c r="L174" i="19"/>
  <c r="M174" i="19" s="1"/>
  <c r="L116" i="19"/>
  <c r="M116" i="19" s="1"/>
  <c r="L30" i="19"/>
  <c r="M30" i="19" s="1"/>
  <c r="L231" i="19"/>
  <c r="M231" i="19" s="1"/>
  <c r="L40" i="19"/>
  <c r="M40" i="19" s="1"/>
  <c r="L244" i="19"/>
  <c r="M244" i="19" s="1"/>
  <c r="L13" i="19"/>
  <c r="M13" i="19" s="1"/>
  <c r="L149" i="19"/>
  <c r="M149" i="19" s="1"/>
  <c r="L235" i="19"/>
  <c r="M235" i="19" s="1"/>
  <c r="L222" i="19"/>
  <c r="M222" i="19" s="1"/>
  <c r="L272" i="19"/>
  <c r="M272" i="19" s="1"/>
  <c r="L171" i="19"/>
  <c r="M171" i="19" s="1"/>
  <c r="L154" i="19"/>
  <c r="M154" i="19" s="1"/>
  <c r="L237" i="19"/>
  <c r="M237" i="19" s="1"/>
  <c r="L66" i="19"/>
  <c r="M66" i="19" s="1"/>
  <c r="L127" i="19"/>
  <c r="M127" i="19" s="1"/>
  <c r="L214" i="19"/>
  <c r="M214" i="19" s="1"/>
  <c r="L146" i="19"/>
  <c r="M146" i="19" s="1"/>
  <c r="L268" i="19"/>
  <c r="M268" i="19" s="1"/>
  <c r="L238" i="19"/>
  <c r="M238" i="19" s="1"/>
  <c r="L81" i="19"/>
  <c r="M81" i="19" s="1"/>
  <c r="L172" i="19"/>
  <c r="M172" i="19" s="1"/>
  <c r="L179" i="19"/>
  <c r="M179" i="19" s="1"/>
  <c r="L11" i="19"/>
  <c r="M11" i="19" s="1"/>
  <c r="L112" i="19"/>
  <c r="M112" i="19" s="1"/>
  <c r="L101" i="19"/>
  <c r="M101" i="19" s="1"/>
  <c r="L46" i="19"/>
  <c r="M46" i="19" s="1"/>
  <c r="L103" i="19"/>
  <c r="M103" i="19" s="1"/>
  <c r="L217" i="19"/>
  <c r="M217" i="19" s="1"/>
  <c r="L100" i="19"/>
  <c r="M100" i="19" s="1"/>
  <c r="L25" i="19"/>
  <c r="M25" i="19" s="1"/>
  <c r="L313" i="19"/>
  <c r="M313" i="19" s="1"/>
  <c r="L301" i="19"/>
  <c r="M301" i="19" s="1"/>
  <c r="L284" i="19"/>
  <c r="M284" i="19" s="1"/>
  <c r="L43" i="19"/>
  <c r="M43" i="19" s="1"/>
  <c r="L223" i="19"/>
  <c r="M223" i="19" s="1"/>
  <c r="L286" i="19"/>
  <c r="M286" i="19" s="1"/>
  <c r="L85" i="19"/>
  <c r="M85" i="19" s="1"/>
  <c r="L32" i="19"/>
  <c r="M32" i="19" s="1"/>
  <c r="L241" i="19"/>
  <c r="M241" i="19" s="1"/>
  <c r="L318" i="19"/>
  <c r="M318" i="19" s="1"/>
  <c r="L10" i="19"/>
  <c r="M10" i="19" s="1"/>
  <c r="L186" i="19"/>
  <c r="M186" i="19" s="1"/>
  <c r="L95" i="19"/>
  <c r="M95" i="19" s="1"/>
  <c r="L73" i="19"/>
  <c r="M73" i="19" s="1"/>
  <c r="L61" i="19"/>
  <c r="M61" i="19" s="1"/>
  <c r="L291" i="19"/>
  <c r="M291" i="19" s="1"/>
  <c r="L253" i="19"/>
  <c r="M253" i="19" s="1"/>
  <c r="L72" i="19"/>
  <c r="M72" i="19" s="1"/>
  <c r="L148" i="19"/>
  <c r="M148" i="19" s="1"/>
  <c r="L136" i="19"/>
  <c r="M136" i="19" s="1"/>
  <c r="L308" i="19"/>
  <c r="M308" i="19" s="1"/>
  <c r="L264" i="19"/>
  <c r="M264" i="19" s="1"/>
  <c r="L56" i="19"/>
  <c r="M56" i="19" s="1"/>
  <c r="L151" i="19"/>
  <c r="M151" i="19" s="1"/>
  <c r="L130" i="19"/>
  <c r="M130" i="19" s="1"/>
  <c r="L63" i="19"/>
  <c r="M63" i="19" s="1"/>
  <c r="K3" i="19" a="1"/>
  <c r="K3" i="19" s="1"/>
  <c r="M3" i="19" l="1" a="1"/>
  <c r="M3" i="19" s="1"/>
  <c r="L3" i="19" a="1"/>
  <c r="L3" i="19" s="1"/>
  <c r="N304" i="19" l="1"/>
  <c r="N230" i="19"/>
  <c r="O230" i="19" s="1"/>
  <c r="P230" i="19" s="1"/>
  <c r="N106" i="19"/>
  <c r="O106" i="19" s="1"/>
  <c r="P106" i="19" s="1"/>
  <c r="N195" i="19"/>
  <c r="N276" i="19"/>
  <c r="N268" i="19"/>
  <c r="O268" i="19" s="1"/>
  <c r="P268" i="19" s="1"/>
  <c r="N257" i="19"/>
  <c r="N289" i="19"/>
  <c r="N192" i="19"/>
  <c r="O192" i="19" s="1"/>
  <c r="P192" i="19" s="1"/>
  <c r="N118" i="19"/>
  <c r="N67" i="19"/>
  <c r="O67" i="19" s="1"/>
  <c r="P67" i="19" s="1"/>
  <c r="N134" i="19"/>
  <c r="N203" i="19"/>
  <c r="O203" i="19" s="1"/>
  <c r="P203" i="19" s="1"/>
  <c r="N295" i="19"/>
  <c r="O295" i="19" s="1"/>
  <c r="P295" i="19" s="1"/>
  <c r="N262" i="19"/>
  <c r="O262" i="19" s="1"/>
  <c r="P262" i="19" s="1"/>
  <c r="N12" i="19"/>
  <c r="N209" i="19"/>
  <c r="O209" i="19" s="1"/>
  <c r="P209" i="19" s="1"/>
  <c r="N140" i="19"/>
  <c r="N309" i="19"/>
  <c r="O309" i="19" s="1"/>
  <c r="P309" i="19" s="1"/>
  <c r="N265" i="19"/>
  <c r="O265" i="19" s="1"/>
  <c r="P265" i="19" s="1"/>
  <c r="N9" i="19"/>
  <c r="N159" i="19"/>
  <c r="O159" i="19" s="1"/>
  <c r="P159" i="19" s="1"/>
  <c r="N292" i="19"/>
  <c r="N69" i="19"/>
  <c r="N215" i="19"/>
  <c r="N148" i="19"/>
  <c r="O148" i="19" s="1"/>
  <c r="P148" i="19" s="1"/>
  <c r="N221" i="19"/>
  <c r="O221" i="19" s="1"/>
  <c r="P221" i="19" s="1"/>
  <c r="N210" i="19"/>
  <c r="O210" i="19" s="1"/>
  <c r="P210" i="19" s="1"/>
  <c r="N286" i="19"/>
  <c r="O286" i="19" s="1"/>
  <c r="P286" i="19" s="1"/>
  <c r="N138" i="19"/>
  <c r="N114" i="19"/>
  <c r="O114" i="19" s="1"/>
  <c r="P114" i="19" s="1"/>
  <c r="N300" i="19"/>
  <c r="O300" i="19" s="1"/>
  <c r="P300" i="19" s="1"/>
  <c r="N170" i="19"/>
  <c r="O170" i="19" s="1"/>
  <c r="P170" i="19" s="1"/>
  <c r="N312" i="19"/>
  <c r="N75" i="19"/>
  <c r="O75" i="19" s="1"/>
  <c r="P75" i="19" s="1"/>
  <c r="N91" i="19"/>
  <c r="O91" i="19" s="1"/>
  <c r="P91" i="19" s="1"/>
  <c r="N92" i="19"/>
  <c r="N102" i="19"/>
  <c r="O102" i="19" s="1"/>
  <c r="P102" i="19" s="1"/>
  <c r="N239" i="19"/>
  <c r="O239" i="19" s="1"/>
  <c r="P239" i="19" s="1"/>
  <c r="N177" i="19"/>
  <c r="O177" i="19" s="1"/>
  <c r="P177" i="19" s="1"/>
  <c r="N99" i="19"/>
  <c r="N303" i="19"/>
  <c r="O303" i="19" s="1"/>
  <c r="P303" i="19" s="1"/>
  <c r="N83" i="19"/>
  <c r="O83" i="19" s="1"/>
  <c r="P83" i="19" s="1"/>
  <c r="N48" i="19"/>
  <c r="O48" i="19" s="1"/>
  <c r="P48" i="19" s="1"/>
  <c r="N269" i="19"/>
  <c r="O269" i="19" s="1"/>
  <c r="P269" i="19" s="1"/>
  <c r="N270" i="19"/>
  <c r="O270" i="19" s="1"/>
  <c r="P270" i="19" s="1"/>
  <c r="N232" i="19"/>
  <c r="N135" i="19"/>
  <c r="O135" i="19" s="1"/>
  <c r="P135" i="19" s="1"/>
  <c r="N56" i="19"/>
  <c r="O56" i="19" s="1"/>
  <c r="P56" i="19" s="1"/>
  <c r="N113" i="19"/>
  <c r="O113" i="19" s="1"/>
  <c r="P113" i="19" s="1"/>
  <c r="N47" i="19"/>
  <c r="O47" i="19" s="1"/>
  <c r="P47" i="19" s="1"/>
  <c r="N228" i="19"/>
  <c r="N126" i="19"/>
  <c r="O126" i="19" s="1"/>
  <c r="P126" i="19" s="1"/>
  <c r="N79" i="19"/>
  <c r="O79" i="19" s="1"/>
  <c r="P79" i="19" s="1"/>
  <c r="N243" i="19"/>
  <c r="O243" i="19" s="1"/>
  <c r="P243" i="19" s="1"/>
  <c r="N182" i="19"/>
  <c r="N283" i="19"/>
  <c r="N53" i="19"/>
  <c r="O53" i="19" s="1"/>
  <c r="P53" i="19" s="1"/>
  <c r="N166" i="19"/>
  <c r="O166" i="19" s="1"/>
  <c r="P166" i="19" s="1"/>
  <c r="N57" i="19"/>
  <c r="N46" i="19"/>
  <c r="O46" i="19" s="1"/>
  <c r="P46" i="19" s="1"/>
  <c r="N316" i="19"/>
  <c r="O316" i="19" s="1"/>
  <c r="P316" i="19" s="1"/>
  <c r="N77" i="19"/>
  <c r="N66" i="19"/>
  <c r="O66" i="19" s="1"/>
  <c r="P66" i="19" s="1"/>
  <c r="N120" i="19"/>
  <c r="N38" i="19"/>
  <c r="N103" i="19"/>
  <c r="O103" i="19" s="1"/>
  <c r="P103" i="19" s="1"/>
  <c r="N123" i="19"/>
  <c r="O123" i="19" s="1"/>
  <c r="P123" i="19" s="1"/>
  <c r="N275" i="19"/>
  <c r="N108" i="19"/>
  <c r="O108" i="19" s="1"/>
  <c r="P108" i="19" s="1"/>
  <c r="N111" i="19"/>
  <c r="N263" i="19"/>
  <c r="N296" i="19"/>
  <c r="O296" i="19" s="1"/>
  <c r="P296" i="19" s="1"/>
  <c r="N211" i="19"/>
  <c r="N202" i="19"/>
  <c r="N147" i="19"/>
  <c r="O147" i="19" s="1"/>
  <c r="P147" i="19" s="1"/>
  <c r="N206" i="19"/>
  <c r="O206" i="19" s="1"/>
  <c r="P206" i="19" s="1"/>
  <c r="N130" i="19"/>
  <c r="O130" i="19" s="1"/>
  <c r="P130" i="19" s="1"/>
  <c r="N137" i="19"/>
  <c r="O137" i="19" s="1"/>
  <c r="P137" i="19" s="1"/>
  <c r="N234" i="19"/>
  <c r="N43" i="19"/>
  <c r="O43" i="19" s="1"/>
  <c r="P43" i="19" s="1"/>
  <c r="N208" i="19"/>
  <c r="O208" i="19" s="1"/>
  <c r="P208" i="19" s="1"/>
  <c r="N98" i="19"/>
  <c r="N24" i="19"/>
  <c r="N62" i="19"/>
  <c r="N213" i="19"/>
  <c r="N314" i="19"/>
  <c r="O314" i="19" s="1"/>
  <c r="P314" i="19" s="1"/>
  <c r="N172" i="19"/>
  <c r="O172" i="19" s="1"/>
  <c r="P172" i="19" s="1"/>
  <c r="N193" i="19"/>
  <c r="N124" i="19"/>
  <c r="O124" i="19" s="1"/>
  <c r="P124" i="19" s="1"/>
  <c r="N101" i="19"/>
  <c r="O101" i="19" s="1"/>
  <c r="P101" i="19" s="1"/>
  <c r="N121" i="19"/>
  <c r="N28" i="19"/>
  <c r="N96" i="19"/>
  <c r="N218" i="19"/>
  <c r="N308" i="19"/>
  <c r="O308" i="19" s="1"/>
  <c r="P308" i="19" s="1"/>
  <c r="N85" i="19"/>
  <c r="O85" i="19" s="1"/>
  <c r="P85" i="19" s="1"/>
  <c r="N299" i="19"/>
  <c r="N198" i="19"/>
  <c r="N151" i="19"/>
  <c r="O151" i="19" s="1"/>
  <c r="P151" i="19" s="1"/>
  <c r="N22" i="19"/>
  <c r="N216" i="19"/>
  <c r="N117" i="19"/>
  <c r="N272" i="19"/>
  <c r="O272" i="19" s="1"/>
  <c r="P272" i="19" s="1"/>
  <c r="N25" i="19"/>
  <c r="O25" i="19" s="1"/>
  <c r="P25" i="19" s="1"/>
  <c r="N153" i="19"/>
  <c r="O153" i="19" s="1"/>
  <c r="P153" i="19" s="1"/>
  <c r="N78" i="19"/>
  <c r="O78" i="19" s="1"/>
  <c r="P78" i="19" s="1"/>
  <c r="N251" i="19"/>
  <c r="N158" i="19"/>
  <c r="N240" i="19"/>
  <c r="O240" i="19" s="1"/>
  <c r="P240" i="19" s="1"/>
  <c r="N279" i="19"/>
  <c r="N87" i="19"/>
  <c r="O87" i="19" s="1"/>
  <c r="P87" i="19" s="1"/>
  <c r="N58" i="19"/>
  <c r="N225" i="19"/>
  <c r="N197" i="19"/>
  <c r="N204" i="19"/>
  <c r="O204" i="19" s="1"/>
  <c r="P204" i="19" s="1"/>
  <c r="N51" i="19"/>
  <c r="O51" i="19" s="1"/>
  <c r="P51" i="19" s="1"/>
  <c r="N207" i="19"/>
  <c r="N169" i="19"/>
  <c r="N291" i="19"/>
  <c r="O291" i="19" s="1"/>
  <c r="P291" i="19" s="1"/>
  <c r="N219" i="19"/>
  <c r="O219" i="19" s="1"/>
  <c r="P219" i="19" s="1"/>
  <c r="N23" i="19"/>
  <c r="N49" i="19"/>
  <c r="N277" i="19"/>
  <c r="O277" i="19" s="1"/>
  <c r="P277" i="19" s="1"/>
  <c r="N132" i="19"/>
  <c r="O132" i="19" s="1"/>
  <c r="P132" i="19" s="1"/>
  <c r="N305" i="19"/>
  <c r="N119" i="19"/>
  <c r="O119" i="19" s="1"/>
  <c r="P119" i="19" s="1"/>
  <c r="N33" i="19"/>
  <c r="N174" i="19"/>
  <c r="O174" i="19" s="1"/>
  <c r="P174" i="19" s="1"/>
  <c r="N149" i="19"/>
  <c r="O149" i="19" s="1"/>
  <c r="P149" i="19" s="1"/>
  <c r="N285" i="19"/>
  <c r="O285" i="19" s="1"/>
  <c r="P285" i="19" s="1"/>
  <c r="N7" i="19"/>
  <c r="N237" i="19"/>
  <c r="O237" i="19" s="1"/>
  <c r="P237" i="19" s="1"/>
  <c r="N196" i="19"/>
  <c r="O196" i="19" s="1"/>
  <c r="P196" i="19" s="1"/>
  <c r="N116" i="19"/>
  <c r="O116" i="19" s="1"/>
  <c r="P116" i="19" s="1"/>
  <c r="N244" i="19"/>
  <c r="O244" i="19" s="1"/>
  <c r="P244" i="19" s="1"/>
  <c r="N141" i="19"/>
  <c r="N241" i="19"/>
  <c r="O241" i="19" s="1"/>
  <c r="P241" i="19" s="1"/>
  <c r="N306" i="19"/>
  <c r="N317" i="19"/>
  <c r="N189" i="19"/>
  <c r="N311" i="19"/>
  <c r="O311" i="19" s="1"/>
  <c r="P311" i="19" s="1"/>
  <c r="N11" i="19"/>
  <c r="O11" i="19" s="1"/>
  <c r="P11" i="19" s="1"/>
  <c r="N222" i="19"/>
  <c r="O222" i="19" s="1"/>
  <c r="P222" i="19" s="1"/>
  <c r="N146" i="19"/>
  <c r="O146" i="19" s="1"/>
  <c r="P146" i="19" s="1"/>
  <c r="N44" i="19"/>
  <c r="O44" i="19" s="1"/>
  <c r="P44" i="19" s="1"/>
  <c r="N104" i="19"/>
  <c r="O104" i="19" s="1"/>
  <c r="P104" i="19" s="1"/>
  <c r="N160" i="19"/>
  <c r="N168" i="19"/>
  <c r="N143" i="19"/>
  <c r="N310" i="19"/>
  <c r="N80" i="19"/>
  <c r="O80" i="19" s="1"/>
  <c r="P80" i="19" s="1"/>
  <c r="N115" i="19"/>
  <c r="O115" i="19" s="1"/>
  <c r="P115" i="19" s="1"/>
  <c r="N266" i="19"/>
  <c r="O266" i="19" s="1"/>
  <c r="P266" i="19" s="1"/>
  <c r="N231" i="19"/>
  <c r="O231" i="19" s="1"/>
  <c r="P231" i="19" s="1"/>
  <c r="N72" i="19"/>
  <c r="O72" i="19" s="1"/>
  <c r="P72" i="19" s="1"/>
  <c r="N253" i="19"/>
  <c r="O253" i="19" s="1"/>
  <c r="P253" i="19" s="1"/>
  <c r="N282" i="19"/>
  <c r="N37" i="19"/>
  <c r="N142" i="19"/>
  <c r="O142" i="19" s="1"/>
  <c r="P142" i="19" s="1"/>
  <c r="N242" i="19"/>
  <c r="N21" i="19"/>
  <c r="O21" i="19" s="1"/>
  <c r="P21" i="19" s="1"/>
  <c r="N6" i="19"/>
  <c r="O6" i="19" s="1"/>
  <c r="P6" i="19" s="1"/>
  <c r="N30" i="19"/>
  <c r="O30" i="19" s="1"/>
  <c r="P30" i="19" s="1"/>
  <c r="N68" i="19"/>
  <c r="O68" i="19" s="1"/>
  <c r="P68" i="19" s="1"/>
  <c r="N246" i="19"/>
  <c r="N16" i="19"/>
  <c r="O16" i="19" s="1"/>
  <c r="P16" i="19" s="1"/>
  <c r="N18" i="19"/>
  <c r="N205" i="19"/>
  <c r="O205" i="19" s="1"/>
  <c r="P205" i="19" s="1"/>
  <c r="N301" i="19"/>
  <c r="O301" i="19" s="1"/>
  <c r="P301" i="19" s="1"/>
  <c r="N52" i="19"/>
  <c r="O52" i="19" s="1"/>
  <c r="P52" i="19" s="1"/>
  <c r="N162" i="19"/>
  <c r="N90" i="19"/>
  <c r="O90" i="19" s="1"/>
  <c r="P90" i="19" s="1"/>
  <c r="N154" i="19"/>
  <c r="O154" i="19" s="1"/>
  <c r="P154" i="19" s="1"/>
  <c r="N267" i="19"/>
  <c r="O267" i="19" s="1"/>
  <c r="P267" i="19" s="1"/>
  <c r="N223" i="19"/>
  <c r="O223" i="19" s="1"/>
  <c r="P223" i="19" s="1"/>
  <c r="N89" i="19"/>
  <c r="N41" i="19"/>
  <c r="O41" i="19" s="1"/>
  <c r="P41" i="19" s="1"/>
  <c r="N236" i="19"/>
  <c r="N34" i="19"/>
  <c r="N8" i="19"/>
  <c r="O8" i="19" s="1"/>
  <c r="P8" i="19" s="1"/>
  <c r="N4" i="19"/>
  <c r="O4" i="19" s="1"/>
  <c r="P4" i="19" s="1"/>
  <c r="N184" i="19"/>
  <c r="N144" i="19"/>
  <c r="N278" i="19"/>
  <c r="N127" i="19"/>
  <c r="O127" i="19" s="1"/>
  <c r="P127" i="19" s="1"/>
  <c r="N125" i="19"/>
  <c r="O125" i="19" s="1"/>
  <c r="P125" i="19" s="1"/>
  <c r="N212" i="19"/>
  <c r="O212" i="19" s="1"/>
  <c r="P212" i="19" s="1"/>
  <c r="N59" i="19"/>
  <c r="N271" i="19"/>
  <c r="O271" i="19" s="1"/>
  <c r="P271" i="19" s="1"/>
  <c r="N73" i="19"/>
  <c r="O73" i="19" s="1"/>
  <c r="P73" i="19" s="1"/>
  <c r="N178" i="19"/>
  <c r="O178" i="19" s="1"/>
  <c r="P178" i="19" s="1"/>
  <c r="N63" i="19"/>
  <c r="O63" i="19" s="1"/>
  <c r="P63" i="19" s="1"/>
  <c r="N258" i="19"/>
  <c r="O258" i="19" s="1"/>
  <c r="P258" i="19" s="1"/>
  <c r="N122" i="19"/>
  <c r="N194" i="19"/>
  <c r="N260" i="19"/>
  <c r="N201" i="19"/>
  <c r="N110" i="19"/>
  <c r="O110" i="19" s="1"/>
  <c r="P110" i="19" s="1"/>
  <c r="N165" i="19"/>
  <c r="N136" i="19"/>
  <c r="O136" i="19" s="1"/>
  <c r="P136" i="19" s="1"/>
  <c r="N173" i="19"/>
  <c r="O173" i="19" s="1"/>
  <c r="P173" i="19" s="1"/>
  <c r="N281" i="19"/>
  <c r="O281" i="19" s="1"/>
  <c r="P281" i="19" s="1"/>
  <c r="N273" i="19"/>
  <c r="O273" i="19" s="1"/>
  <c r="P273" i="19" s="1"/>
  <c r="N129" i="19"/>
  <c r="N187" i="19"/>
  <c r="N248" i="19"/>
  <c r="N82" i="19"/>
  <c r="N39" i="19"/>
  <c r="N54" i="19"/>
  <c r="O54" i="19" s="1"/>
  <c r="P54" i="19" s="1"/>
  <c r="N250" i="19"/>
  <c r="O250" i="19" s="1"/>
  <c r="P250" i="19" s="1"/>
  <c r="N190" i="19"/>
  <c r="N13" i="19"/>
  <c r="O13" i="19" s="1"/>
  <c r="P13" i="19" s="1"/>
  <c r="N175" i="19"/>
  <c r="O175" i="19" s="1"/>
  <c r="P175" i="19" s="1"/>
  <c r="N199" i="19"/>
  <c r="N81" i="19"/>
  <c r="O81" i="19" s="1"/>
  <c r="P81" i="19" s="1"/>
  <c r="N32" i="19"/>
  <c r="O32" i="19" s="1"/>
  <c r="P32" i="19" s="1"/>
  <c r="N226" i="19"/>
  <c r="O226" i="19" s="1"/>
  <c r="P226" i="19" s="1"/>
  <c r="N161" i="19"/>
  <c r="O161" i="19" s="1"/>
  <c r="P161" i="19" s="1"/>
  <c r="N155" i="19"/>
  <c r="N290" i="19"/>
  <c r="N150" i="19"/>
  <c r="O150" i="19" s="1"/>
  <c r="P150" i="19" s="1"/>
  <c r="N17" i="19"/>
  <c r="N65" i="19"/>
  <c r="N318" i="19"/>
  <c r="O318" i="19" s="1"/>
  <c r="P318" i="19" s="1"/>
  <c r="N107" i="19"/>
  <c r="O107" i="19" s="1"/>
  <c r="P107" i="19" s="1"/>
  <c r="N93" i="19"/>
  <c r="N20" i="19"/>
  <c r="O20" i="19" s="1"/>
  <c r="P20" i="19" s="1"/>
  <c r="N315" i="19"/>
  <c r="O315" i="19" s="1"/>
  <c r="P315" i="19" s="1"/>
  <c r="N61" i="19"/>
  <c r="O61" i="19" s="1"/>
  <c r="P61" i="19" s="1"/>
  <c r="N145" i="19"/>
  <c r="N217" i="19"/>
  <c r="O217" i="19" s="1"/>
  <c r="P217" i="19" s="1"/>
  <c r="N245" i="19"/>
  <c r="O245" i="19" s="1"/>
  <c r="P245" i="19" s="1"/>
  <c r="N224" i="19"/>
  <c r="N95" i="19"/>
  <c r="O95" i="19" s="1"/>
  <c r="P95" i="19" s="1"/>
  <c r="N220" i="19"/>
  <c r="N76" i="19"/>
  <c r="O76" i="19" s="1"/>
  <c r="P76" i="19" s="1"/>
  <c r="N284" i="19"/>
  <c r="O284" i="19" s="1"/>
  <c r="P284" i="19" s="1"/>
  <c r="N100" i="19"/>
  <c r="O100" i="19" s="1"/>
  <c r="P100" i="19" s="1"/>
  <c r="N167" i="19"/>
  <c r="N293" i="19"/>
  <c r="O293" i="19" s="1"/>
  <c r="P293" i="19" s="1"/>
  <c r="N70" i="19"/>
  <c r="O70" i="19" s="1"/>
  <c r="P70" i="19" s="1"/>
  <c r="N254" i="19"/>
  <c r="N14" i="19"/>
  <c r="N176" i="19"/>
  <c r="N297" i="19"/>
  <c r="N105" i="19"/>
  <c r="N26" i="19"/>
  <c r="N227" i="19"/>
  <c r="N88" i="19"/>
  <c r="N71" i="19"/>
  <c r="O71" i="19" s="1"/>
  <c r="P71" i="19" s="1"/>
  <c r="N179" i="19"/>
  <c r="O179" i="19" s="1"/>
  <c r="P179" i="19" s="1"/>
  <c r="N191" i="19"/>
  <c r="N156" i="19"/>
  <c r="N302" i="19"/>
  <c r="N31" i="19"/>
  <c r="O31" i="19" s="1"/>
  <c r="P31" i="19" s="1"/>
  <c r="N112" i="19"/>
  <c r="O112" i="19" s="1"/>
  <c r="P112" i="19" s="1"/>
  <c r="N274" i="19"/>
  <c r="O274" i="19" s="1"/>
  <c r="P274" i="19" s="1"/>
  <c r="N200" i="19"/>
  <c r="N307" i="19"/>
  <c r="O307" i="19" s="1"/>
  <c r="P307" i="19" s="1"/>
  <c r="N233" i="19"/>
  <c r="N50" i="19"/>
  <c r="O50" i="19" s="1"/>
  <c r="P50" i="19" s="1"/>
  <c r="N298" i="19"/>
  <c r="N164" i="19"/>
  <c r="N181" i="19"/>
  <c r="N188" i="19"/>
  <c r="O188" i="19" s="1"/>
  <c r="P188" i="19" s="1"/>
  <c r="N42" i="19"/>
  <c r="O42" i="19" s="1"/>
  <c r="P42" i="19" s="1"/>
  <c r="N94" i="19"/>
  <c r="N229" i="19"/>
  <c r="N10" i="19"/>
  <c r="O10" i="19" s="1"/>
  <c r="P10" i="19" s="1"/>
  <c r="N255" i="19"/>
  <c r="N171" i="19"/>
  <c r="O171" i="19" s="1"/>
  <c r="P171" i="19" s="1"/>
  <c r="N214" i="19"/>
  <c r="O214" i="19" s="1"/>
  <c r="P214" i="19" s="1"/>
  <c r="N180" i="19"/>
  <c r="O180" i="19" s="1"/>
  <c r="P180" i="19" s="1"/>
  <c r="N280" i="19"/>
  <c r="N259" i="19"/>
  <c r="N163" i="19"/>
  <c r="O163" i="19" s="1"/>
  <c r="P163" i="19" s="1"/>
  <c r="N235" i="19"/>
  <c r="O235" i="19" s="1"/>
  <c r="P235" i="19" s="1"/>
  <c r="N238" i="19"/>
  <c r="O238" i="19" s="1"/>
  <c r="P238" i="19" s="1"/>
  <c r="N152" i="19"/>
  <c r="N36" i="19"/>
  <c r="O36" i="19" s="1"/>
  <c r="P36" i="19" s="1"/>
  <c r="N60" i="19"/>
  <c r="O60" i="19" s="1"/>
  <c r="P60" i="19" s="1"/>
  <c r="N29" i="19"/>
  <c r="N133" i="19"/>
  <c r="N287" i="19"/>
  <c r="O287" i="19" s="1"/>
  <c r="P287" i="19" s="1"/>
  <c r="N40" i="19"/>
  <c r="O40" i="19" s="1"/>
  <c r="P40" i="19" s="1"/>
  <c r="N64" i="19"/>
  <c r="N86" i="19"/>
  <c r="N252" i="19"/>
  <c r="O252" i="19" s="1"/>
  <c r="P252" i="19" s="1"/>
  <c r="N19" i="19"/>
  <c r="N157" i="19"/>
  <c r="N35" i="19"/>
  <c r="O35" i="19" s="1"/>
  <c r="P35" i="19" s="1"/>
  <c r="N97" i="19"/>
  <c r="N185" i="19"/>
  <c r="O185" i="19" s="1"/>
  <c r="P185" i="19" s="1"/>
  <c r="N139" i="19"/>
  <c r="O139" i="19" s="1"/>
  <c r="P139" i="19" s="1"/>
  <c r="N186" i="19"/>
  <c r="O186" i="19" s="1"/>
  <c r="P186" i="19" s="1"/>
  <c r="N256" i="19"/>
  <c r="O256" i="19" s="1"/>
  <c r="P256" i="19" s="1"/>
  <c r="N313" i="19"/>
  <c r="O313" i="19" s="1"/>
  <c r="P313" i="19" s="1"/>
  <c r="N5" i="19"/>
  <c r="O5" i="19" s="1"/>
  <c r="P5" i="19" s="1"/>
  <c r="N128" i="19"/>
  <c r="O128" i="19" s="1"/>
  <c r="P128" i="19" s="1"/>
  <c r="N247" i="19"/>
  <c r="O247" i="19" s="1"/>
  <c r="P247" i="19" s="1"/>
  <c r="N131" i="19"/>
  <c r="O131" i="19" s="1"/>
  <c r="P131" i="19" s="1"/>
  <c r="N264" i="19"/>
  <c r="O264" i="19" s="1"/>
  <c r="P264" i="19" s="1"/>
  <c r="N74" i="19"/>
  <c r="O74" i="19" s="1"/>
  <c r="P74" i="19" s="1"/>
  <c r="N261" i="19"/>
  <c r="N84" i="19"/>
  <c r="N183" i="19"/>
  <c r="N288" i="19"/>
  <c r="O288" i="19" s="1"/>
  <c r="P288" i="19" s="1"/>
  <c r="N15" i="19"/>
  <c r="N55" i="19"/>
  <c r="N45" i="19"/>
  <c r="N27" i="19"/>
  <c r="N249" i="19"/>
  <c r="O249" i="19" s="1"/>
  <c r="P249" i="19" s="1"/>
  <c r="N109" i="19"/>
  <c r="N294" i="19"/>
  <c r="O294" i="19" s="1"/>
  <c r="P294" i="19" s="1"/>
  <c r="N3" i="19" l="1" a="1"/>
  <c r="N3" i="19" s="1"/>
  <c r="P3" i="19" l="1" a="1"/>
  <c r="P3" i="19" s="1"/>
  <c r="O3" i="19" a="1"/>
  <c r="O3" i="19" s="1"/>
  <c r="Q315" i="19" l="1"/>
  <c r="R315" i="19" s="1"/>
  <c r="S315" i="19" s="1"/>
  <c r="Q230" i="19"/>
  <c r="R230" i="19" s="1"/>
  <c r="S230" i="19" s="1"/>
  <c r="Q106" i="19"/>
  <c r="R106" i="19" s="1"/>
  <c r="S106" i="19" s="1"/>
  <c r="Q274" i="19"/>
  <c r="R274" i="19" s="1"/>
  <c r="S274" i="19" s="1"/>
  <c r="Q267" i="19"/>
  <c r="R267" i="19" s="1"/>
  <c r="S267" i="19" s="1"/>
  <c r="Q238" i="19"/>
  <c r="R238" i="19" s="1"/>
  <c r="S238" i="19" s="1"/>
  <c r="Q132" i="19"/>
  <c r="R132" i="19" s="1"/>
  <c r="S132" i="19" s="1"/>
  <c r="Q223" i="19"/>
  <c r="R223" i="19" s="1"/>
  <c r="S223" i="19" s="1"/>
  <c r="Q115" i="19"/>
  <c r="R115" i="19" s="1"/>
  <c r="S115" i="19" s="1"/>
  <c r="Q19" i="19"/>
  <c r="Q229" i="19"/>
  <c r="Q11" i="19"/>
  <c r="R11" i="19" s="1"/>
  <c r="S11" i="19" s="1"/>
  <c r="Q312" i="19"/>
  <c r="Q44" i="19"/>
  <c r="R44" i="19" s="1"/>
  <c r="S44" i="19" s="1"/>
  <c r="Q179" i="19"/>
  <c r="R179" i="19" s="1"/>
  <c r="S179" i="19" s="1"/>
  <c r="Q194" i="19"/>
  <c r="Q87" i="19"/>
  <c r="R87" i="19" s="1"/>
  <c r="S87" i="19" s="1"/>
  <c r="Q126" i="19"/>
  <c r="R126" i="19" s="1"/>
  <c r="S126" i="19" s="1"/>
  <c r="Q60" i="19"/>
  <c r="R60" i="19" s="1"/>
  <c r="S60" i="19" s="1"/>
  <c r="Q258" i="19"/>
  <c r="R258" i="19" s="1"/>
  <c r="S258" i="19" s="1"/>
  <c r="Q287" i="19"/>
  <c r="R287" i="19" s="1"/>
  <c r="S287" i="19" s="1"/>
  <c r="Q289" i="19"/>
  <c r="Q185" i="19"/>
  <c r="R185" i="19" s="1"/>
  <c r="S185" i="19" s="1"/>
  <c r="Q236" i="19"/>
  <c r="Q130" i="19"/>
  <c r="R130" i="19" s="1"/>
  <c r="S130" i="19" s="1"/>
  <c r="Q55" i="19"/>
  <c r="Q51" i="19"/>
  <c r="R51" i="19" s="1"/>
  <c r="S51" i="19" s="1"/>
  <c r="Q101" i="19"/>
  <c r="R101" i="19" s="1"/>
  <c r="S101" i="19" s="1"/>
  <c r="Q25" i="19"/>
  <c r="R25" i="19" s="1"/>
  <c r="S25" i="19" s="1"/>
  <c r="Q124" i="19"/>
  <c r="R124" i="19" s="1"/>
  <c r="S124" i="19" s="1"/>
  <c r="Q68" i="19"/>
  <c r="R68" i="19" s="1"/>
  <c r="S68" i="19" s="1"/>
  <c r="Q70" i="19"/>
  <c r="R70" i="19" s="1"/>
  <c r="S70" i="19" s="1"/>
  <c r="Q54" i="19"/>
  <c r="R54" i="19" s="1"/>
  <c r="S54" i="19" s="1"/>
  <c r="Q62" i="19"/>
  <c r="Q237" i="19"/>
  <c r="R237" i="19" s="1"/>
  <c r="S237" i="19" s="1"/>
  <c r="Q245" i="19"/>
  <c r="R245" i="19" s="1"/>
  <c r="S245" i="19" s="1"/>
  <c r="Q128" i="19"/>
  <c r="R128" i="19" s="1"/>
  <c r="S128" i="19" s="1"/>
  <c r="Q211" i="19"/>
  <c r="Q57" i="19"/>
  <c r="Q202" i="19"/>
  <c r="Q69" i="19"/>
  <c r="Q268" i="19"/>
  <c r="R268" i="19" s="1"/>
  <c r="S268" i="19" s="1"/>
  <c r="Q111" i="19"/>
  <c r="Q288" i="19"/>
  <c r="R288" i="19" s="1"/>
  <c r="S288" i="19" s="1"/>
  <c r="Q117" i="19"/>
  <c r="Q65" i="19"/>
  <c r="Q256" i="19"/>
  <c r="R256" i="19" s="1"/>
  <c r="S256" i="19" s="1"/>
  <c r="Q155" i="19"/>
  <c r="Q153" i="19"/>
  <c r="R153" i="19" s="1"/>
  <c r="S153" i="19" s="1"/>
  <c r="Q247" i="19"/>
  <c r="R247" i="19" s="1"/>
  <c r="S247" i="19" s="1"/>
  <c r="Q279" i="19"/>
  <c r="Q86" i="19"/>
  <c r="Q138" i="19"/>
  <c r="Q156" i="19"/>
  <c r="Q224" i="19"/>
  <c r="Q188" i="19"/>
  <c r="R188" i="19" s="1"/>
  <c r="S188" i="19" s="1"/>
  <c r="Q118" i="19"/>
  <c r="Q84" i="19"/>
  <c r="Q121" i="19"/>
  <c r="Q234" i="19"/>
  <c r="Q197" i="19"/>
  <c r="Q192" i="19"/>
  <c r="R192" i="19" s="1"/>
  <c r="S192" i="19" s="1"/>
  <c r="Q266" i="19"/>
  <c r="R266" i="19" s="1"/>
  <c r="S266" i="19" s="1"/>
  <c r="Q150" i="19"/>
  <c r="R150" i="19" s="1"/>
  <c r="S150" i="19" s="1"/>
  <c r="Q293" i="19"/>
  <c r="R293" i="19" s="1"/>
  <c r="S293" i="19" s="1"/>
  <c r="Q82" i="19"/>
  <c r="Q259" i="19"/>
  <c r="Q31" i="19"/>
  <c r="R31" i="19" s="1"/>
  <c r="S31" i="19" s="1"/>
  <c r="Q253" i="19"/>
  <c r="R253" i="19" s="1"/>
  <c r="S253" i="19" s="1"/>
  <c r="Q240" i="19"/>
  <c r="R240" i="19" s="1"/>
  <c r="S240" i="19" s="1"/>
  <c r="Q64" i="19"/>
  <c r="Q186" i="19"/>
  <c r="R186" i="19" s="1"/>
  <c r="S186" i="19" s="1"/>
  <c r="Q18" i="19"/>
  <c r="Q306" i="19"/>
  <c r="Q168" i="19"/>
  <c r="Q33" i="19"/>
  <c r="Q103" i="19"/>
  <c r="R103" i="19" s="1"/>
  <c r="S103" i="19" s="1"/>
  <c r="Q47" i="19"/>
  <c r="R47" i="19" s="1"/>
  <c r="S47" i="19" s="1"/>
  <c r="Q135" i="19"/>
  <c r="R135" i="19" s="1"/>
  <c r="S135" i="19" s="1"/>
  <c r="Q292" i="19"/>
  <c r="Q316" i="19"/>
  <c r="R316" i="19" s="1"/>
  <c r="S316" i="19" s="1"/>
  <c r="Q108" i="19"/>
  <c r="R108" i="19" s="1"/>
  <c r="S108" i="19" s="1"/>
  <c r="Q7" i="19"/>
  <c r="Q196" i="19"/>
  <c r="R196" i="19" s="1"/>
  <c r="S196" i="19" s="1"/>
  <c r="Q17" i="19"/>
  <c r="Q281" i="19"/>
  <c r="R281" i="19" s="1"/>
  <c r="S281" i="19" s="1"/>
  <c r="Q248" i="19"/>
  <c r="Q29" i="19"/>
  <c r="Q10" i="19"/>
  <c r="R10" i="19" s="1"/>
  <c r="S10" i="19" s="1"/>
  <c r="Q270" i="19"/>
  <c r="R270" i="19" s="1"/>
  <c r="S270" i="19" s="1"/>
  <c r="Q165" i="19"/>
  <c r="Q61" i="19"/>
  <c r="R61" i="19" s="1"/>
  <c r="S61" i="19" s="1"/>
  <c r="Q131" i="19"/>
  <c r="R131" i="19" s="1"/>
  <c r="S131" i="19" s="1"/>
  <c r="Q134" i="19"/>
  <c r="Q227" i="19"/>
  <c r="Q52" i="19"/>
  <c r="R52" i="19" s="1"/>
  <c r="S52" i="19" s="1"/>
  <c r="Q93" i="19"/>
  <c r="Q123" i="19"/>
  <c r="R123" i="19" s="1"/>
  <c r="S123" i="19" s="1"/>
  <c r="Q222" i="19"/>
  <c r="R222" i="19" s="1"/>
  <c r="S222" i="19" s="1"/>
  <c r="Q280" i="19"/>
  <c r="Q113" i="19"/>
  <c r="R113" i="19" s="1"/>
  <c r="S113" i="19" s="1"/>
  <c r="Q170" i="19"/>
  <c r="R170" i="19" s="1"/>
  <c r="S170" i="19" s="1"/>
  <c r="Q73" i="19"/>
  <c r="R73" i="19" s="1"/>
  <c r="S73" i="19" s="1"/>
  <c r="Q85" i="19"/>
  <c r="R85" i="19" s="1"/>
  <c r="S85" i="19" s="1"/>
  <c r="Q139" i="19"/>
  <c r="R139" i="19" s="1"/>
  <c r="S139" i="19" s="1"/>
  <c r="Q213" i="19"/>
  <c r="Q42" i="19"/>
  <c r="R42" i="19" s="1"/>
  <c r="S42" i="19" s="1"/>
  <c r="Q30" i="19"/>
  <c r="R30" i="19" s="1"/>
  <c r="S30" i="19" s="1"/>
  <c r="Q242" i="19"/>
  <c r="Q78" i="19"/>
  <c r="R78" i="19" s="1"/>
  <c r="S78" i="19" s="1"/>
  <c r="Q36" i="19"/>
  <c r="R36" i="19" s="1"/>
  <c r="S36" i="19" s="1"/>
  <c r="Q214" i="19"/>
  <c r="R214" i="19" s="1"/>
  <c r="S214" i="19" s="1"/>
  <c r="Q286" i="19"/>
  <c r="R286" i="19" s="1"/>
  <c r="S286" i="19" s="1"/>
  <c r="Q66" i="19"/>
  <c r="R66" i="19" s="1"/>
  <c r="S66" i="19" s="1"/>
  <c r="Q276" i="19"/>
  <c r="Q210" i="19"/>
  <c r="R210" i="19" s="1"/>
  <c r="S210" i="19" s="1"/>
  <c r="Q120" i="19"/>
  <c r="Q295" i="19"/>
  <c r="R295" i="19" s="1"/>
  <c r="S295" i="19" s="1"/>
  <c r="Q195" i="19"/>
  <c r="Q80" i="19"/>
  <c r="R80" i="19" s="1"/>
  <c r="S80" i="19" s="1"/>
  <c r="Q5" i="19"/>
  <c r="R5" i="19" s="1"/>
  <c r="S5" i="19" s="1"/>
  <c r="Q250" i="19"/>
  <c r="R250" i="19" s="1"/>
  <c r="S250" i="19" s="1"/>
  <c r="Q133" i="19"/>
  <c r="Q251" i="19"/>
  <c r="Q119" i="19"/>
  <c r="R119" i="19" s="1"/>
  <c r="S119" i="19" s="1"/>
  <c r="Q285" i="19"/>
  <c r="R285" i="19" s="1"/>
  <c r="S285" i="19" s="1"/>
  <c r="Q143" i="19"/>
  <c r="Q159" i="19"/>
  <c r="R159" i="19" s="1"/>
  <c r="S159" i="19" s="1"/>
  <c r="Q125" i="19"/>
  <c r="R125" i="19" s="1"/>
  <c r="S125" i="19" s="1"/>
  <c r="Q6" i="19"/>
  <c r="R6" i="19" s="1"/>
  <c r="S6" i="19" s="1"/>
  <c r="Q35" i="19"/>
  <c r="R35" i="19" s="1"/>
  <c r="S35" i="19" s="1"/>
  <c r="Q265" i="19"/>
  <c r="R265" i="19" s="1"/>
  <c r="S265" i="19" s="1"/>
  <c r="Q63" i="19"/>
  <c r="R63" i="19" s="1"/>
  <c r="S63" i="19" s="1"/>
  <c r="Q241" i="19"/>
  <c r="R241" i="19" s="1"/>
  <c r="S241" i="19" s="1"/>
  <c r="Q21" i="19"/>
  <c r="R21" i="19" s="1"/>
  <c r="S21" i="19" s="1"/>
  <c r="Q48" i="19"/>
  <c r="R48" i="19" s="1"/>
  <c r="S48" i="19" s="1"/>
  <c r="Q142" i="19"/>
  <c r="R142" i="19" s="1"/>
  <c r="S142" i="19" s="1"/>
  <c r="Q110" i="19"/>
  <c r="R110" i="19" s="1"/>
  <c r="S110" i="19" s="1"/>
  <c r="Q16" i="19"/>
  <c r="R16" i="19" s="1"/>
  <c r="S16" i="19" s="1"/>
  <c r="Q72" i="19"/>
  <c r="R72" i="19" s="1"/>
  <c r="S72" i="19" s="1"/>
  <c r="Q38" i="19"/>
  <c r="Q27" i="19"/>
  <c r="Q145" i="19"/>
  <c r="Q107" i="19"/>
  <c r="R107" i="19" s="1"/>
  <c r="S107" i="19" s="1"/>
  <c r="Q144" i="19"/>
  <c r="Q205" i="19"/>
  <c r="R205" i="19" s="1"/>
  <c r="S205" i="19" s="1"/>
  <c r="Q204" i="19"/>
  <c r="R204" i="19" s="1"/>
  <c r="S204" i="19" s="1"/>
  <c r="Q218" i="19"/>
  <c r="Q228" i="19"/>
  <c r="Q102" i="19"/>
  <c r="R102" i="19" s="1"/>
  <c r="S102" i="19" s="1"/>
  <c r="Q275" i="19"/>
  <c r="Q221" i="19"/>
  <c r="R221" i="19" s="1"/>
  <c r="S221" i="19" s="1"/>
  <c r="Q137" i="19"/>
  <c r="R137" i="19" s="1"/>
  <c r="S137" i="19" s="1"/>
  <c r="Q79" i="19"/>
  <c r="R79" i="19" s="1"/>
  <c r="S79" i="19" s="1"/>
  <c r="Q215" i="19"/>
  <c r="Q37" i="19"/>
  <c r="Q32" i="19"/>
  <c r="R32" i="19" s="1"/>
  <c r="S32" i="19" s="1"/>
  <c r="Q71" i="19"/>
  <c r="R71" i="19" s="1"/>
  <c r="S71" i="19" s="1"/>
  <c r="Q136" i="19"/>
  <c r="R136" i="19" s="1"/>
  <c r="S136" i="19" s="1"/>
  <c r="Q284" i="19"/>
  <c r="R284" i="19" s="1"/>
  <c r="S284" i="19" s="1"/>
  <c r="Q13" i="19"/>
  <c r="R13" i="19" s="1"/>
  <c r="S13" i="19" s="1"/>
  <c r="Q191" i="19"/>
  <c r="Q233" i="19"/>
  <c r="Q277" i="19"/>
  <c r="R277" i="19" s="1"/>
  <c r="S277" i="19" s="1"/>
  <c r="Q184" i="19"/>
  <c r="Q105" i="19"/>
  <c r="Q206" i="19"/>
  <c r="R206" i="19" s="1"/>
  <c r="S206" i="19" s="1"/>
  <c r="Q219" i="19"/>
  <c r="R219" i="19" s="1"/>
  <c r="S219" i="19" s="1"/>
  <c r="Q146" i="19"/>
  <c r="R146" i="19" s="1"/>
  <c r="S146" i="19" s="1"/>
  <c r="Q24" i="19"/>
  <c r="Q181" i="19"/>
  <c r="Q50" i="19"/>
  <c r="R50" i="19" s="1"/>
  <c r="S50" i="19" s="1"/>
  <c r="Q100" i="19"/>
  <c r="R100" i="19" s="1"/>
  <c r="S100" i="19" s="1"/>
  <c r="Q246" i="19"/>
  <c r="Q154" i="19"/>
  <c r="R154" i="19" s="1"/>
  <c r="S154" i="19" s="1"/>
  <c r="Q231" i="19"/>
  <c r="R231" i="19" s="1"/>
  <c r="S231" i="19" s="1"/>
  <c r="Q22" i="19"/>
  <c r="Q15" i="19"/>
  <c r="Q20" i="19"/>
  <c r="R20" i="19" s="1"/>
  <c r="S20" i="19" s="1"/>
  <c r="Q76" i="19"/>
  <c r="R76" i="19" s="1"/>
  <c r="S76" i="19" s="1"/>
  <c r="Q157" i="19"/>
  <c r="Q158" i="19"/>
  <c r="Q177" i="19"/>
  <c r="R177" i="19" s="1"/>
  <c r="S177" i="19" s="1"/>
  <c r="Q114" i="19"/>
  <c r="R114" i="19" s="1"/>
  <c r="S114" i="19" s="1"/>
  <c r="Q67" i="19"/>
  <c r="R67" i="19" s="1"/>
  <c r="S67" i="19" s="1"/>
  <c r="Q209" i="19"/>
  <c r="R209" i="19" s="1"/>
  <c r="S209" i="19" s="1"/>
  <c r="Q309" i="19"/>
  <c r="R309" i="19" s="1"/>
  <c r="S309" i="19" s="1"/>
  <c r="Q239" i="19"/>
  <c r="R239" i="19" s="1"/>
  <c r="S239" i="19" s="1"/>
  <c r="Q303" i="19"/>
  <c r="R303" i="19" s="1"/>
  <c r="S303" i="19" s="1"/>
  <c r="Q74" i="19"/>
  <c r="R74" i="19" s="1"/>
  <c r="S74" i="19" s="1"/>
  <c r="Q199" i="19"/>
  <c r="Q313" i="19"/>
  <c r="R313" i="19" s="1"/>
  <c r="S313" i="19" s="1"/>
  <c r="Q272" i="19"/>
  <c r="R272" i="19" s="1"/>
  <c r="S272" i="19" s="1"/>
  <c r="Q311" i="19"/>
  <c r="R311" i="19" s="1"/>
  <c r="S311" i="19" s="1"/>
  <c r="Q252" i="19"/>
  <c r="R252" i="19" s="1"/>
  <c r="S252" i="19" s="1"/>
  <c r="Q307" i="19"/>
  <c r="R307" i="19" s="1"/>
  <c r="S307" i="19" s="1"/>
  <c r="Q291" i="19"/>
  <c r="R291" i="19" s="1"/>
  <c r="S291" i="19" s="1"/>
  <c r="Q162" i="19"/>
  <c r="Q140" i="19"/>
  <c r="Q122" i="19"/>
  <c r="Q58" i="19"/>
  <c r="Q193" i="19"/>
  <c r="Q232" i="19"/>
  <c r="Q254" i="19"/>
  <c r="Q163" i="19"/>
  <c r="R163" i="19" s="1"/>
  <c r="S163" i="19" s="1"/>
  <c r="Q180" i="19"/>
  <c r="R180" i="19" s="1"/>
  <c r="S180" i="19" s="1"/>
  <c r="Q81" i="19"/>
  <c r="R81" i="19" s="1"/>
  <c r="S81" i="19" s="1"/>
  <c r="Q166" i="19"/>
  <c r="R166" i="19" s="1"/>
  <c r="S166" i="19" s="1"/>
  <c r="Q149" i="19"/>
  <c r="R149" i="19" s="1"/>
  <c r="S149" i="19" s="1"/>
  <c r="Q308" i="19"/>
  <c r="R308" i="19" s="1"/>
  <c r="S308" i="19" s="1"/>
  <c r="Q294" i="19"/>
  <c r="R294" i="19" s="1"/>
  <c r="S294" i="19" s="1"/>
  <c r="Q271" i="19"/>
  <c r="R271" i="19" s="1"/>
  <c r="S271" i="19" s="1"/>
  <c r="Q46" i="19"/>
  <c r="R46" i="19" s="1"/>
  <c r="S46" i="19" s="1"/>
  <c r="Q176" i="19"/>
  <c r="Q175" i="19"/>
  <c r="R175" i="19" s="1"/>
  <c r="S175" i="19" s="1"/>
  <c r="Q235" i="19"/>
  <c r="R235" i="19" s="1"/>
  <c r="S235" i="19" s="1"/>
  <c r="Q94" i="19"/>
  <c r="Q244" i="19"/>
  <c r="R244" i="19" s="1"/>
  <c r="S244" i="19" s="1"/>
  <c r="Q297" i="19"/>
  <c r="Q151" i="19"/>
  <c r="R151" i="19" s="1"/>
  <c r="S151" i="19" s="1"/>
  <c r="Q174" i="19"/>
  <c r="R174" i="19" s="1"/>
  <c r="S174" i="19" s="1"/>
  <c r="Q318" i="19"/>
  <c r="R318" i="19" s="1"/>
  <c r="S318" i="19" s="1"/>
  <c r="Q99" i="19"/>
  <c r="Q257" i="19"/>
  <c r="Q300" i="19"/>
  <c r="R300" i="19" s="1"/>
  <c r="S300" i="19" s="1"/>
  <c r="Q91" i="19"/>
  <c r="R91" i="19" s="1"/>
  <c r="S91" i="19" s="1"/>
  <c r="Q263" i="19"/>
  <c r="Q75" i="19"/>
  <c r="R75" i="19" s="1"/>
  <c r="S75" i="19" s="1"/>
  <c r="Q141" i="19"/>
  <c r="Q95" i="19"/>
  <c r="R95" i="19" s="1"/>
  <c r="S95" i="19" s="1"/>
  <c r="Q41" i="19"/>
  <c r="R41" i="19" s="1"/>
  <c r="S41" i="19" s="1"/>
  <c r="Q160" i="19"/>
  <c r="Q273" i="19"/>
  <c r="R273" i="19" s="1"/>
  <c r="S273" i="19" s="1"/>
  <c r="Q104" i="19"/>
  <c r="R104" i="19" s="1"/>
  <c r="S104" i="19" s="1"/>
  <c r="Q152" i="19"/>
  <c r="Q89" i="19"/>
  <c r="Q190" i="19"/>
  <c r="Q201" i="19"/>
  <c r="Q269" i="19"/>
  <c r="R269" i="19" s="1"/>
  <c r="S269" i="19" s="1"/>
  <c r="Q187" i="19"/>
  <c r="Q217" i="19"/>
  <c r="R217" i="19" s="1"/>
  <c r="S217" i="19" s="1"/>
  <c r="Q283" i="19"/>
  <c r="Q8" i="19"/>
  <c r="R8" i="19" s="1"/>
  <c r="S8" i="19" s="1"/>
  <c r="Q14" i="19"/>
  <c r="Q304" i="19"/>
  <c r="Q243" i="19"/>
  <c r="R243" i="19" s="1"/>
  <c r="S243" i="19" s="1"/>
  <c r="Q40" i="19"/>
  <c r="R40" i="19" s="1"/>
  <c r="S40" i="19" s="1"/>
  <c r="Q4" i="19"/>
  <c r="R4" i="19" s="1"/>
  <c r="S4" i="19" s="1"/>
  <c r="Q290" i="19"/>
  <c r="Q296" i="19"/>
  <c r="R296" i="19" s="1"/>
  <c r="S296" i="19" s="1"/>
  <c r="Q317" i="19"/>
  <c r="Q112" i="19"/>
  <c r="R112" i="19" s="1"/>
  <c r="S112" i="19" s="1"/>
  <c r="Q98" i="19"/>
  <c r="Q207" i="19"/>
  <c r="Q28" i="19"/>
  <c r="Q178" i="19"/>
  <c r="R178" i="19" s="1"/>
  <c r="S178" i="19" s="1"/>
  <c r="Q189" i="19"/>
  <c r="Q147" i="19"/>
  <c r="R147" i="19" s="1"/>
  <c r="S147" i="19" s="1"/>
  <c r="Q182" i="19"/>
  <c r="Q56" i="19"/>
  <c r="R56" i="19" s="1"/>
  <c r="S56" i="19" s="1"/>
  <c r="Q34" i="19"/>
  <c r="Q23" i="19"/>
  <c r="Q226" i="19"/>
  <c r="R226" i="19" s="1"/>
  <c r="S226" i="19" s="1"/>
  <c r="Q161" i="19"/>
  <c r="R161" i="19" s="1"/>
  <c r="S161" i="19" s="1"/>
  <c r="Q39" i="19"/>
  <c r="Q171" i="19"/>
  <c r="R171" i="19" s="1"/>
  <c r="S171" i="19" s="1"/>
  <c r="Q260" i="19"/>
  <c r="Q164" i="19"/>
  <c r="Q305" i="19"/>
  <c r="Q49" i="19"/>
  <c r="Q169" i="19"/>
  <c r="Q96" i="19"/>
  <c r="Q97" i="19"/>
  <c r="Q26" i="19"/>
  <c r="Q183" i="19"/>
  <c r="Q301" i="19"/>
  <c r="R301" i="19" s="1"/>
  <c r="S301" i="19" s="1"/>
  <c r="Q302" i="19"/>
  <c r="Q278" i="19"/>
  <c r="Q299" i="19"/>
  <c r="Q249" i="19"/>
  <c r="R249" i="19" s="1"/>
  <c r="S249" i="19" s="1"/>
  <c r="Q208" i="19"/>
  <c r="R208" i="19" s="1"/>
  <c r="S208" i="19" s="1"/>
  <c r="Q173" i="19"/>
  <c r="R173" i="19" s="1"/>
  <c r="S173" i="19" s="1"/>
  <c r="Q298" i="19"/>
  <c r="Q310" i="19"/>
  <c r="Q172" i="19"/>
  <c r="R172" i="19" s="1"/>
  <c r="S172" i="19" s="1"/>
  <c r="Q220" i="19"/>
  <c r="Q198" i="19"/>
  <c r="Q92" i="19"/>
  <c r="Q203" i="19"/>
  <c r="R203" i="19" s="1"/>
  <c r="S203" i="19" s="1"/>
  <c r="Q9" i="19"/>
  <c r="Q216" i="19"/>
  <c r="Q212" i="19"/>
  <c r="R212" i="19" s="1"/>
  <c r="S212" i="19" s="1"/>
  <c r="Q282" i="19"/>
  <c r="Q200" i="19"/>
  <c r="Q90" i="19"/>
  <c r="R90" i="19" s="1"/>
  <c r="S90" i="19" s="1"/>
  <c r="Q167" i="19"/>
  <c r="Q88" i="19"/>
  <c r="Q264" i="19"/>
  <c r="R264" i="19" s="1"/>
  <c r="S264" i="19" s="1"/>
  <c r="Q314" i="19"/>
  <c r="R314" i="19" s="1"/>
  <c r="S314" i="19" s="1"/>
  <c r="Q43" i="19"/>
  <c r="R43" i="19" s="1"/>
  <c r="S43" i="19" s="1"/>
  <c r="Q109" i="19"/>
  <c r="Q45" i="19"/>
  <c r="Q83" i="19"/>
  <c r="R83" i="19" s="1"/>
  <c r="S83" i="19" s="1"/>
  <c r="Q148" i="19"/>
  <c r="R148" i="19" s="1"/>
  <c r="S148" i="19" s="1"/>
  <c r="Q12" i="19"/>
  <c r="Q77" i="19"/>
  <c r="Q262" i="19"/>
  <c r="R262" i="19" s="1"/>
  <c r="S262" i="19" s="1"/>
  <c r="Q53" i="19"/>
  <c r="R53" i="19" s="1"/>
  <c r="S53" i="19" s="1"/>
  <c r="Q127" i="19"/>
  <c r="R127" i="19" s="1"/>
  <c r="S127" i="19" s="1"/>
  <c r="Q261" i="19"/>
  <c r="Q129" i="19"/>
  <c r="Q225" i="19"/>
  <c r="Q59" i="19"/>
  <c r="Q116" i="19"/>
  <c r="R116" i="19" s="1"/>
  <c r="S116" i="19" s="1"/>
  <c r="Q255" i="19"/>
  <c r="Q3" i="19" l="1" a="1"/>
  <c r="Q3" i="19" s="1"/>
  <c r="S3" i="19" l="1" a="1"/>
  <c r="S3" i="19" s="1"/>
  <c r="R3" i="19" a="1"/>
  <c r="R3" i="19" s="1"/>
  <c r="T315" i="19" l="1"/>
  <c r="U315" i="19" s="1"/>
  <c r="V315" i="19" s="1"/>
  <c r="T230" i="19"/>
  <c r="U230" i="19" s="1"/>
  <c r="V230" i="19" s="1"/>
  <c r="T106" i="19"/>
  <c r="U106" i="19" s="1"/>
  <c r="V106" i="19" s="1"/>
  <c r="T94" i="19"/>
  <c r="T24" i="19"/>
  <c r="T9" i="19"/>
  <c r="T295" i="19"/>
  <c r="U295" i="19" s="1"/>
  <c r="V295" i="19" s="1"/>
  <c r="T248" i="19"/>
  <c r="T174" i="19"/>
  <c r="U174" i="19" s="1"/>
  <c r="V174" i="19" s="1"/>
  <c r="T258" i="19"/>
  <c r="U258" i="19" s="1"/>
  <c r="V258" i="19" s="1"/>
  <c r="T299" i="19"/>
  <c r="T313" i="19"/>
  <c r="U313" i="19" s="1"/>
  <c r="V313" i="19" s="1"/>
  <c r="T112" i="19"/>
  <c r="U112" i="19" s="1"/>
  <c r="V112" i="19" s="1"/>
  <c r="T255" i="19"/>
  <c r="T22" i="19"/>
  <c r="T221" i="19"/>
  <c r="U221" i="19" s="1"/>
  <c r="V221" i="19" s="1"/>
  <c r="T303" i="19"/>
  <c r="U303" i="19" s="1"/>
  <c r="V303" i="19" s="1"/>
  <c r="T289" i="19"/>
  <c r="T34" i="19"/>
  <c r="T198" i="19"/>
  <c r="T169" i="19"/>
  <c r="T147" i="19"/>
  <c r="U147" i="19" s="1"/>
  <c r="V147" i="19" s="1"/>
  <c r="T47" i="19"/>
  <c r="U47" i="19" s="1"/>
  <c r="V47" i="19" s="1"/>
  <c r="T163" i="19"/>
  <c r="U163" i="19" s="1"/>
  <c r="V163" i="19" s="1"/>
  <c r="T119" i="19"/>
  <c r="U119" i="19" s="1"/>
  <c r="V119" i="19" s="1"/>
  <c r="T148" i="19"/>
  <c r="U148" i="19" s="1"/>
  <c r="V148" i="19" s="1"/>
  <c r="T53" i="19"/>
  <c r="U53" i="19" s="1"/>
  <c r="V53" i="19" s="1"/>
  <c r="T284" i="19"/>
  <c r="U284" i="19" s="1"/>
  <c r="V284" i="19" s="1"/>
  <c r="T139" i="19"/>
  <c r="U139" i="19" s="1"/>
  <c r="V139" i="19" s="1"/>
  <c r="T138" i="19"/>
  <c r="T225" i="19"/>
  <c r="T250" i="19"/>
  <c r="U250" i="19" s="1"/>
  <c r="V250" i="19" s="1"/>
  <c r="T137" i="19"/>
  <c r="U137" i="19" s="1"/>
  <c r="V137" i="19" s="1"/>
  <c r="T307" i="19"/>
  <c r="U307" i="19" s="1"/>
  <c r="V307" i="19" s="1"/>
  <c r="T30" i="19"/>
  <c r="U30" i="19" s="1"/>
  <c r="V30" i="19" s="1"/>
  <c r="T136" i="19"/>
  <c r="U136" i="19" s="1"/>
  <c r="V136" i="19" s="1"/>
  <c r="T233" i="19"/>
  <c r="T91" i="19"/>
  <c r="U91" i="19" s="1"/>
  <c r="V91" i="19" s="1"/>
  <c r="T16" i="19"/>
  <c r="U16" i="19" s="1"/>
  <c r="V16" i="19" s="1"/>
  <c r="T177" i="19"/>
  <c r="U177" i="19" s="1"/>
  <c r="V177" i="19" s="1"/>
  <c r="T171" i="19"/>
  <c r="U171" i="19" s="1"/>
  <c r="V171" i="19" s="1"/>
  <c r="T256" i="19"/>
  <c r="U256" i="19" s="1"/>
  <c r="V256" i="19" s="1"/>
  <c r="T214" i="19"/>
  <c r="U214" i="19" s="1"/>
  <c r="V214" i="19" s="1"/>
  <c r="T58" i="19"/>
  <c r="T36" i="19"/>
  <c r="U36" i="19" s="1"/>
  <c r="V36" i="19" s="1"/>
  <c r="T95" i="19"/>
  <c r="U95" i="19" s="1"/>
  <c r="V95" i="19" s="1"/>
  <c r="T129" i="19"/>
  <c r="T279" i="19"/>
  <c r="T159" i="19"/>
  <c r="U159" i="19" s="1"/>
  <c r="V159" i="19" s="1"/>
  <c r="T56" i="19"/>
  <c r="U56" i="19" s="1"/>
  <c r="V56" i="19" s="1"/>
  <c r="T145" i="19"/>
  <c r="T113" i="19"/>
  <c r="U113" i="19" s="1"/>
  <c r="V113" i="19" s="1"/>
  <c r="T213" i="19"/>
  <c r="T243" i="19"/>
  <c r="U243" i="19" s="1"/>
  <c r="V243" i="19" s="1"/>
  <c r="T76" i="19"/>
  <c r="U76" i="19" s="1"/>
  <c r="V76" i="19" s="1"/>
  <c r="T298" i="19"/>
  <c r="T244" i="19"/>
  <c r="U244" i="19" s="1"/>
  <c r="V244" i="19" s="1"/>
  <c r="T172" i="19"/>
  <c r="U172" i="19" s="1"/>
  <c r="V172" i="19" s="1"/>
  <c r="T6" i="19"/>
  <c r="U6" i="19" s="1"/>
  <c r="V6" i="19" s="1"/>
  <c r="T98" i="19"/>
  <c r="T84" i="19"/>
  <c r="T59" i="19"/>
  <c r="T17" i="19"/>
  <c r="T292" i="19"/>
  <c r="T68" i="19"/>
  <c r="U68" i="19" s="1"/>
  <c r="V68" i="19" s="1"/>
  <c r="T128" i="19"/>
  <c r="U128" i="19" s="1"/>
  <c r="V128" i="19" s="1"/>
  <c r="T219" i="19"/>
  <c r="U219" i="19" s="1"/>
  <c r="V219" i="19" s="1"/>
  <c r="T108" i="19"/>
  <c r="U108" i="19" s="1"/>
  <c r="V108" i="19" s="1"/>
  <c r="T28" i="19"/>
  <c r="T153" i="19"/>
  <c r="U153" i="19" s="1"/>
  <c r="V153" i="19" s="1"/>
  <c r="T241" i="19"/>
  <c r="U241" i="19" s="1"/>
  <c r="V241" i="19" s="1"/>
  <c r="T50" i="19"/>
  <c r="U50" i="19" s="1"/>
  <c r="V50" i="19" s="1"/>
  <c r="T187" i="19"/>
  <c r="T149" i="19"/>
  <c r="U149" i="19" s="1"/>
  <c r="V149" i="19" s="1"/>
  <c r="T123" i="19"/>
  <c r="U123" i="19" s="1"/>
  <c r="V123" i="19" s="1"/>
  <c r="T197" i="19"/>
  <c r="T193" i="19"/>
  <c r="T31" i="19"/>
  <c r="U31" i="19" s="1"/>
  <c r="V31" i="19" s="1"/>
  <c r="T293" i="19"/>
  <c r="U293" i="19" s="1"/>
  <c r="V293" i="19" s="1"/>
  <c r="T82" i="19"/>
  <c r="T102" i="19"/>
  <c r="U102" i="19" s="1"/>
  <c r="V102" i="19" s="1"/>
  <c r="T207" i="19"/>
  <c r="T262" i="19"/>
  <c r="U262" i="19" s="1"/>
  <c r="V262" i="19" s="1"/>
  <c r="T309" i="19"/>
  <c r="U309" i="19" s="1"/>
  <c r="V309" i="19" s="1"/>
  <c r="T226" i="19"/>
  <c r="U226" i="19" s="1"/>
  <c r="V226" i="19" s="1"/>
  <c r="T93" i="19"/>
  <c r="T48" i="19"/>
  <c r="U48" i="19" s="1"/>
  <c r="V48" i="19" s="1"/>
  <c r="T65" i="19"/>
  <c r="T72" i="19"/>
  <c r="U72" i="19" s="1"/>
  <c r="V72" i="19" s="1"/>
  <c r="T175" i="19"/>
  <c r="U175" i="19" s="1"/>
  <c r="V175" i="19" s="1"/>
  <c r="T110" i="19"/>
  <c r="U110" i="19" s="1"/>
  <c r="V110" i="19" s="1"/>
  <c r="T275" i="19"/>
  <c r="T157" i="19"/>
  <c r="T121" i="19"/>
  <c r="T301" i="19"/>
  <c r="U301" i="19" s="1"/>
  <c r="V301" i="19" s="1"/>
  <c r="T306" i="19"/>
  <c r="T165" i="19"/>
  <c r="T142" i="19"/>
  <c r="U142" i="19" s="1"/>
  <c r="V142" i="19" s="1"/>
  <c r="T156" i="19"/>
  <c r="T12" i="19"/>
  <c r="T302" i="19"/>
  <c r="T267" i="19"/>
  <c r="U267" i="19" s="1"/>
  <c r="V267" i="19" s="1"/>
  <c r="T143" i="19"/>
  <c r="T208" i="19"/>
  <c r="U208" i="19" s="1"/>
  <c r="V208" i="19" s="1"/>
  <c r="T57" i="19"/>
  <c r="T203" i="19"/>
  <c r="U203" i="19" s="1"/>
  <c r="V203" i="19" s="1"/>
  <c r="T188" i="19"/>
  <c r="U188" i="19" s="1"/>
  <c r="V188" i="19" s="1"/>
  <c r="T286" i="19"/>
  <c r="U286" i="19" s="1"/>
  <c r="V286" i="19" s="1"/>
  <c r="T200" i="19"/>
  <c r="T170" i="19"/>
  <c r="U170" i="19" s="1"/>
  <c r="V170" i="19" s="1"/>
  <c r="T81" i="19"/>
  <c r="U81" i="19" s="1"/>
  <c r="V81" i="19" s="1"/>
  <c r="T271" i="19"/>
  <c r="U271" i="19" s="1"/>
  <c r="V271" i="19" s="1"/>
  <c r="T260" i="19"/>
  <c r="T282" i="19"/>
  <c r="T141" i="19"/>
  <c r="T212" i="19"/>
  <c r="U212" i="19" s="1"/>
  <c r="V212" i="19" s="1"/>
  <c r="T42" i="19"/>
  <c r="U42" i="19" s="1"/>
  <c r="V42" i="19" s="1"/>
  <c r="T40" i="19"/>
  <c r="U40" i="19" s="1"/>
  <c r="V40" i="19" s="1"/>
  <c r="T184" i="19"/>
  <c r="T297" i="19"/>
  <c r="T311" i="19"/>
  <c r="U311" i="19" s="1"/>
  <c r="V311" i="19" s="1"/>
  <c r="T107" i="19"/>
  <c r="U107" i="19" s="1"/>
  <c r="V107" i="19" s="1"/>
  <c r="T89" i="19"/>
  <c r="T103" i="19"/>
  <c r="U103" i="19" s="1"/>
  <c r="V103" i="19" s="1"/>
  <c r="T134" i="19"/>
  <c r="T10" i="19"/>
  <c r="U10" i="19" s="1"/>
  <c r="V10" i="19" s="1"/>
  <c r="T62" i="19"/>
  <c r="T35" i="19"/>
  <c r="U35" i="19" s="1"/>
  <c r="V35" i="19" s="1"/>
  <c r="T46" i="19"/>
  <c r="U46" i="19" s="1"/>
  <c r="V46" i="19" s="1"/>
  <c r="T45" i="19"/>
  <c r="T276" i="19"/>
  <c r="T195" i="19"/>
  <c r="T238" i="19"/>
  <c r="U238" i="19" s="1"/>
  <c r="V238" i="19" s="1"/>
  <c r="T291" i="19"/>
  <c r="U291" i="19" s="1"/>
  <c r="V291" i="19" s="1"/>
  <c r="T127" i="19"/>
  <c r="U127" i="19" s="1"/>
  <c r="V127" i="19" s="1"/>
  <c r="T63" i="19"/>
  <c r="U63" i="19" s="1"/>
  <c r="V63" i="19" s="1"/>
  <c r="T131" i="19"/>
  <c r="U131" i="19" s="1"/>
  <c r="V131" i="19" s="1"/>
  <c r="T268" i="19"/>
  <c r="U268" i="19" s="1"/>
  <c r="V268" i="19" s="1"/>
  <c r="T49" i="19"/>
  <c r="T115" i="19"/>
  <c r="U115" i="19" s="1"/>
  <c r="V115" i="19" s="1"/>
  <c r="T179" i="19"/>
  <c r="U179" i="19" s="1"/>
  <c r="V179" i="19" s="1"/>
  <c r="T86" i="19"/>
  <c r="T180" i="19"/>
  <c r="U180" i="19" s="1"/>
  <c r="V180" i="19" s="1"/>
  <c r="T239" i="19"/>
  <c r="U239" i="19" s="1"/>
  <c r="V239" i="19" s="1"/>
  <c r="T257" i="19"/>
  <c r="T278" i="19"/>
  <c r="T158" i="19"/>
  <c r="T146" i="19"/>
  <c r="U146" i="19" s="1"/>
  <c r="V146" i="19" s="1"/>
  <c r="T99" i="19"/>
  <c r="T252" i="19"/>
  <c r="U252" i="19" s="1"/>
  <c r="V252" i="19" s="1"/>
  <c r="T192" i="19"/>
  <c r="U192" i="19" s="1"/>
  <c r="V192" i="19" s="1"/>
  <c r="T96" i="19"/>
  <c r="T92" i="19"/>
  <c r="T310" i="19"/>
  <c r="T101" i="19"/>
  <c r="U101" i="19" s="1"/>
  <c r="V101" i="19" s="1"/>
  <c r="T202" i="19"/>
  <c r="T124" i="19"/>
  <c r="U124" i="19" s="1"/>
  <c r="V124" i="19" s="1"/>
  <c r="T7" i="19"/>
  <c r="T288" i="19"/>
  <c r="U288" i="19" s="1"/>
  <c r="V288" i="19" s="1"/>
  <c r="T245" i="19"/>
  <c r="U245" i="19" s="1"/>
  <c r="V245" i="19" s="1"/>
  <c r="T173" i="19"/>
  <c r="U173" i="19" s="1"/>
  <c r="V173" i="19" s="1"/>
  <c r="T205" i="19"/>
  <c r="U205" i="19" s="1"/>
  <c r="V205" i="19" s="1"/>
  <c r="T23" i="19"/>
  <c r="T120" i="19"/>
  <c r="T265" i="19"/>
  <c r="U265" i="19" s="1"/>
  <c r="V265" i="19" s="1"/>
  <c r="T285" i="19"/>
  <c r="U285" i="19" s="1"/>
  <c r="V285" i="19" s="1"/>
  <c r="T231" i="19"/>
  <c r="U231" i="19" s="1"/>
  <c r="V231" i="19" s="1"/>
  <c r="T253" i="19"/>
  <c r="U253" i="19" s="1"/>
  <c r="V253" i="19" s="1"/>
  <c r="T251" i="19"/>
  <c r="T130" i="19"/>
  <c r="U130" i="19" s="1"/>
  <c r="V130" i="19" s="1"/>
  <c r="T259" i="19"/>
  <c r="T236" i="19"/>
  <c r="T39" i="19"/>
  <c r="T15" i="19"/>
  <c r="T223" i="19"/>
  <c r="U223" i="19" s="1"/>
  <c r="V223" i="19" s="1"/>
  <c r="T54" i="19"/>
  <c r="U54" i="19" s="1"/>
  <c r="V54" i="19" s="1"/>
  <c r="T206" i="19"/>
  <c r="U206" i="19" s="1"/>
  <c r="V206" i="19" s="1"/>
  <c r="T296" i="19"/>
  <c r="U296" i="19" s="1"/>
  <c r="V296" i="19" s="1"/>
  <c r="T318" i="19"/>
  <c r="U318" i="19" s="1"/>
  <c r="V318" i="19" s="1"/>
  <c r="T70" i="19"/>
  <c r="U70" i="19" s="1"/>
  <c r="V70" i="19" s="1"/>
  <c r="T215" i="19"/>
  <c r="T176" i="19"/>
  <c r="T273" i="19"/>
  <c r="U273" i="19" s="1"/>
  <c r="V273" i="19" s="1"/>
  <c r="T189" i="19"/>
  <c r="T114" i="19"/>
  <c r="U114" i="19" s="1"/>
  <c r="V114" i="19" s="1"/>
  <c r="T152" i="19"/>
  <c r="T314" i="19"/>
  <c r="U314" i="19" s="1"/>
  <c r="V314" i="19" s="1"/>
  <c r="T204" i="19"/>
  <c r="U204" i="19" s="1"/>
  <c r="V204" i="19" s="1"/>
  <c r="T85" i="19"/>
  <c r="U85" i="19" s="1"/>
  <c r="V85" i="19" s="1"/>
  <c r="T26" i="19"/>
  <c r="T29" i="19"/>
  <c r="T21" i="19"/>
  <c r="U21" i="19" s="1"/>
  <c r="V21" i="19" s="1"/>
  <c r="T44" i="19"/>
  <c r="U44" i="19" s="1"/>
  <c r="V44" i="19" s="1"/>
  <c r="T117" i="19"/>
  <c r="T125" i="19"/>
  <c r="U125" i="19" s="1"/>
  <c r="V125" i="19" s="1"/>
  <c r="T38" i="19"/>
  <c r="T60" i="19"/>
  <c r="U60" i="19" s="1"/>
  <c r="V60" i="19" s="1"/>
  <c r="T191" i="19"/>
  <c r="T78" i="19"/>
  <c r="U78" i="19" s="1"/>
  <c r="V78" i="19" s="1"/>
  <c r="T66" i="19"/>
  <c r="U66" i="19" s="1"/>
  <c r="V66" i="19" s="1"/>
  <c r="T281" i="19"/>
  <c r="U281" i="19" s="1"/>
  <c r="V281" i="19" s="1"/>
  <c r="T218" i="19"/>
  <c r="T249" i="19"/>
  <c r="U249" i="19" s="1"/>
  <c r="V249" i="19" s="1"/>
  <c r="T277" i="19"/>
  <c r="U277" i="19" s="1"/>
  <c r="V277" i="19" s="1"/>
  <c r="T220" i="19"/>
  <c r="T183" i="19"/>
  <c r="T227" i="19"/>
  <c r="T13" i="19"/>
  <c r="U13" i="19" s="1"/>
  <c r="V13" i="19" s="1"/>
  <c r="T254" i="19"/>
  <c r="T73" i="19"/>
  <c r="U73" i="19" s="1"/>
  <c r="V73" i="19" s="1"/>
  <c r="T144" i="19"/>
  <c r="T186" i="19"/>
  <c r="U186" i="19" s="1"/>
  <c r="V186" i="19" s="1"/>
  <c r="T201" i="19"/>
  <c r="T20" i="19"/>
  <c r="U20" i="19" s="1"/>
  <c r="V20" i="19" s="1"/>
  <c r="T19" i="19"/>
  <c r="T4" i="19"/>
  <c r="U4" i="19" s="1"/>
  <c r="V4" i="19" s="1"/>
  <c r="T150" i="19"/>
  <c r="U150" i="19" s="1"/>
  <c r="V150" i="19" s="1"/>
  <c r="T194" i="19"/>
  <c r="T88" i="19"/>
  <c r="T61" i="19"/>
  <c r="U61" i="19" s="1"/>
  <c r="V61" i="19" s="1"/>
  <c r="T133" i="19"/>
  <c r="T162" i="19"/>
  <c r="T79" i="19"/>
  <c r="U79" i="19" s="1"/>
  <c r="V79" i="19" s="1"/>
  <c r="T317" i="19"/>
  <c r="T111" i="19"/>
  <c r="T294" i="19"/>
  <c r="U294" i="19" s="1"/>
  <c r="V294" i="19" s="1"/>
  <c r="T161" i="19"/>
  <c r="U161" i="19" s="1"/>
  <c r="V161" i="19" s="1"/>
  <c r="T304" i="19"/>
  <c r="T25" i="19"/>
  <c r="U25" i="19" s="1"/>
  <c r="V25" i="19" s="1"/>
  <c r="T316" i="19"/>
  <c r="U316" i="19" s="1"/>
  <c r="V316" i="19" s="1"/>
  <c r="T178" i="19"/>
  <c r="U178" i="19" s="1"/>
  <c r="V178" i="19" s="1"/>
  <c r="T109" i="19"/>
  <c r="T67" i="19"/>
  <c r="U67" i="19" s="1"/>
  <c r="V67" i="19" s="1"/>
  <c r="T80" i="19"/>
  <c r="U80" i="19" s="1"/>
  <c r="V80" i="19" s="1"/>
  <c r="T151" i="19"/>
  <c r="U151" i="19" s="1"/>
  <c r="V151" i="19" s="1"/>
  <c r="T97" i="19"/>
  <c r="T69" i="19"/>
  <c r="T287" i="19"/>
  <c r="U287" i="19" s="1"/>
  <c r="V287" i="19" s="1"/>
  <c r="T160" i="19"/>
  <c r="T196" i="19"/>
  <c r="U196" i="19" s="1"/>
  <c r="V196" i="19" s="1"/>
  <c r="T77" i="19"/>
  <c r="T229" i="19"/>
  <c r="T122" i="19"/>
  <c r="T90" i="19"/>
  <c r="U90" i="19" s="1"/>
  <c r="V90" i="19" s="1"/>
  <c r="T132" i="19"/>
  <c r="U132" i="19" s="1"/>
  <c r="V132" i="19" s="1"/>
  <c r="T270" i="19"/>
  <c r="U270" i="19" s="1"/>
  <c r="V270" i="19" s="1"/>
  <c r="T280" i="19"/>
  <c r="T75" i="19"/>
  <c r="U75" i="19" s="1"/>
  <c r="V75" i="19" s="1"/>
  <c r="T52" i="19"/>
  <c r="U52" i="19" s="1"/>
  <c r="V52" i="19" s="1"/>
  <c r="T235" i="19"/>
  <c r="U235" i="19" s="1"/>
  <c r="V235" i="19" s="1"/>
  <c r="T308" i="19"/>
  <c r="U308" i="19" s="1"/>
  <c r="V308" i="19" s="1"/>
  <c r="T283" i="19"/>
  <c r="T274" i="19"/>
  <c r="U274" i="19" s="1"/>
  <c r="V274" i="19" s="1"/>
  <c r="T210" i="19"/>
  <c r="U210" i="19" s="1"/>
  <c r="V210" i="19" s="1"/>
  <c r="T37" i="19"/>
  <c r="T305" i="19"/>
  <c r="T105" i="19"/>
  <c r="T166" i="19"/>
  <c r="U166" i="19" s="1"/>
  <c r="V166" i="19" s="1"/>
  <c r="T118" i="19"/>
  <c r="T216" i="19"/>
  <c r="T126" i="19"/>
  <c r="U126" i="19" s="1"/>
  <c r="V126" i="19" s="1"/>
  <c r="T199" i="19"/>
  <c r="T247" i="19"/>
  <c r="U247" i="19" s="1"/>
  <c r="V247" i="19" s="1"/>
  <c r="T55" i="19"/>
  <c r="T167" i="19"/>
  <c r="T116" i="19"/>
  <c r="U116" i="19" s="1"/>
  <c r="V116" i="19" s="1"/>
  <c r="T41" i="19"/>
  <c r="U41" i="19" s="1"/>
  <c r="V41" i="19" s="1"/>
  <c r="T181" i="19"/>
  <c r="T87" i="19"/>
  <c r="U87" i="19" s="1"/>
  <c r="V87" i="19" s="1"/>
  <c r="T217" i="19"/>
  <c r="U217" i="19" s="1"/>
  <c r="V217" i="19" s="1"/>
  <c r="T5" i="19"/>
  <c r="U5" i="19" s="1"/>
  <c r="V5" i="19" s="1"/>
  <c r="T211" i="19"/>
  <c r="T33" i="19"/>
  <c r="T182" i="19"/>
  <c r="T222" i="19"/>
  <c r="U222" i="19" s="1"/>
  <c r="V222" i="19" s="1"/>
  <c r="T83" i="19"/>
  <c r="U83" i="19" s="1"/>
  <c r="V83" i="19" s="1"/>
  <c r="T209" i="19"/>
  <c r="U209" i="19" s="1"/>
  <c r="V209" i="19" s="1"/>
  <c r="T32" i="19"/>
  <c r="U32" i="19" s="1"/>
  <c r="V32" i="19" s="1"/>
  <c r="T11" i="19"/>
  <c r="U11" i="19" s="1"/>
  <c r="V11" i="19" s="1"/>
  <c r="T266" i="19"/>
  <c r="U266" i="19" s="1"/>
  <c r="V266" i="19" s="1"/>
  <c r="T190" i="19"/>
  <c r="T312" i="19"/>
  <c r="T14" i="19"/>
  <c r="T261" i="19"/>
  <c r="T8" i="19"/>
  <c r="U8" i="19" s="1"/>
  <c r="V8" i="19" s="1"/>
  <c r="T64" i="19"/>
  <c r="T154" i="19"/>
  <c r="U154" i="19" s="1"/>
  <c r="V154" i="19" s="1"/>
  <c r="T104" i="19"/>
  <c r="U104" i="19" s="1"/>
  <c r="V104" i="19" s="1"/>
  <c r="T135" i="19"/>
  <c r="U135" i="19" s="1"/>
  <c r="V135" i="19" s="1"/>
  <c r="T164" i="19"/>
  <c r="T234" i="19"/>
  <c r="T228" i="19"/>
  <c r="T300" i="19"/>
  <c r="U300" i="19" s="1"/>
  <c r="V300" i="19" s="1"/>
  <c r="T237" i="19"/>
  <c r="U237" i="19" s="1"/>
  <c r="V237" i="19" s="1"/>
  <c r="T263" i="19"/>
  <c r="T27" i="19"/>
  <c r="T269" i="19"/>
  <c r="U269" i="19" s="1"/>
  <c r="V269" i="19" s="1"/>
  <c r="T240" i="19"/>
  <c r="U240" i="19" s="1"/>
  <c r="V240" i="19" s="1"/>
  <c r="T74" i="19"/>
  <c r="U74" i="19" s="1"/>
  <c r="V74" i="19" s="1"/>
  <c r="T43" i="19"/>
  <c r="U43" i="19" s="1"/>
  <c r="V43" i="19" s="1"/>
  <c r="T100" i="19"/>
  <c r="U100" i="19" s="1"/>
  <c r="V100" i="19" s="1"/>
  <c r="T242" i="19"/>
  <c r="T51" i="19"/>
  <c r="U51" i="19" s="1"/>
  <c r="V51" i="19" s="1"/>
  <c r="T155" i="19"/>
  <c r="T140" i="19"/>
  <c r="T232" i="19"/>
  <c r="T18" i="19"/>
  <c r="T224" i="19"/>
  <c r="T264" i="19"/>
  <c r="U264" i="19" s="1"/>
  <c r="V264" i="19" s="1"/>
  <c r="T185" i="19"/>
  <c r="U185" i="19" s="1"/>
  <c r="V185" i="19" s="1"/>
  <c r="T246" i="19"/>
  <c r="T272" i="19"/>
  <c r="U272" i="19" s="1"/>
  <c r="V272" i="19" s="1"/>
  <c r="T71" i="19"/>
  <c r="U71" i="19" s="1"/>
  <c r="V71" i="19" s="1"/>
  <c r="T168" i="19"/>
  <c r="T290" i="19"/>
  <c r="T3" i="19" l="1" a="1"/>
  <c r="T3" i="19" s="1"/>
  <c r="V3" i="19" l="1" a="1"/>
  <c r="V3" i="19" s="1"/>
  <c r="U3" i="19" a="1"/>
  <c r="U3" i="19" s="1"/>
  <c r="W126" i="19" l="1"/>
  <c r="X126" i="19" s="1"/>
  <c r="W230" i="19"/>
  <c r="X230" i="19" s="1"/>
  <c r="W106" i="19"/>
  <c r="W251" i="19"/>
  <c r="X251" i="19" s="1"/>
  <c r="W21" i="19"/>
  <c r="X21" i="19" s="1"/>
  <c r="W102" i="19"/>
  <c r="X102" i="19" s="1"/>
  <c r="W70" i="19"/>
  <c r="X70" i="19" s="1"/>
  <c r="W41" i="19"/>
  <c r="X41" i="19" s="1"/>
  <c r="W160" i="19"/>
  <c r="X160" i="19" s="1"/>
  <c r="W154" i="19"/>
  <c r="X154" i="19" s="1"/>
  <c r="W82" i="19"/>
  <c r="X82" i="19" s="1"/>
  <c r="W162" i="19"/>
  <c r="X162" i="19" s="1"/>
  <c r="W203" i="19"/>
  <c r="X203" i="19" s="1"/>
  <c r="W306" i="19"/>
  <c r="X306" i="19" s="1"/>
  <c r="W113" i="19"/>
  <c r="X113" i="19" s="1"/>
  <c r="W23" i="19"/>
  <c r="X23" i="19" s="1"/>
  <c r="W14" i="19"/>
  <c r="X14" i="19" s="1"/>
  <c r="W44" i="19"/>
  <c r="X44" i="19" s="1"/>
  <c r="W301" i="19"/>
  <c r="X301" i="19" s="1"/>
  <c r="W177" i="19"/>
  <c r="X177" i="19" s="1"/>
  <c r="W150" i="19"/>
  <c r="X150" i="19" s="1"/>
  <c r="W292" i="19"/>
  <c r="X292" i="19" s="1"/>
  <c r="W275" i="19"/>
  <c r="X275" i="19" s="1"/>
  <c r="W91" i="19"/>
  <c r="X91" i="19" s="1"/>
  <c r="W61" i="19"/>
  <c r="X61" i="19" s="1"/>
  <c r="W12" i="19"/>
  <c r="X12" i="19" s="1"/>
  <c r="W233" i="19"/>
  <c r="X233" i="19" s="1"/>
  <c r="W258" i="19"/>
  <c r="X258" i="19" s="1"/>
  <c r="W189" i="19"/>
  <c r="X189" i="19" s="1"/>
  <c r="W192" i="19"/>
  <c r="X192" i="19" s="1"/>
  <c r="W288" i="19"/>
  <c r="X288" i="19" s="1"/>
  <c r="W174" i="19"/>
  <c r="X174" i="19" s="1"/>
  <c r="W294" i="19"/>
  <c r="X294" i="19" s="1"/>
  <c r="W166" i="19"/>
  <c r="X166" i="19" s="1"/>
  <c r="W264" i="19"/>
  <c r="X264" i="19" s="1"/>
  <c r="W197" i="19"/>
  <c r="X197" i="19" s="1"/>
  <c r="W265" i="19"/>
  <c r="X265" i="19" s="1"/>
  <c r="W66" i="19"/>
  <c r="X66" i="19" s="1"/>
  <c r="W29" i="19"/>
  <c r="X29" i="19" s="1"/>
  <c r="W314" i="19"/>
  <c r="X314" i="19" s="1"/>
  <c r="W316" i="19"/>
  <c r="X316" i="19" s="1"/>
  <c r="W11" i="19"/>
  <c r="X11" i="19" s="1"/>
  <c r="W6" i="19"/>
  <c r="X6" i="19" s="1"/>
  <c r="W110" i="19"/>
  <c r="X110" i="19" s="1"/>
  <c r="W156" i="19"/>
  <c r="X156" i="19" s="1"/>
  <c r="W145" i="19"/>
  <c r="X145" i="19" s="1"/>
  <c r="W201" i="19"/>
  <c r="X201" i="19" s="1"/>
  <c r="W315" i="19"/>
  <c r="X315" i="19" s="1"/>
  <c r="W257" i="19"/>
  <c r="X257" i="19" s="1"/>
  <c r="W74" i="19"/>
  <c r="X74" i="19" s="1"/>
  <c r="W209" i="19"/>
  <c r="X209" i="19" s="1"/>
  <c r="W311" i="19"/>
  <c r="X311" i="19" s="1"/>
  <c r="W266" i="19"/>
  <c r="X266" i="19" s="1"/>
  <c r="W163" i="19"/>
  <c r="X163" i="19" s="1"/>
  <c r="W76" i="19"/>
  <c r="X76" i="19" s="1"/>
  <c r="W204" i="19"/>
  <c r="X204" i="19" s="1"/>
  <c r="W284" i="19"/>
  <c r="X284" i="19" s="1"/>
  <c r="W85" i="19"/>
  <c r="X85" i="19" s="1"/>
  <c r="W130" i="19"/>
  <c r="X130" i="19" s="1"/>
  <c r="W161" i="19"/>
  <c r="X161" i="19" s="1"/>
  <c r="W229" i="19"/>
  <c r="X229" i="19" s="1"/>
  <c r="W47" i="19"/>
  <c r="X47" i="19" s="1"/>
  <c r="W141" i="19"/>
  <c r="X141" i="19" s="1"/>
  <c r="W55" i="19"/>
  <c r="X55" i="19" s="1"/>
  <c r="W214" i="19"/>
  <c r="X214" i="19" s="1"/>
  <c r="W290" i="19"/>
  <c r="X290" i="19" s="1"/>
  <c r="W176" i="19"/>
  <c r="X176" i="19" s="1"/>
  <c r="W198" i="19"/>
  <c r="X198" i="19" s="1"/>
  <c r="W40" i="19"/>
  <c r="X40" i="19" s="1"/>
  <c r="W250" i="19"/>
  <c r="X250" i="19" s="1"/>
  <c r="W227" i="19"/>
  <c r="X227" i="19" s="1"/>
  <c r="W119" i="19"/>
  <c r="X119" i="19" s="1"/>
  <c r="W293" i="19"/>
  <c r="X293" i="19" s="1"/>
  <c r="W267" i="19"/>
  <c r="X267" i="19" s="1"/>
  <c r="W238" i="19"/>
  <c r="X238" i="19" s="1"/>
  <c r="W131" i="19"/>
  <c r="X131" i="19" s="1"/>
  <c r="W144" i="19"/>
  <c r="X144" i="19" s="1"/>
  <c r="W155" i="19"/>
  <c r="X155" i="19" s="1"/>
  <c r="W200" i="19"/>
  <c r="X200" i="19" s="1"/>
  <c r="W241" i="19"/>
  <c r="X241" i="19" s="1"/>
  <c r="W259" i="19"/>
  <c r="X259" i="19" s="1"/>
  <c r="W72" i="19"/>
  <c r="X72" i="19" s="1"/>
  <c r="W148" i="19"/>
  <c r="X148" i="19" s="1"/>
  <c r="W263" i="19"/>
  <c r="X263" i="19" s="1"/>
  <c r="W49" i="19"/>
  <c r="X49" i="19" s="1"/>
  <c r="W22" i="19"/>
  <c r="X22" i="19" s="1"/>
  <c r="W190" i="19"/>
  <c r="X190" i="19" s="1"/>
  <c r="W93" i="19"/>
  <c r="X93" i="19" s="1"/>
  <c r="W132" i="19"/>
  <c r="X132" i="19" s="1"/>
  <c r="W118" i="19"/>
  <c r="X118" i="19" s="1"/>
  <c r="W96" i="19"/>
  <c r="X96" i="19" s="1"/>
  <c r="W234" i="19"/>
  <c r="X234" i="19" s="1"/>
  <c r="W169" i="19"/>
  <c r="X169" i="19" s="1"/>
  <c r="W153" i="19"/>
  <c r="X153" i="19" s="1"/>
  <c r="W51" i="19"/>
  <c r="X51" i="19" s="1"/>
  <c r="W220" i="19"/>
  <c r="X220" i="19" s="1"/>
  <c r="W84" i="19"/>
  <c r="X84" i="19" s="1"/>
  <c r="W299" i="19"/>
  <c r="X299" i="19" s="1"/>
  <c r="W92" i="19"/>
  <c r="X92" i="19" s="1"/>
  <c r="W159" i="19"/>
  <c r="X159" i="19" s="1"/>
  <c r="W303" i="19"/>
  <c r="X303" i="19" s="1"/>
  <c r="W255" i="19"/>
  <c r="X255" i="19" s="1"/>
  <c r="W104" i="19"/>
  <c r="X104" i="19" s="1"/>
  <c r="W31" i="19"/>
  <c r="X31" i="19" s="1"/>
  <c r="W7" i="19"/>
  <c r="X7" i="19" s="1"/>
  <c r="W312" i="19"/>
  <c r="X312" i="19" s="1"/>
  <c r="W108" i="19"/>
  <c r="X108" i="19" s="1"/>
  <c r="W117" i="19"/>
  <c r="X117" i="19" s="1"/>
  <c r="W310" i="19"/>
  <c r="X310" i="19" s="1"/>
  <c r="W175" i="19"/>
  <c r="X175" i="19" s="1"/>
  <c r="W164" i="19"/>
  <c r="X164" i="19" s="1"/>
  <c r="W243" i="19"/>
  <c r="X243" i="19" s="1"/>
  <c r="W8" i="19"/>
  <c r="X8" i="19" s="1"/>
  <c r="W277" i="19"/>
  <c r="X277" i="19" s="1"/>
  <c r="W289" i="19"/>
  <c r="X289" i="19" s="1"/>
  <c r="W36" i="19"/>
  <c r="X36" i="19" s="1"/>
  <c r="W68" i="19"/>
  <c r="X68" i="19" s="1"/>
  <c r="W225" i="19"/>
  <c r="X225" i="19" s="1"/>
  <c r="W87" i="19"/>
  <c r="X87" i="19" s="1"/>
  <c r="W252" i="19"/>
  <c r="X252" i="19" s="1"/>
  <c r="W242" i="19"/>
  <c r="X242" i="19" s="1"/>
  <c r="W146" i="19"/>
  <c r="X146" i="19" s="1"/>
  <c r="W178" i="19"/>
  <c r="X178" i="19" s="1"/>
  <c r="W219" i="19"/>
  <c r="X219" i="19" s="1"/>
  <c r="W291" i="19"/>
  <c r="X291" i="19" s="1"/>
  <c r="W182" i="19"/>
  <c r="X182" i="19" s="1"/>
  <c r="W100" i="19"/>
  <c r="X100" i="19" s="1"/>
  <c r="W206" i="19"/>
  <c r="X206" i="19" s="1"/>
  <c r="W216" i="19"/>
  <c r="X216" i="19" s="1"/>
  <c r="W223" i="19"/>
  <c r="X223" i="19" s="1"/>
  <c r="W253" i="19"/>
  <c r="X253" i="19" s="1"/>
  <c r="W181" i="19"/>
  <c r="X181" i="19" s="1"/>
  <c r="W86" i="19"/>
  <c r="X86" i="19" s="1"/>
  <c r="W281" i="19"/>
  <c r="X281" i="19" s="1"/>
  <c r="W116" i="19"/>
  <c r="X116" i="19" s="1"/>
  <c r="W105" i="19"/>
  <c r="X105" i="19" s="1"/>
  <c r="W75" i="19"/>
  <c r="X75" i="19" s="1"/>
  <c r="W142" i="19"/>
  <c r="X142" i="19" s="1"/>
  <c r="W30" i="19"/>
  <c r="X30" i="19" s="1"/>
  <c r="W34" i="19"/>
  <c r="X34" i="19" s="1"/>
  <c r="W33" i="19"/>
  <c r="X33" i="19" s="1"/>
  <c r="W143" i="19"/>
  <c r="X143" i="19" s="1"/>
  <c r="W158" i="19"/>
  <c r="X158" i="19" s="1"/>
  <c r="W304" i="19"/>
  <c r="X304" i="19" s="1"/>
  <c r="W248" i="19"/>
  <c r="X248" i="19" s="1"/>
  <c r="W273" i="19"/>
  <c r="X273" i="19" s="1"/>
  <c r="W17" i="19"/>
  <c r="X17" i="19" s="1"/>
  <c r="W79" i="19"/>
  <c r="X79" i="19" s="1"/>
  <c r="W195" i="19"/>
  <c r="X195" i="19" s="1"/>
  <c r="W186" i="19"/>
  <c r="X186" i="19" s="1"/>
  <c r="W167" i="19"/>
  <c r="X167" i="19" s="1"/>
  <c r="W235" i="19"/>
  <c r="X235" i="19" s="1"/>
  <c r="W128" i="19"/>
  <c r="X128" i="19" s="1"/>
  <c r="W165" i="19"/>
  <c r="X165" i="19" s="1"/>
  <c r="W151" i="19"/>
  <c r="X151" i="19" s="1"/>
  <c r="W46" i="19"/>
  <c r="X46" i="19" s="1"/>
  <c r="W199" i="19"/>
  <c r="X199" i="19" s="1"/>
  <c r="W16" i="19"/>
  <c r="X16" i="19" s="1"/>
  <c r="W296" i="19"/>
  <c r="X296" i="19" s="1"/>
  <c r="W59" i="19"/>
  <c r="X59" i="19" s="1"/>
  <c r="W318" i="19"/>
  <c r="X318" i="19" s="1"/>
  <c r="W88" i="19"/>
  <c r="X88" i="19" s="1"/>
  <c r="W122" i="19"/>
  <c r="X122" i="19" s="1"/>
  <c r="W78" i="19"/>
  <c r="X78" i="19" s="1"/>
  <c r="W39" i="19"/>
  <c r="X39" i="19" s="1"/>
  <c r="W179" i="19"/>
  <c r="X179" i="19" s="1"/>
  <c r="W300" i="19"/>
  <c r="X300" i="19" s="1"/>
  <c r="W217" i="19"/>
  <c r="X217" i="19" s="1"/>
  <c r="W94" i="19"/>
  <c r="X94" i="19" s="1"/>
  <c r="W89" i="19"/>
  <c r="X89" i="19" s="1"/>
  <c r="W307" i="19"/>
  <c r="X307" i="19" s="1"/>
  <c r="W185" i="19"/>
  <c r="X185" i="19" s="1"/>
  <c r="W103" i="19"/>
  <c r="X103" i="19" s="1"/>
  <c r="W81" i="19"/>
  <c r="X81" i="19" s="1"/>
  <c r="W60" i="19"/>
  <c r="X60" i="19" s="1"/>
  <c r="W43" i="19"/>
  <c r="X43" i="19" s="1"/>
  <c r="W297" i="19"/>
  <c r="X297" i="19" s="1"/>
  <c r="W196" i="19"/>
  <c r="X196" i="19" s="1"/>
  <c r="W38" i="19"/>
  <c r="X38" i="19" s="1"/>
  <c r="W274" i="19"/>
  <c r="X274" i="19" s="1"/>
  <c r="W239" i="19"/>
  <c r="X239" i="19" s="1"/>
  <c r="W120" i="19"/>
  <c r="X120" i="19" s="1"/>
  <c r="W48" i="19"/>
  <c r="X48" i="19" s="1"/>
  <c r="W226" i="19"/>
  <c r="X226" i="19" s="1"/>
  <c r="W69" i="19"/>
  <c r="X69" i="19" s="1"/>
  <c r="W279" i="19"/>
  <c r="X279" i="19" s="1"/>
  <c r="W270" i="19"/>
  <c r="X270" i="19" s="1"/>
  <c r="W42" i="19"/>
  <c r="X42" i="19" s="1"/>
  <c r="W254" i="19"/>
  <c r="X254" i="19" s="1"/>
  <c r="W140" i="19"/>
  <c r="X140" i="19" s="1"/>
  <c r="W228" i="19"/>
  <c r="X228" i="19" s="1"/>
  <c r="W249" i="19"/>
  <c r="X249" i="19" s="1"/>
  <c r="W168" i="19"/>
  <c r="X168" i="19" s="1"/>
  <c r="W298" i="19"/>
  <c r="X298" i="19" s="1"/>
  <c r="W73" i="19"/>
  <c r="X73" i="19" s="1"/>
  <c r="W280" i="19"/>
  <c r="X280" i="19" s="1"/>
  <c r="W313" i="19"/>
  <c r="X313" i="19" s="1"/>
  <c r="W194" i="19"/>
  <c r="X194" i="19" s="1"/>
  <c r="W272" i="19"/>
  <c r="X272" i="19" s="1"/>
  <c r="W18" i="19"/>
  <c r="X18" i="19" s="1"/>
  <c r="W80" i="19"/>
  <c r="X80" i="19" s="1"/>
  <c r="W207" i="19"/>
  <c r="X207" i="19" s="1"/>
  <c r="W231" i="19"/>
  <c r="X231" i="19" s="1"/>
  <c r="W305" i="19"/>
  <c r="X305" i="19" s="1"/>
  <c r="W149" i="19"/>
  <c r="X149" i="19" s="1"/>
  <c r="W205" i="19"/>
  <c r="X205" i="19" s="1"/>
  <c r="W13" i="19"/>
  <c r="X13" i="19" s="1"/>
  <c r="W27" i="19"/>
  <c r="X27" i="19" s="1"/>
  <c r="W286" i="19"/>
  <c r="X286" i="19" s="1"/>
  <c r="W53" i="19"/>
  <c r="X53" i="19" s="1"/>
  <c r="W260" i="19"/>
  <c r="X260" i="19" s="1"/>
  <c r="W317" i="19"/>
  <c r="X317" i="19" s="1"/>
  <c r="W134" i="19"/>
  <c r="X134" i="19" s="1"/>
  <c r="W183" i="19"/>
  <c r="X183" i="19" s="1"/>
  <c r="W218" i="19"/>
  <c r="X218" i="19" s="1"/>
  <c r="W50" i="19"/>
  <c r="X50" i="19" s="1"/>
  <c r="W271" i="19"/>
  <c r="X271" i="19" s="1"/>
  <c r="W19" i="19"/>
  <c r="X19" i="19" s="1"/>
  <c r="W98" i="19"/>
  <c r="X98" i="19" s="1"/>
  <c r="W114" i="19"/>
  <c r="X114" i="19" s="1"/>
  <c r="W24" i="19"/>
  <c r="X24" i="19" s="1"/>
  <c r="W222" i="19"/>
  <c r="X222" i="19" s="1"/>
  <c r="W15" i="19"/>
  <c r="X15" i="19" s="1"/>
  <c r="W95" i="19"/>
  <c r="X95" i="19" s="1"/>
  <c r="W90" i="19"/>
  <c r="X90" i="19" s="1"/>
  <c r="W109" i="19"/>
  <c r="X109" i="19" s="1"/>
  <c r="W187" i="19"/>
  <c r="X187" i="19" s="1"/>
  <c r="W173" i="19"/>
  <c r="X173" i="19" s="1"/>
  <c r="W136" i="19"/>
  <c r="X136" i="19" s="1"/>
  <c r="W210" i="19"/>
  <c r="X210" i="19" s="1"/>
  <c r="W184" i="19"/>
  <c r="X184" i="19" s="1"/>
  <c r="W127" i="19"/>
  <c r="X127" i="19" s="1"/>
  <c r="W77" i="19"/>
  <c r="X77" i="19" s="1"/>
  <c r="W138" i="19"/>
  <c r="X138" i="19" s="1"/>
  <c r="W135" i="19"/>
  <c r="X135" i="19" s="1"/>
  <c r="W57" i="19"/>
  <c r="X57" i="19" s="1"/>
  <c r="W56" i="19"/>
  <c r="X56" i="19" s="1"/>
  <c r="W10" i="19"/>
  <c r="X10" i="19" s="1"/>
  <c r="W247" i="19"/>
  <c r="X247" i="19" s="1"/>
  <c r="W262" i="19"/>
  <c r="X262" i="19" s="1"/>
  <c r="W35" i="19"/>
  <c r="X35" i="19" s="1"/>
  <c r="W64" i="19"/>
  <c r="X64" i="19" s="1"/>
  <c r="W256" i="19"/>
  <c r="X256" i="19" s="1"/>
  <c r="W269" i="19"/>
  <c r="X269" i="19" s="1"/>
  <c r="W232" i="19"/>
  <c r="X232" i="19" s="1"/>
  <c r="W123" i="19"/>
  <c r="X123" i="19" s="1"/>
  <c r="W99" i="19"/>
  <c r="X99" i="19" s="1"/>
  <c r="W170" i="19"/>
  <c r="X170" i="19" s="1"/>
  <c r="W32" i="19"/>
  <c r="X32" i="19" s="1"/>
  <c r="W9" i="19"/>
  <c r="X9" i="19" s="1"/>
  <c r="W191" i="19"/>
  <c r="X191" i="19" s="1"/>
  <c r="W133" i="19"/>
  <c r="X133" i="19" s="1"/>
  <c r="W202" i="19"/>
  <c r="X202" i="19" s="1"/>
  <c r="W171" i="19"/>
  <c r="X171" i="19" s="1"/>
  <c r="W107" i="19"/>
  <c r="X107" i="19" s="1"/>
  <c r="W287" i="19"/>
  <c r="X287" i="19" s="1"/>
  <c r="W26" i="19"/>
  <c r="X26" i="19" s="1"/>
  <c r="W28" i="19"/>
  <c r="X28" i="19" s="1"/>
  <c r="W62" i="19"/>
  <c r="X62" i="19" s="1"/>
  <c r="W308" i="19"/>
  <c r="X308" i="19" s="1"/>
  <c r="W302" i="19"/>
  <c r="X302" i="19" s="1"/>
  <c r="W52" i="19"/>
  <c r="X52" i="19" s="1"/>
  <c r="W276" i="19"/>
  <c r="X276" i="19" s="1"/>
  <c r="W20" i="19"/>
  <c r="X20" i="19" s="1"/>
  <c r="W180" i="19"/>
  <c r="X180" i="19" s="1"/>
  <c r="W236" i="19"/>
  <c r="X236" i="19" s="1"/>
  <c r="W67" i="19"/>
  <c r="X67" i="19" s="1"/>
  <c r="W172" i="19"/>
  <c r="X172" i="19" s="1"/>
  <c r="W295" i="19"/>
  <c r="X295" i="19" s="1"/>
  <c r="W193" i="19"/>
  <c r="X193" i="19" s="1"/>
  <c r="W147" i="19"/>
  <c r="X147" i="19" s="1"/>
  <c r="W129" i="19"/>
  <c r="X129" i="19" s="1"/>
  <c r="W278" i="19"/>
  <c r="X278" i="19" s="1"/>
  <c r="W244" i="19"/>
  <c r="X244" i="19" s="1"/>
  <c r="W157" i="19"/>
  <c r="X157" i="19" s="1"/>
  <c r="W25" i="19"/>
  <c r="X25" i="19" s="1"/>
  <c r="W208" i="19"/>
  <c r="X208" i="19" s="1"/>
  <c r="W285" i="19"/>
  <c r="X285" i="19" s="1"/>
  <c r="W63" i="19"/>
  <c r="X63" i="19" s="1"/>
  <c r="W137" i="19"/>
  <c r="X137" i="19" s="1"/>
  <c r="W282" i="19"/>
  <c r="X282" i="19" s="1"/>
  <c r="W112" i="19"/>
  <c r="X112" i="19" s="1"/>
  <c r="W4" i="19"/>
  <c r="W188" i="19"/>
  <c r="X188" i="19" s="1"/>
  <c r="W152" i="19"/>
  <c r="X152" i="19" s="1"/>
  <c r="W5" i="19"/>
  <c r="W224" i="19"/>
  <c r="X224" i="19" s="1"/>
  <c r="W71" i="19"/>
  <c r="X71" i="19" s="1"/>
  <c r="W221" i="19"/>
  <c r="X221" i="19" s="1"/>
  <c r="W309" i="19"/>
  <c r="X309" i="19" s="1"/>
  <c r="W111" i="19"/>
  <c r="X111" i="19" s="1"/>
  <c r="W121" i="19"/>
  <c r="X121" i="19" s="1"/>
  <c r="W37" i="19"/>
  <c r="X37" i="19" s="1"/>
  <c r="W237" i="19"/>
  <c r="X237" i="19" s="1"/>
  <c r="W125" i="19"/>
  <c r="X125" i="19" s="1"/>
  <c r="W261" i="19"/>
  <c r="X261" i="19" s="1"/>
  <c r="W101" i="19"/>
  <c r="X101" i="19" s="1"/>
  <c r="W139" i="19"/>
  <c r="X139" i="19" s="1"/>
  <c r="W83" i="19"/>
  <c r="X83" i="19" s="1"/>
  <c r="W268" i="19"/>
  <c r="X268" i="19" s="1"/>
  <c r="W58" i="19"/>
  <c r="X58" i="19" s="1"/>
  <c r="W211" i="19"/>
  <c r="X211" i="19" s="1"/>
  <c r="W65" i="19"/>
  <c r="X65" i="19" s="1"/>
  <c r="W215" i="19"/>
  <c r="X215" i="19" s="1"/>
  <c r="W240" i="19"/>
  <c r="X240" i="19" s="1"/>
  <c r="W212" i="19"/>
  <c r="X212" i="19" s="1"/>
  <c r="W245" i="19"/>
  <c r="X245" i="19" s="1"/>
  <c r="W97" i="19"/>
  <c r="X97" i="19" s="1"/>
  <c r="W45" i="19"/>
  <c r="X45" i="19" s="1"/>
  <c r="W115" i="19"/>
  <c r="X115" i="19" s="1"/>
  <c r="W283" i="19"/>
  <c r="X283" i="19" s="1"/>
  <c r="W213" i="19"/>
  <c r="X213" i="19" s="1"/>
  <c r="W124" i="19"/>
  <c r="X124" i="19" s="1"/>
  <c r="W54" i="19"/>
  <c r="X54" i="19" s="1"/>
  <c r="W246" i="19"/>
  <c r="X246" i="19" s="1"/>
  <c r="X4" i="19" l="1"/>
  <c r="W3" i="19" a="1"/>
  <c r="W3" i="19" s="1"/>
  <c r="X106" i="19"/>
  <c r="X5" i="19"/>
  <c r="X3" i="19" l="1" a="1"/>
  <c r="X3" i="19" s="1"/>
  <c r="X1" i="19" s="1"/>
  <c r="Y15" i="19"/>
  <c r="Z15" i="19" s="1"/>
  <c r="Y230" i="19"/>
  <c r="Z230" i="19" s="1"/>
  <c r="Y106" i="19"/>
  <c r="Z106" i="19" s="1"/>
  <c r="Y226" i="19"/>
  <c r="Z226" i="19" s="1"/>
  <c r="Y208" i="19"/>
  <c r="Z208" i="19" s="1"/>
  <c r="Y212" i="19"/>
  <c r="Z212" i="19" s="1"/>
  <c r="Y234" i="19"/>
  <c r="Z234" i="19" s="1"/>
  <c r="Y22" i="19"/>
  <c r="Z22" i="19" s="1"/>
  <c r="Y275" i="19"/>
  <c r="Z275" i="19" s="1"/>
  <c r="Y74" i="19"/>
  <c r="Z74" i="19" s="1"/>
  <c r="Y117" i="19"/>
  <c r="Z117" i="19" s="1"/>
  <c r="Y180" i="19"/>
  <c r="Z180" i="19" s="1"/>
  <c r="Y280" i="19"/>
  <c r="Z280" i="19" s="1"/>
  <c r="Y294" i="19"/>
  <c r="Z294" i="19" s="1"/>
  <c r="Y63" i="19"/>
  <c r="Z63" i="19" s="1"/>
  <c r="Y279" i="19"/>
  <c r="Z279" i="19" s="1"/>
  <c r="Y98" i="19"/>
  <c r="Z98" i="19" s="1"/>
  <c r="Y149" i="19"/>
  <c r="Z149" i="19" s="1"/>
  <c r="Y207" i="19"/>
  <c r="Z207" i="19" s="1"/>
  <c r="Y291" i="19"/>
  <c r="Z291" i="19" s="1"/>
  <c r="Y283" i="19"/>
  <c r="Z283" i="19" s="1"/>
  <c r="Y225" i="19"/>
  <c r="Z225" i="19" s="1"/>
  <c r="Y210" i="19"/>
  <c r="Z210" i="19" s="1"/>
  <c r="Y80" i="19"/>
  <c r="Z80" i="19" s="1"/>
  <c r="Y125" i="19"/>
  <c r="Z125" i="19" s="1"/>
  <c r="Y43" i="19"/>
  <c r="Z43" i="19" s="1"/>
  <c r="Y232" i="19"/>
  <c r="Z232" i="19" s="1"/>
  <c r="Y264" i="19"/>
  <c r="Z264" i="19" s="1"/>
  <c r="Y27" i="19"/>
  <c r="Z27" i="19" s="1"/>
  <c r="Y198" i="19"/>
  <c r="Z198" i="19" s="1"/>
  <c r="Y306" i="19"/>
  <c r="Z306" i="19" s="1"/>
  <c r="Y132" i="19"/>
  <c r="Z132" i="19" s="1"/>
  <c r="Y299" i="19"/>
  <c r="Z299" i="19" s="1"/>
  <c r="Y155" i="19"/>
  <c r="Z155" i="19" s="1"/>
  <c r="Y136" i="19"/>
  <c r="Z136" i="19" s="1"/>
  <c r="Y87" i="19"/>
  <c r="Z87" i="19" s="1"/>
  <c r="Y238" i="19"/>
  <c r="Z238" i="19" s="1"/>
  <c r="Y32" i="19"/>
  <c r="Z32" i="19" s="1"/>
  <c r="Y69" i="19"/>
  <c r="Z69" i="19" s="1"/>
  <c r="Y111" i="19"/>
  <c r="Z111" i="19" s="1"/>
  <c r="Y233" i="19"/>
  <c r="Z233" i="19" s="1"/>
  <c r="Y231" i="19"/>
  <c r="Z231" i="19" s="1"/>
  <c r="Y201" i="19"/>
  <c r="Z201" i="19" s="1"/>
  <c r="Y113" i="19"/>
  <c r="Z113" i="19" s="1"/>
  <c r="Y85" i="19"/>
  <c r="Z85" i="19" s="1"/>
  <c r="Y11" i="19"/>
  <c r="Z11" i="19" s="1"/>
  <c r="Y10" i="19"/>
  <c r="Z10" i="19" s="1"/>
  <c r="Y168" i="19"/>
  <c r="Z168" i="19" s="1"/>
  <c r="Y104" i="19"/>
  <c r="Z104" i="19" s="1"/>
  <c r="Y88" i="19"/>
  <c r="Z88" i="19" s="1"/>
  <c r="Y107" i="19"/>
  <c r="Z107" i="19" s="1"/>
  <c r="Y46" i="19"/>
  <c r="Z46" i="19" s="1"/>
  <c r="Y156" i="19"/>
  <c r="Z156" i="19" s="1"/>
  <c r="Y89" i="19"/>
  <c r="Z89" i="19" s="1"/>
  <c r="Y100" i="19"/>
  <c r="Z100" i="19" s="1"/>
  <c r="Y302" i="19"/>
  <c r="Z302" i="19" s="1"/>
  <c r="Y92" i="19"/>
  <c r="Z92" i="19" s="1"/>
  <c r="Y127" i="19"/>
  <c r="Z127" i="19" s="1"/>
  <c r="Y83" i="19"/>
  <c r="Z83" i="19" s="1"/>
  <c r="Y220" i="19"/>
  <c r="Z220" i="19" s="1"/>
  <c r="Y71" i="19"/>
  <c r="Z71" i="19" s="1"/>
  <c r="Y128" i="19"/>
  <c r="Z128" i="19" s="1"/>
  <c r="Y171" i="19"/>
  <c r="Z171" i="19" s="1"/>
  <c r="Y224" i="19"/>
  <c r="Z224" i="19" s="1"/>
  <c r="Y183" i="19"/>
  <c r="Z183" i="19" s="1"/>
  <c r="Y229" i="19"/>
  <c r="Z229" i="19" s="1"/>
  <c r="Y50" i="19"/>
  <c r="Z50" i="19" s="1"/>
  <c r="Y301" i="19"/>
  <c r="Z301" i="19" s="1"/>
  <c r="Y137" i="19"/>
  <c r="Z137" i="19" s="1"/>
  <c r="Y174" i="19"/>
  <c r="Z174" i="19" s="1"/>
  <c r="Y194" i="19"/>
  <c r="Z194" i="19" s="1"/>
  <c r="Y123" i="19"/>
  <c r="Z123" i="19" s="1"/>
  <c r="Y227" i="19"/>
  <c r="Z227" i="19" s="1"/>
  <c r="Y296" i="19"/>
  <c r="Z296" i="19" s="1"/>
  <c r="Y64" i="19"/>
  <c r="Z64" i="19" s="1"/>
  <c r="Y96" i="19"/>
  <c r="Z96" i="19" s="1"/>
  <c r="Y314" i="19"/>
  <c r="Z314" i="19" s="1"/>
  <c r="Y288" i="19"/>
  <c r="Z288" i="19" s="1"/>
  <c r="Y17" i="19"/>
  <c r="Z17" i="19" s="1"/>
  <c r="Y116" i="19"/>
  <c r="Z116" i="19" s="1"/>
  <c r="Y305" i="19"/>
  <c r="Z305" i="19" s="1"/>
  <c r="Y23" i="19"/>
  <c r="Z23" i="19" s="1"/>
  <c r="Y138" i="19"/>
  <c r="Z138" i="19" s="1"/>
  <c r="Y177" i="19"/>
  <c r="Z177" i="19" s="1"/>
  <c r="Y292" i="19"/>
  <c r="Z292" i="19" s="1"/>
  <c r="Y267" i="19"/>
  <c r="Z267" i="19" s="1"/>
  <c r="Y130" i="19"/>
  <c r="Z130" i="19" s="1"/>
  <c r="Y239" i="19"/>
  <c r="Z239" i="19" s="1"/>
  <c r="Y142" i="19"/>
  <c r="Z142" i="19" s="1"/>
  <c r="Y221" i="19"/>
  <c r="Z221" i="19" s="1"/>
  <c r="Y6" i="19"/>
  <c r="Z6" i="19" s="1"/>
  <c r="Y246" i="19"/>
  <c r="Z246" i="19" s="1"/>
  <c r="Y51" i="19"/>
  <c r="Z51" i="19" s="1"/>
  <c r="Y40" i="19"/>
  <c r="Z40" i="19" s="1"/>
  <c r="Y195" i="19"/>
  <c r="Z195" i="19" s="1"/>
  <c r="Y5" i="19"/>
  <c r="Y108" i="19"/>
  <c r="Z108" i="19" s="1"/>
  <c r="Y7" i="19"/>
  <c r="Z7" i="19" s="1"/>
  <c r="Y101" i="19"/>
  <c r="Z101" i="19" s="1"/>
  <c r="Y34" i="19"/>
  <c r="Z34" i="19" s="1"/>
  <c r="Y86" i="19"/>
  <c r="Z86" i="19" s="1"/>
  <c r="Y119" i="19"/>
  <c r="Z119" i="19" s="1"/>
  <c r="Y109" i="19"/>
  <c r="Z109" i="19" s="1"/>
  <c r="Y90" i="19"/>
  <c r="Z90" i="19" s="1"/>
  <c r="Y95" i="19"/>
  <c r="Z95" i="19" s="1"/>
  <c r="Y44" i="19"/>
  <c r="Z44" i="19" s="1"/>
  <c r="Y30" i="19"/>
  <c r="Z30" i="19" s="1"/>
  <c r="Y72" i="19"/>
  <c r="Z72" i="19" s="1"/>
  <c r="Y93" i="19"/>
  <c r="Z93" i="19" s="1"/>
  <c r="Y146" i="19"/>
  <c r="Z146" i="19" s="1"/>
  <c r="Y151" i="19"/>
  <c r="Z151" i="19" s="1"/>
  <c r="Y262" i="19"/>
  <c r="Z262" i="19" s="1"/>
  <c r="Y282" i="19"/>
  <c r="Z282" i="19" s="1"/>
  <c r="Y293" i="19"/>
  <c r="Z293" i="19" s="1"/>
  <c r="Y135" i="19"/>
  <c r="Z135" i="19" s="1"/>
  <c r="Y215" i="19"/>
  <c r="Z215" i="19" s="1"/>
  <c r="Y254" i="19"/>
  <c r="Z254" i="19" s="1"/>
  <c r="Y82" i="19"/>
  <c r="Z82" i="19" s="1"/>
  <c r="Y121" i="19"/>
  <c r="Z121" i="19" s="1"/>
  <c r="Y200" i="19"/>
  <c r="Z200" i="19" s="1"/>
  <c r="Y269" i="19"/>
  <c r="Z269" i="19" s="1"/>
  <c r="Y186" i="19"/>
  <c r="Z186" i="19" s="1"/>
  <c r="Y250" i="19"/>
  <c r="Z250" i="19" s="1"/>
  <c r="Y115" i="19"/>
  <c r="Z115" i="19" s="1"/>
  <c r="Y48" i="19"/>
  <c r="Z48" i="19" s="1"/>
  <c r="Y73" i="19"/>
  <c r="Z73" i="19" s="1"/>
  <c r="Y307" i="19"/>
  <c r="Z307" i="19" s="1"/>
  <c r="Y243" i="19"/>
  <c r="Z243" i="19" s="1"/>
  <c r="Y310" i="19"/>
  <c r="Z310" i="19" s="1"/>
  <c r="Y228" i="19"/>
  <c r="Z228" i="19" s="1"/>
  <c r="Y12" i="19"/>
  <c r="Z12" i="19" s="1"/>
  <c r="Y297" i="19"/>
  <c r="Z297" i="19" s="1"/>
  <c r="Y152" i="19"/>
  <c r="Z152" i="19" s="1"/>
  <c r="Y263" i="19"/>
  <c r="Z263" i="19" s="1"/>
  <c r="Y295" i="19"/>
  <c r="Z295" i="19" s="1"/>
  <c r="Y245" i="19"/>
  <c r="Z245" i="19" s="1"/>
  <c r="Y313" i="19"/>
  <c r="Z313" i="19" s="1"/>
  <c r="Y202" i="19"/>
  <c r="Z202" i="19" s="1"/>
  <c r="Y235" i="19"/>
  <c r="Z235" i="19" s="1"/>
  <c r="Y163" i="19"/>
  <c r="Z163" i="19" s="1"/>
  <c r="Y67" i="19"/>
  <c r="Z67" i="19" s="1"/>
  <c r="Y16" i="19"/>
  <c r="Z16" i="19" s="1"/>
  <c r="Y162" i="19"/>
  <c r="Z162" i="19" s="1"/>
  <c r="Y144" i="19"/>
  <c r="Z144" i="19" s="1"/>
  <c r="Y126" i="19"/>
  <c r="Z126" i="19" s="1"/>
  <c r="Y185" i="19"/>
  <c r="Z185" i="19" s="1"/>
  <c r="Y274" i="19"/>
  <c r="Z274" i="19" s="1"/>
  <c r="Y55" i="19"/>
  <c r="Z55" i="19" s="1"/>
  <c r="Y56" i="19"/>
  <c r="Z56" i="19" s="1"/>
  <c r="Y276" i="19"/>
  <c r="Z276" i="19" s="1"/>
  <c r="Y47" i="19"/>
  <c r="Z47" i="19" s="1"/>
  <c r="Y105" i="19"/>
  <c r="Z105" i="19" s="1"/>
  <c r="Y287" i="19"/>
  <c r="Z287" i="19" s="1"/>
  <c r="Y284" i="19"/>
  <c r="Z284" i="19" s="1"/>
  <c r="Y42" i="19"/>
  <c r="Z42" i="19" s="1"/>
  <c r="Y199" i="19"/>
  <c r="Z199" i="19" s="1"/>
  <c r="Y118" i="19"/>
  <c r="Z118" i="19" s="1"/>
  <c r="Y240" i="19"/>
  <c r="Z240" i="19" s="1"/>
  <c r="Y311" i="19"/>
  <c r="Z311" i="19" s="1"/>
  <c r="Y141" i="19"/>
  <c r="Z141" i="19" s="1"/>
  <c r="Y248" i="19"/>
  <c r="Z248" i="19" s="1"/>
  <c r="Y81" i="19"/>
  <c r="Z81" i="19" s="1"/>
  <c r="Y18" i="19"/>
  <c r="Z18" i="19" s="1"/>
  <c r="Y218" i="19"/>
  <c r="Z218" i="19" s="1"/>
  <c r="Y120" i="19"/>
  <c r="Z120" i="19" s="1"/>
  <c r="Y124" i="19"/>
  <c r="Z124" i="19" s="1"/>
  <c r="Y315" i="19"/>
  <c r="Z315" i="19" s="1"/>
  <c r="Y61" i="19"/>
  <c r="Z61" i="19" s="1"/>
  <c r="Y133" i="19"/>
  <c r="Z133" i="19" s="1"/>
  <c r="Y303" i="19"/>
  <c r="Z303" i="19" s="1"/>
  <c r="Y223" i="19"/>
  <c r="Z223" i="19" s="1"/>
  <c r="Y54" i="19"/>
  <c r="Z54" i="19" s="1"/>
  <c r="Y145" i="19"/>
  <c r="Z145" i="19" s="1"/>
  <c r="Y244" i="19"/>
  <c r="Z244" i="19" s="1"/>
  <c r="Y134" i="19"/>
  <c r="Z134" i="19" s="1"/>
  <c r="Y20" i="19"/>
  <c r="Z20" i="19" s="1"/>
  <c r="Y204" i="19"/>
  <c r="Z204" i="19" s="1"/>
  <c r="Y8" i="19"/>
  <c r="Z8" i="19" s="1"/>
  <c r="Y197" i="19"/>
  <c r="Z197" i="19" s="1"/>
  <c r="Y219" i="19"/>
  <c r="Z219" i="19" s="1"/>
  <c r="Y192" i="19"/>
  <c r="Z192" i="19" s="1"/>
  <c r="Y13" i="19"/>
  <c r="Z13" i="19" s="1"/>
  <c r="Y189" i="19"/>
  <c r="Z189" i="19" s="1"/>
  <c r="Y26" i="19"/>
  <c r="Z26" i="19" s="1"/>
  <c r="Y94" i="19"/>
  <c r="Z94" i="19" s="1"/>
  <c r="Y184" i="19"/>
  <c r="Z184" i="19" s="1"/>
  <c r="Y59" i="19"/>
  <c r="Z59" i="19" s="1"/>
  <c r="Y281" i="19"/>
  <c r="Z281" i="19" s="1"/>
  <c r="Y91" i="19"/>
  <c r="Z91" i="19" s="1"/>
  <c r="Y172" i="19"/>
  <c r="Z172" i="19" s="1"/>
  <c r="Y309" i="19"/>
  <c r="Z309" i="19" s="1"/>
  <c r="Y38" i="19"/>
  <c r="Z38" i="19" s="1"/>
  <c r="Y190" i="19"/>
  <c r="Z190" i="19" s="1"/>
  <c r="Y97" i="19"/>
  <c r="Z97" i="19" s="1"/>
  <c r="Y58" i="19"/>
  <c r="Z58" i="19" s="1"/>
  <c r="Y203" i="19"/>
  <c r="Z203" i="19" s="1"/>
  <c r="Y99" i="19"/>
  <c r="Z99" i="19" s="1"/>
  <c r="Y253" i="19"/>
  <c r="Z253" i="19" s="1"/>
  <c r="Y277" i="19"/>
  <c r="Z277" i="19" s="1"/>
  <c r="Y84" i="19"/>
  <c r="Z84" i="19" s="1"/>
  <c r="Y139" i="19"/>
  <c r="Z139" i="19" s="1"/>
  <c r="Y21" i="19"/>
  <c r="Z21" i="19" s="1"/>
  <c r="Y28" i="19"/>
  <c r="Z28" i="19" s="1"/>
  <c r="Y154" i="19"/>
  <c r="Z154" i="19" s="1"/>
  <c r="Y312" i="19"/>
  <c r="Z312" i="19" s="1"/>
  <c r="Y205" i="19"/>
  <c r="Z205" i="19" s="1"/>
  <c r="Y272" i="19"/>
  <c r="Z272" i="19" s="1"/>
  <c r="Y242" i="19"/>
  <c r="Z242" i="19" s="1"/>
  <c r="Y66" i="19"/>
  <c r="Z66" i="19" s="1"/>
  <c r="Y181" i="19"/>
  <c r="Z181" i="19" s="1"/>
  <c r="Y196" i="19"/>
  <c r="Z196" i="19" s="1"/>
  <c r="Y270" i="19"/>
  <c r="Z270" i="19" s="1"/>
  <c r="Y252" i="19"/>
  <c r="Z252" i="19" s="1"/>
  <c r="Y265" i="19"/>
  <c r="Z265" i="19" s="1"/>
  <c r="Y150" i="19"/>
  <c r="Z150" i="19" s="1"/>
  <c r="Y14" i="19"/>
  <c r="Z14" i="19" s="1"/>
  <c r="Y211" i="19"/>
  <c r="Z211" i="19" s="1"/>
  <c r="Y187" i="19"/>
  <c r="Z187" i="19" s="1"/>
  <c r="Y178" i="19"/>
  <c r="Z178" i="19" s="1"/>
  <c r="Y259" i="19"/>
  <c r="Z259" i="19" s="1"/>
  <c r="Y62" i="19"/>
  <c r="Z62" i="19" s="1"/>
  <c r="Y36" i="19"/>
  <c r="Z36" i="19" s="1"/>
  <c r="Y258" i="19"/>
  <c r="Z258" i="19" s="1"/>
  <c r="Y140" i="19"/>
  <c r="Z140" i="19" s="1"/>
  <c r="Y255" i="19"/>
  <c r="Z255" i="19" s="1"/>
  <c r="Y131" i="19"/>
  <c r="Z131" i="19" s="1"/>
  <c r="Y153" i="19"/>
  <c r="Z153" i="19" s="1"/>
  <c r="Y237" i="19"/>
  <c r="Z237" i="19" s="1"/>
  <c r="Y206" i="19"/>
  <c r="Z206" i="19" s="1"/>
  <c r="Y176" i="19"/>
  <c r="Z176" i="19" s="1"/>
  <c r="Y79" i="19"/>
  <c r="Z79" i="19" s="1"/>
  <c r="Y298" i="19"/>
  <c r="Z298" i="19" s="1"/>
  <c r="Y37" i="19"/>
  <c r="Z37" i="19" s="1"/>
  <c r="Y9" i="19"/>
  <c r="Z9" i="19" s="1"/>
  <c r="Y316" i="19"/>
  <c r="Z316" i="19" s="1"/>
  <c r="Y268" i="19"/>
  <c r="Z268" i="19" s="1"/>
  <c r="Y164" i="19"/>
  <c r="Z164" i="19" s="1"/>
  <c r="Y247" i="19"/>
  <c r="Z247" i="19" s="1"/>
  <c r="Y160" i="19"/>
  <c r="Z160" i="19" s="1"/>
  <c r="Y214" i="19"/>
  <c r="Z214" i="19" s="1"/>
  <c r="Y300" i="19"/>
  <c r="Z300" i="19" s="1"/>
  <c r="Y148" i="19"/>
  <c r="Z148" i="19" s="1"/>
  <c r="Y317" i="19"/>
  <c r="Z317" i="19" s="1"/>
  <c r="Y112" i="19"/>
  <c r="Z112" i="19" s="1"/>
  <c r="Y77" i="19"/>
  <c r="Z77" i="19" s="1"/>
  <c r="Y165" i="19"/>
  <c r="Z165" i="19" s="1"/>
  <c r="Y65" i="19"/>
  <c r="Z65" i="19" s="1"/>
  <c r="Y41" i="19"/>
  <c r="Z41" i="19" s="1"/>
  <c r="Y35" i="19"/>
  <c r="Z35" i="19" s="1"/>
  <c r="Y266" i="19"/>
  <c r="Z266" i="19" s="1"/>
  <c r="Y102" i="19"/>
  <c r="Z102" i="19" s="1"/>
  <c r="Y31" i="19"/>
  <c r="Z31" i="19" s="1"/>
  <c r="Y257" i="19"/>
  <c r="Z257" i="19" s="1"/>
  <c r="Y241" i="19"/>
  <c r="Z241" i="19" s="1"/>
  <c r="Y216" i="19"/>
  <c r="Z216" i="19" s="1"/>
  <c r="Y289" i="19"/>
  <c r="Z289" i="19" s="1"/>
  <c r="Y33" i="19"/>
  <c r="Z33" i="19" s="1"/>
  <c r="Y273" i="19"/>
  <c r="Z273" i="19" s="1"/>
  <c r="Y157" i="19"/>
  <c r="Z157" i="19" s="1"/>
  <c r="Y143" i="19"/>
  <c r="Z143" i="19" s="1"/>
  <c r="Y271" i="19"/>
  <c r="Z271" i="19" s="1"/>
  <c r="Y222" i="19"/>
  <c r="Z222" i="19" s="1"/>
  <c r="Y70" i="19"/>
  <c r="Z70" i="19" s="1"/>
  <c r="Y290" i="19"/>
  <c r="Z290" i="19" s="1"/>
  <c r="Y209" i="19"/>
  <c r="Z209" i="19" s="1"/>
  <c r="Y182" i="19"/>
  <c r="Z182" i="19" s="1"/>
  <c r="Y147" i="19"/>
  <c r="Z147" i="19" s="1"/>
  <c r="Y161" i="19"/>
  <c r="Z161" i="19" s="1"/>
  <c r="Y308" i="19"/>
  <c r="Z308" i="19" s="1"/>
  <c r="Y286" i="19"/>
  <c r="Z286" i="19" s="1"/>
  <c r="Y251" i="19"/>
  <c r="Z251" i="19" s="1"/>
  <c r="Y256" i="19"/>
  <c r="Z256" i="19" s="1"/>
  <c r="Y166" i="19"/>
  <c r="Z166" i="19" s="1"/>
  <c r="Y57" i="19"/>
  <c r="Z57" i="19" s="1"/>
  <c r="Y158" i="19"/>
  <c r="Z158" i="19" s="1"/>
  <c r="Y188" i="19"/>
  <c r="Z188" i="19" s="1"/>
  <c r="Y170" i="19"/>
  <c r="Z170" i="19" s="1"/>
  <c r="Y193" i="19"/>
  <c r="Z193" i="19" s="1"/>
  <c r="Y213" i="19"/>
  <c r="Z213" i="19" s="1"/>
  <c r="Y39" i="19"/>
  <c r="Z39" i="19" s="1"/>
  <c r="Y261" i="19"/>
  <c r="Z261" i="19" s="1"/>
  <c r="Y68" i="19"/>
  <c r="Z68" i="19" s="1"/>
  <c r="Y53" i="19"/>
  <c r="Z53" i="19" s="1"/>
  <c r="Y191" i="19"/>
  <c r="Z191" i="19" s="1"/>
  <c r="Y285" i="19"/>
  <c r="Z285" i="19" s="1"/>
  <c r="Y260" i="19"/>
  <c r="Z260" i="19" s="1"/>
  <c r="Y179" i="19"/>
  <c r="Z179" i="19" s="1"/>
  <c r="Y114" i="19"/>
  <c r="Z114" i="19" s="1"/>
  <c r="Y60" i="19"/>
  <c r="Z60" i="19" s="1"/>
  <c r="Y110" i="19"/>
  <c r="Z110" i="19" s="1"/>
  <c r="Y24" i="19"/>
  <c r="Z24" i="19" s="1"/>
  <c r="Y78" i="19"/>
  <c r="Z78" i="19" s="1"/>
  <c r="Y217" i="19"/>
  <c r="Z217" i="19" s="1"/>
  <c r="Y122" i="19"/>
  <c r="Z122" i="19" s="1"/>
  <c r="Y129" i="19"/>
  <c r="Z129" i="19" s="1"/>
  <c r="Y25" i="19"/>
  <c r="Z25" i="19" s="1"/>
  <c r="Y278" i="19"/>
  <c r="Z278" i="19" s="1"/>
  <c r="Y304" i="19"/>
  <c r="Z304" i="19" s="1"/>
  <c r="Y52" i="19"/>
  <c r="Z52" i="19" s="1"/>
  <c r="Y103" i="19"/>
  <c r="Z103" i="19" s="1"/>
  <c r="Y45" i="19"/>
  <c r="Z45" i="19" s="1"/>
  <c r="Y175" i="19"/>
  <c r="Z175" i="19" s="1"/>
  <c r="Y159" i="19"/>
  <c r="Z159" i="19" s="1"/>
  <c r="Y169" i="19"/>
  <c r="Z169" i="19" s="1"/>
  <c r="Y29" i="19"/>
  <c r="Z29" i="19" s="1"/>
  <c r="Y75" i="19"/>
  <c r="Z75" i="19" s="1"/>
  <c r="Y167" i="19"/>
  <c r="Z167" i="19" s="1"/>
  <c r="Y76" i="19"/>
  <c r="Z76" i="19" s="1"/>
  <c r="Y249" i="19"/>
  <c r="Z249" i="19" s="1"/>
  <c r="Y4" i="19"/>
  <c r="Y19" i="19"/>
  <c r="Z19" i="19" s="1"/>
  <c r="Y318" i="19"/>
  <c r="Z318" i="19" s="1"/>
  <c r="Y173" i="19"/>
  <c r="Z173" i="19" s="1"/>
  <c r="Y49" i="19"/>
  <c r="Z49" i="19" s="1"/>
  <c r="Y236" i="19"/>
  <c r="Z236" i="19" s="1"/>
  <c r="Z4" i="19" l="1"/>
  <c r="Y3" i="19" a="1"/>
  <c r="Y3" i="19" s="1"/>
  <c r="Z5" i="19"/>
  <c r="C24" i="41"/>
  <c r="Z3" i="19" l="1" a="1"/>
  <c r="Z3" i="19" s="1"/>
  <c r="AA236" i="19" s="1"/>
  <c r="AB236" i="19" s="1"/>
  <c r="AE236" i="19" s="1"/>
  <c r="AA243" i="19" l="1"/>
  <c r="AB243" i="19" s="1"/>
  <c r="AE243" i="19" s="1"/>
  <c r="AA246" i="19"/>
  <c r="AB246" i="19" s="1"/>
  <c r="AE246" i="19" s="1"/>
  <c r="AA119" i="19"/>
  <c r="AB119" i="19" s="1"/>
  <c r="AE119" i="19" s="1"/>
  <c r="AA303" i="19"/>
  <c r="AB303" i="19" s="1"/>
  <c r="AE303" i="19" s="1"/>
  <c r="AA88" i="19"/>
  <c r="AB88" i="19" s="1"/>
  <c r="AE88" i="19" s="1"/>
  <c r="AA211" i="19"/>
  <c r="AB211" i="19" s="1"/>
  <c r="AD211" i="19" s="1"/>
  <c r="AA275" i="19"/>
  <c r="AB275" i="19" s="1"/>
  <c r="AE275" i="19" s="1"/>
  <c r="AA94" i="19"/>
  <c r="AB94" i="19" s="1"/>
  <c r="AE94" i="19" s="1"/>
  <c r="AA318" i="19"/>
  <c r="AB318" i="19" s="1"/>
  <c r="AE318" i="19" s="1"/>
  <c r="AA133" i="19"/>
  <c r="AB133" i="19" s="1"/>
  <c r="AE133" i="19" s="1"/>
  <c r="AA208" i="19"/>
  <c r="AB208" i="19" s="1"/>
  <c r="AE208" i="19" s="1"/>
  <c r="AA77" i="19"/>
  <c r="AB77" i="19" s="1"/>
  <c r="AE77" i="19" s="1"/>
  <c r="AA296" i="19"/>
  <c r="AB296" i="19" s="1"/>
  <c r="AE296" i="19" s="1"/>
  <c r="AA204" i="19"/>
  <c r="AB204" i="19" s="1"/>
  <c r="AE204" i="19" s="1"/>
  <c r="AA168" i="19"/>
  <c r="AB168" i="19" s="1"/>
  <c r="AE168" i="19" s="1"/>
  <c r="AA316" i="19"/>
  <c r="AB316" i="19" s="1"/>
  <c r="AE316" i="19" s="1"/>
  <c r="AA174" i="19"/>
  <c r="AB174" i="19" s="1"/>
  <c r="AE174" i="19" s="1"/>
  <c r="AA218" i="19"/>
  <c r="AB218" i="19" s="1"/>
  <c r="AE218" i="19" s="1"/>
  <c r="AA74" i="19"/>
  <c r="AB74" i="19" s="1"/>
  <c r="AE74" i="19" s="1"/>
  <c r="AA297" i="19"/>
  <c r="AB297" i="19" s="1"/>
  <c r="AE297" i="19" s="1"/>
  <c r="AA171" i="19"/>
  <c r="AB171" i="19" s="1"/>
  <c r="AE171" i="19" s="1"/>
  <c r="AA175" i="19"/>
  <c r="AB175" i="19" s="1"/>
  <c r="AE175" i="19" s="1"/>
  <c r="AA278" i="19"/>
  <c r="AB278" i="19" s="1"/>
  <c r="AE278" i="19" s="1"/>
  <c r="AA25" i="19"/>
  <c r="AB25" i="19" s="1"/>
  <c r="AE25" i="19" s="1"/>
  <c r="AA248" i="19"/>
  <c r="AB248" i="19" s="1"/>
  <c r="AE248" i="19" s="1"/>
  <c r="AA120" i="19"/>
  <c r="AB120" i="19" s="1"/>
  <c r="AE120" i="19" s="1"/>
  <c r="AA229" i="19"/>
  <c r="AB229" i="19" s="1"/>
  <c r="AE229" i="19" s="1"/>
  <c r="AA210" i="19"/>
  <c r="AB210" i="19" s="1"/>
  <c r="AE210" i="19" s="1"/>
  <c r="AA52" i="19"/>
  <c r="AB52" i="19" s="1"/>
  <c r="AE52" i="19" s="1"/>
  <c r="AA186" i="19"/>
  <c r="AB186" i="19" s="1"/>
  <c r="AE186" i="19" s="1"/>
  <c r="AA249" i="19"/>
  <c r="AB249" i="19" s="1"/>
  <c r="AE249" i="19" s="1"/>
  <c r="AA131" i="19"/>
  <c r="AB131" i="19" s="1"/>
  <c r="AE131" i="19" s="1"/>
  <c r="AA291" i="19"/>
  <c r="AB291" i="19" s="1"/>
  <c r="AE291" i="19" s="1"/>
  <c r="AA292" i="19"/>
  <c r="AB292" i="19" s="1"/>
  <c r="AE292" i="19" s="1"/>
  <c r="AA214" i="19"/>
  <c r="AB214" i="19" s="1"/>
  <c r="AE214" i="19" s="1"/>
  <c r="AA221" i="19"/>
  <c r="AB221" i="19" s="1"/>
  <c r="AE221" i="19" s="1"/>
  <c r="AA310" i="19"/>
  <c r="AB310" i="19" s="1"/>
  <c r="AE310" i="19" s="1"/>
  <c r="AA176" i="19"/>
  <c r="AB176" i="19" s="1"/>
  <c r="AE176" i="19" s="1"/>
  <c r="AA245" i="19"/>
  <c r="AB245" i="19" s="1"/>
  <c r="AE245" i="19" s="1"/>
  <c r="AA101" i="19"/>
  <c r="AB101" i="19" s="1"/>
  <c r="AE101" i="19" s="1"/>
  <c r="AA159" i="19"/>
  <c r="AB159" i="19" s="1"/>
  <c r="AE159" i="19" s="1"/>
  <c r="AA41" i="19"/>
  <c r="AB41" i="19" s="1"/>
  <c r="AE41" i="19" s="1"/>
  <c r="AA45" i="19"/>
  <c r="AB45" i="19" s="1"/>
  <c r="AE45" i="19" s="1"/>
  <c r="AA19" i="19"/>
  <c r="AB19" i="19" s="1"/>
  <c r="AE19" i="19" s="1"/>
  <c r="AA152" i="19"/>
  <c r="AB152" i="19" s="1"/>
  <c r="AE152" i="19" s="1"/>
  <c r="AA313" i="19"/>
  <c r="AB313" i="19" s="1"/>
  <c r="AE313" i="19" s="1"/>
  <c r="AA240" i="19"/>
  <c r="AB240" i="19" s="1"/>
  <c r="AE240" i="19" s="1"/>
  <c r="AA276" i="19"/>
  <c r="AB276" i="19" s="1"/>
  <c r="AE276" i="19" s="1"/>
  <c r="AA289" i="19"/>
  <c r="AB289" i="19" s="1"/>
  <c r="AE289" i="19" s="1"/>
  <c r="AA306" i="19"/>
  <c r="AB306" i="19" s="1"/>
  <c r="AE306" i="19" s="1"/>
  <c r="AA228" i="19"/>
  <c r="AB228" i="19" s="1"/>
  <c r="AE228" i="19" s="1"/>
  <c r="AA93" i="19"/>
  <c r="AB93" i="19" s="1"/>
  <c r="AE93" i="19" s="1"/>
  <c r="AA190" i="19"/>
  <c r="AB190" i="19" s="1"/>
  <c r="AE190" i="19" s="1"/>
  <c r="AA16" i="19"/>
  <c r="AB16" i="19" s="1"/>
  <c r="AE16" i="19" s="1"/>
  <c r="AA58" i="19"/>
  <c r="AB58" i="19" s="1"/>
  <c r="AE58" i="19" s="1"/>
  <c r="AA38" i="19"/>
  <c r="AB38" i="19" s="1"/>
  <c r="AE38" i="19" s="1"/>
  <c r="AA121" i="19"/>
  <c r="AB121" i="19" s="1"/>
  <c r="AE121" i="19" s="1"/>
  <c r="AA167" i="19"/>
  <c r="AB167" i="19" s="1"/>
  <c r="AE167" i="19" s="1"/>
  <c r="AA103" i="19"/>
  <c r="AB103" i="19" s="1"/>
  <c r="AE103" i="19" s="1"/>
  <c r="AA233" i="19"/>
  <c r="AB233" i="19" s="1"/>
  <c r="AE233" i="19" s="1"/>
  <c r="AA136" i="19"/>
  <c r="AB136" i="19" s="1"/>
  <c r="AE136" i="19" s="1"/>
  <c r="AA309" i="19"/>
  <c r="AB309" i="19" s="1"/>
  <c r="AE309" i="19" s="1"/>
  <c r="AA66" i="19"/>
  <c r="AB66" i="19" s="1"/>
  <c r="AE66" i="19" s="1"/>
  <c r="AA145" i="19"/>
  <c r="AB145" i="19" s="1"/>
  <c r="AE145" i="19" s="1"/>
  <c r="AA90" i="19"/>
  <c r="AB90" i="19" s="1"/>
  <c r="AE90" i="19" s="1"/>
  <c r="AA286" i="19"/>
  <c r="AB286" i="19" s="1"/>
  <c r="AE286" i="19" s="1"/>
  <c r="AA166" i="19"/>
  <c r="AB166" i="19" s="1"/>
  <c r="AE166" i="19" s="1"/>
  <c r="AA110" i="19"/>
  <c r="AB110" i="19" s="1"/>
  <c r="AE110" i="19" s="1"/>
  <c r="AA150" i="19"/>
  <c r="AB150" i="19" s="1"/>
  <c r="AE150" i="19" s="1"/>
  <c r="AA33" i="19"/>
  <c r="AB33" i="19" s="1"/>
  <c r="AE33" i="19" s="1"/>
  <c r="AA241" i="19"/>
  <c r="AB241" i="19" s="1"/>
  <c r="AE241" i="19" s="1"/>
  <c r="AA55" i="19"/>
  <c r="AB55" i="19" s="1"/>
  <c r="AE55" i="19" s="1"/>
  <c r="AA315" i="19"/>
  <c r="AB315" i="19" s="1"/>
  <c r="AE315" i="19" s="1"/>
  <c r="AA307" i="19"/>
  <c r="AB307" i="19" s="1"/>
  <c r="AE307" i="19" s="1"/>
  <c r="AA280" i="19"/>
  <c r="AB280" i="19" s="1"/>
  <c r="AE280" i="19" s="1"/>
  <c r="AA197" i="19"/>
  <c r="AB197" i="19" s="1"/>
  <c r="AE197" i="19" s="1"/>
  <c r="AA154" i="19"/>
  <c r="AB154" i="19" s="1"/>
  <c r="AE154" i="19" s="1"/>
  <c r="AA227" i="19"/>
  <c r="AB227" i="19" s="1"/>
  <c r="AE227" i="19" s="1"/>
  <c r="AA107" i="19"/>
  <c r="AB107" i="19" s="1"/>
  <c r="AE107" i="19" s="1"/>
  <c r="AA251" i="19"/>
  <c r="AB251" i="19" s="1"/>
  <c r="AE251" i="19" s="1"/>
  <c r="AA143" i="19"/>
  <c r="AB143" i="19" s="1"/>
  <c r="AE143" i="19" s="1"/>
  <c r="AA199" i="19"/>
  <c r="AB199" i="19" s="1"/>
  <c r="AE199" i="19" s="1"/>
  <c r="AA170" i="19"/>
  <c r="AB170" i="19" s="1"/>
  <c r="AE170" i="19" s="1"/>
  <c r="AA108" i="19"/>
  <c r="AB108" i="19" s="1"/>
  <c r="AE108" i="19" s="1"/>
  <c r="AA137" i="19"/>
  <c r="AB137" i="19" s="1"/>
  <c r="AE137" i="19" s="1"/>
  <c r="AA87" i="19"/>
  <c r="AB87" i="19" s="1"/>
  <c r="AE87" i="19" s="1"/>
  <c r="AA209" i="19"/>
  <c r="AB209" i="19" s="1"/>
  <c r="AE209" i="19" s="1"/>
  <c r="AA173" i="19"/>
  <c r="AB173" i="19" s="1"/>
  <c r="AE173" i="19" s="1"/>
  <c r="AA259" i="19"/>
  <c r="AB259" i="19" s="1"/>
  <c r="AE259" i="19" s="1"/>
  <c r="AA24" i="19"/>
  <c r="AB24" i="19" s="1"/>
  <c r="AE24" i="19" s="1"/>
  <c r="AA217" i="19"/>
  <c r="AB217" i="19" s="1"/>
  <c r="AE217" i="19" s="1"/>
  <c r="AA61" i="19"/>
  <c r="AB61" i="19" s="1"/>
  <c r="AE61" i="19" s="1"/>
  <c r="AA207" i="19"/>
  <c r="AB207" i="19" s="1"/>
  <c r="AE207" i="19" s="1"/>
  <c r="AA132" i="19"/>
  <c r="AB132" i="19" s="1"/>
  <c r="AE132" i="19" s="1"/>
  <c r="AA22" i="19"/>
  <c r="AB22" i="19" s="1"/>
  <c r="AE22" i="19" s="1"/>
  <c r="AA7" i="19"/>
  <c r="AB7" i="19" s="1"/>
  <c r="AE7" i="19" s="1"/>
  <c r="AA282" i="19"/>
  <c r="AB282" i="19" s="1"/>
  <c r="AE282" i="19" s="1"/>
  <c r="AA134" i="19"/>
  <c r="AB134" i="19" s="1"/>
  <c r="AE134" i="19" s="1"/>
  <c r="AA290" i="19"/>
  <c r="AB290" i="19" s="1"/>
  <c r="AE290" i="19" s="1"/>
  <c r="AA273" i="19"/>
  <c r="AB273" i="19" s="1"/>
  <c r="AE273" i="19" s="1"/>
  <c r="AA202" i="19"/>
  <c r="AB202" i="19" s="1"/>
  <c r="AE202" i="19" s="1"/>
  <c r="AA83" i="19"/>
  <c r="AB83" i="19" s="1"/>
  <c r="AE83" i="19" s="1"/>
  <c r="AA262" i="19"/>
  <c r="AB262" i="19" s="1"/>
  <c r="AE262" i="19" s="1"/>
  <c r="AA242" i="19"/>
  <c r="AB242" i="19" s="1"/>
  <c r="AE242" i="19" s="1"/>
  <c r="AA13" i="19"/>
  <c r="AB13" i="19" s="1"/>
  <c r="AE13" i="19" s="1"/>
  <c r="AA179" i="19"/>
  <c r="AB179" i="19" s="1"/>
  <c r="AE179" i="19" s="1"/>
  <c r="AA158" i="19"/>
  <c r="AB158" i="19" s="1"/>
  <c r="AE158" i="19" s="1"/>
  <c r="AA238" i="19"/>
  <c r="AB238" i="19" s="1"/>
  <c r="AE238" i="19" s="1"/>
  <c r="AA111" i="19"/>
  <c r="AB111" i="19" s="1"/>
  <c r="AE111" i="19" s="1"/>
  <c r="AA59" i="19"/>
  <c r="AB59" i="19" s="1"/>
  <c r="AE59" i="19" s="1"/>
  <c r="AA142" i="19"/>
  <c r="AB142" i="19" s="1"/>
  <c r="AE142" i="19" s="1"/>
  <c r="AA114" i="19"/>
  <c r="AB114" i="19" s="1"/>
  <c r="AE114" i="19" s="1"/>
  <c r="AA163" i="19"/>
  <c r="AB163" i="19" s="1"/>
  <c r="AE163" i="19" s="1"/>
  <c r="AA284" i="19"/>
  <c r="AB284" i="19" s="1"/>
  <c r="AE284" i="19" s="1"/>
  <c r="AA92" i="19"/>
  <c r="AB92" i="19" s="1"/>
  <c r="AE92" i="19" s="1"/>
  <c r="AA219" i="19"/>
  <c r="AB219" i="19" s="1"/>
  <c r="AE219" i="19" s="1"/>
  <c r="AA40" i="19"/>
  <c r="AB40" i="19" s="1"/>
  <c r="AE40" i="19" s="1"/>
  <c r="AA147" i="19"/>
  <c r="AB147" i="19" s="1"/>
  <c r="AE147" i="19" s="1"/>
  <c r="AA299" i="19"/>
  <c r="AB299" i="19" s="1"/>
  <c r="AE299" i="19" s="1"/>
  <c r="AA109" i="19"/>
  <c r="AB109" i="19" s="1"/>
  <c r="AE109" i="19" s="1"/>
  <c r="AA265" i="19"/>
  <c r="AB265" i="19" s="1"/>
  <c r="AE265" i="19" s="1"/>
  <c r="AA220" i="19"/>
  <c r="AB220" i="19" s="1"/>
  <c r="AE220" i="19" s="1"/>
  <c r="AA15" i="19"/>
  <c r="AB15" i="19" s="1"/>
  <c r="AE15" i="19" s="1"/>
  <c r="AA124" i="19"/>
  <c r="AB124" i="19" s="1"/>
  <c r="AE124" i="19" s="1"/>
  <c r="AA153" i="19"/>
  <c r="AB153" i="19" s="1"/>
  <c r="AE153" i="19" s="1"/>
  <c r="AA302" i="19"/>
  <c r="AB302" i="19" s="1"/>
  <c r="AE302" i="19" s="1"/>
  <c r="AA305" i="19"/>
  <c r="AB305" i="19" s="1"/>
  <c r="AE305" i="19" s="1"/>
  <c r="AA300" i="19"/>
  <c r="AB300" i="19" s="1"/>
  <c r="AE300" i="19" s="1"/>
  <c r="AA267" i="19"/>
  <c r="AB267" i="19" s="1"/>
  <c r="AE267" i="19" s="1"/>
  <c r="AA9" i="19"/>
  <c r="AB9" i="19" s="1"/>
  <c r="AE9" i="19" s="1"/>
  <c r="AA75" i="19"/>
  <c r="AB75" i="19" s="1"/>
  <c r="AE75" i="19" s="1"/>
  <c r="AA51" i="19"/>
  <c r="AB51" i="19" s="1"/>
  <c r="AE51" i="19" s="1"/>
  <c r="AA91" i="19"/>
  <c r="AB91" i="19" s="1"/>
  <c r="AE91" i="19" s="1"/>
  <c r="AA11" i="19"/>
  <c r="AB11" i="19" s="1"/>
  <c r="AE11" i="19" s="1"/>
  <c r="AA213" i="19"/>
  <c r="AB213" i="19" s="1"/>
  <c r="AE213" i="19" s="1"/>
  <c r="AA30" i="19"/>
  <c r="AB30" i="19" s="1"/>
  <c r="AE30" i="19" s="1"/>
  <c r="AA146" i="19"/>
  <c r="AB146" i="19" s="1"/>
  <c r="AE146" i="19" s="1"/>
  <c r="AA283" i="19"/>
  <c r="AB283" i="19" s="1"/>
  <c r="AE283" i="19" s="1"/>
  <c r="AA182" i="19"/>
  <c r="AB182" i="19" s="1"/>
  <c r="AE182" i="19" s="1"/>
  <c r="AA162" i="19"/>
  <c r="AB162" i="19" s="1"/>
  <c r="AE162" i="19" s="1"/>
  <c r="AA65" i="19"/>
  <c r="AB65" i="19" s="1"/>
  <c r="AE65" i="19" s="1"/>
  <c r="AA234" i="19"/>
  <c r="AB234" i="19" s="1"/>
  <c r="AE234" i="19" s="1"/>
  <c r="AA157" i="19"/>
  <c r="AB157" i="19" s="1"/>
  <c r="AE157" i="19" s="1"/>
  <c r="AA277" i="19"/>
  <c r="AB277" i="19" s="1"/>
  <c r="AE277" i="19" s="1"/>
  <c r="AA191" i="19"/>
  <c r="AB191" i="19" s="1"/>
  <c r="AE191" i="19" s="1"/>
  <c r="AA60" i="19"/>
  <c r="AB60" i="19" s="1"/>
  <c r="AE60" i="19" s="1"/>
  <c r="AA49" i="19"/>
  <c r="AB49" i="19" s="1"/>
  <c r="AE49" i="19" s="1"/>
  <c r="AA37" i="19"/>
  <c r="AB37" i="19" s="1"/>
  <c r="AE37" i="19" s="1"/>
  <c r="AA287" i="19"/>
  <c r="AB287" i="19" s="1"/>
  <c r="AE287" i="19" s="1"/>
  <c r="AA46" i="19"/>
  <c r="AB46" i="19" s="1"/>
  <c r="AE46" i="19" s="1"/>
  <c r="AA31" i="19"/>
  <c r="AB31" i="19" s="1"/>
  <c r="AE31" i="19" s="1"/>
  <c r="AA250" i="19"/>
  <c r="AB250" i="19" s="1"/>
  <c r="AE250" i="19" s="1"/>
  <c r="AA135" i="19"/>
  <c r="AB135" i="19" s="1"/>
  <c r="AE135" i="19" s="1"/>
  <c r="AA82" i="19"/>
  <c r="AB82" i="19" s="1"/>
  <c r="AE82" i="19" s="1"/>
  <c r="AA23" i="19"/>
  <c r="AB23" i="19" s="1"/>
  <c r="AE23" i="19" s="1"/>
  <c r="AA20" i="19"/>
  <c r="AB20" i="19" s="1"/>
  <c r="AE20" i="19" s="1"/>
  <c r="AA269" i="19"/>
  <c r="AB269" i="19" s="1"/>
  <c r="AE269" i="19" s="1"/>
  <c r="AA235" i="19"/>
  <c r="AB235" i="19" s="1"/>
  <c r="AE235" i="19" s="1"/>
  <c r="AA17" i="19"/>
  <c r="AB17" i="19" s="1"/>
  <c r="AE17" i="19" s="1"/>
  <c r="AA312" i="19"/>
  <c r="AB312" i="19" s="1"/>
  <c r="AE312" i="19" s="1"/>
  <c r="AA42" i="19"/>
  <c r="AB42" i="19" s="1"/>
  <c r="AE42" i="19" s="1"/>
  <c r="AA122" i="19"/>
  <c r="AB122" i="19" s="1"/>
  <c r="AE122" i="19" s="1"/>
  <c r="AA73" i="19"/>
  <c r="AB73" i="19" s="1"/>
  <c r="AE73" i="19" s="1"/>
  <c r="AA257" i="19"/>
  <c r="AB257" i="19" s="1"/>
  <c r="AE257" i="19" s="1"/>
  <c r="AA8" i="19"/>
  <c r="AB8" i="19" s="1"/>
  <c r="AE8" i="19" s="1"/>
  <c r="AA256" i="19"/>
  <c r="AB256" i="19" s="1"/>
  <c r="AE256" i="19" s="1"/>
  <c r="AA141" i="19"/>
  <c r="AB141" i="19" s="1"/>
  <c r="AE141" i="19" s="1"/>
  <c r="AA295" i="19"/>
  <c r="AB295" i="19" s="1"/>
  <c r="AE295" i="19" s="1"/>
  <c r="AA63" i="19"/>
  <c r="AB63" i="19" s="1"/>
  <c r="AE63" i="19" s="1"/>
  <c r="AA89" i="19"/>
  <c r="AB89" i="19" s="1"/>
  <c r="AE89" i="19" s="1"/>
  <c r="AA50" i="19"/>
  <c r="AB50" i="19" s="1"/>
  <c r="AE50" i="19" s="1"/>
  <c r="AA258" i="19"/>
  <c r="AB258" i="19" s="1"/>
  <c r="AE258" i="19" s="1"/>
  <c r="AA252" i="19"/>
  <c r="AB252" i="19" s="1"/>
  <c r="AE252" i="19" s="1"/>
  <c r="AA155" i="19"/>
  <c r="AB155" i="19" s="1"/>
  <c r="AE155" i="19" s="1"/>
  <c r="AA62" i="19"/>
  <c r="AB62" i="19" s="1"/>
  <c r="AE62" i="19" s="1"/>
  <c r="AA231" i="19"/>
  <c r="AB231" i="19" s="1"/>
  <c r="AE231" i="19" s="1"/>
  <c r="AA68" i="19"/>
  <c r="AB68" i="19" s="1"/>
  <c r="AE68" i="19" s="1"/>
  <c r="AA193" i="19"/>
  <c r="AB193" i="19" s="1"/>
  <c r="AE193" i="19" s="1"/>
  <c r="AA102" i="19"/>
  <c r="AB102" i="19" s="1"/>
  <c r="AE102" i="19" s="1"/>
  <c r="AA201" i="19"/>
  <c r="AB201" i="19" s="1"/>
  <c r="AE201" i="19" s="1"/>
  <c r="AA85" i="19"/>
  <c r="AB85" i="19" s="1"/>
  <c r="AE85" i="19" s="1"/>
  <c r="AA71" i="19"/>
  <c r="AB71" i="19" s="1"/>
  <c r="AE71" i="19" s="1"/>
  <c r="AA196" i="19"/>
  <c r="AB196" i="19" s="1"/>
  <c r="AE196" i="19" s="1"/>
  <c r="AA130" i="19"/>
  <c r="AB130" i="19" s="1"/>
  <c r="AE130" i="19" s="1"/>
  <c r="AA27" i="19"/>
  <c r="AB27" i="19" s="1"/>
  <c r="AE27" i="19" s="1"/>
  <c r="AA156" i="19"/>
  <c r="AB156" i="19" s="1"/>
  <c r="AE156" i="19" s="1"/>
  <c r="AA253" i="19"/>
  <c r="AB253" i="19" s="1"/>
  <c r="AE253" i="19" s="1"/>
  <c r="AA224" i="19"/>
  <c r="AB224" i="19" s="1"/>
  <c r="AE224" i="19" s="1"/>
  <c r="AA53" i="19"/>
  <c r="AB53" i="19" s="1"/>
  <c r="AE53" i="19" s="1"/>
  <c r="AA5" i="19"/>
  <c r="AB5" i="19" s="1"/>
  <c r="AE5" i="19" s="1"/>
  <c r="AA84" i="19"/>
  <c r="AB84" i="19" s="1"/>
  <c r="AE84" i="19" s="1"/>
  <c r="AA187" i="19"/>
  <c r="AB187" i="19" s="1"/>
  <c r="AE187" i="19" s="1"/>
  <c r="AA194" i="19"/>
  <c r="AB194" i="19" s="1"/>
  <c r="AE194" i="19" s="1"/>
  <c r="AA56" i="19"/>
  <c r="AB56" i="19" s="1"/>
  <c r="AE56" i="19" s="1"/>
  <c r="AA266" i="19"/>
  <c r="AB266" i="19" s="1"/>
  <c r="AE266" i="19" s="1"/>
  <c r="AA261" i="19"/>
  <c r="AB261" i="19" s="1"/>
  <c r="AE261" i="19" s="1"/>
  <c r="AA239" i="19"/>
  <c r="AB239" i="19" s="1"/>
  <c r="AE239" i="19" s="1"/>
  <c r="AA96" i="19"/>
  <c r="AB96" i="19" s="1"/>
  <c r="AE96" i="19" s="1"/>
  <c r="AA106" i="19"/>
  <c r="AB106" i="19" s="1"/>
  <c r="AE106" i="19" s="1"/>
  <c r="AA225" i="19"/>
  <c r="AB225" i="19" s="1"/>
  <c r="AE225" i="19" s="1"/>
  <c r="AA255" i="19"/>
  <c r="AB255" i="19" s="1"/>
  <c r="AE255" i="19" s="1"/>
  <c r="AA301" i="19"/>
  <c r="AB301" i="19" s="1"/>
  <c r="AE301" i="19" s="1"/>
  <c r="AA57" i="19"/>
  <c r="AB57" i="19" s="1"/>
  <c r="AE57" i="19" s="1"/>
  <c r="AA216" i="19"/>
  <c r="AB216" i="19" s="1"/>
  <c r="AE216" i="19" s="1"/>
  <c r="AA129" i="19"/>
  <c r="AB129" i="19" s="1"/>
  <c r="AE129" i="19" s="1"/>
  <c r="AA125" i="19"/>
  <c r="AB125" i="19" s="1"/>
  <c r="AE125" i="19" s="1"/>
  <c r="AA311" i="19"/>
  <c r="AB311" i="19" s="1"/>
  <c r="AE311" i="19" s="1"/>
  <c r="AA105" i="19"/>
  <c r="AB105" i="19" s="1"/>
  <c r="AE105" i="19" s="1"/>
  <c r="AA165" i="19"/>
  <c r="AB165" i="19" s="1"/>
  <c r="AE165" i="19" s="1"/>
  <c r="AA148" i="19"/>
  <c r="AB148" i="19" s="1"/>
  <c r="AE148" i="19" s="1"/>
  <c r="AA12" i="19"/>
  <c r="AB12" i="19" s="1"/>
  <c r="AE12" i="19" s="1"/>
  <c r="AA64" i="19"/>
  <c r="AB64" i="19" s="1"/>
  <c r="AE64" i="19" s="1"/>
  <c r="AA198" i="19"/>
  <c r="AB198" i="19" s="1"/>
  <c r="AE198" i="19" s="1"/>
  <c r="AA28" i="19"/>
  <c r="AB28" i="19" s="1"/>
  <c r="AE28" i="19" s="1"/>
  <c r="AA308" i="19"/>
  <c r="AB308" i="19" s="1"/>
  <c r="AE308" i="19" s="1"/>
  <c r="AA100" i="19"/>
  <c r="AB100" i="19" s="1"/>
  <c r="AE100" i="19" s="1"/>
  <c r="AA237" i="19"/>
  <c r="AB237" i="19" s="1"/>
  <c r="AE237" i="19" s="1"/>
  <c r="AA78" i="19"/>
  <c r="AB78" i="19" s="1"/>
  <c r="AE78" i="19" s="1"/>
  <c r="AA86" i="19"/>
  <c r="AB86" i="19" s="1"/>
  <c r="AE86" i="19" s="1"/>
  <c r="AA271" i="19"/>
  <c r="AB271" i="19" s="1"/>
  <c r="AE271" i="19" s="1"/>
  <c r="AA80" i="19"/>
  <c r="AB80" i="19" s="1"/>
  <c r="AE80" i="19" s="1"/>
  <c r="AA189" i="19"/>
  <c r="AB189" i="19" s="1"/>
  <c r="AE189" i="19" s="1"/>
  <c r="AA140" i="19"/>
  <c r="AB140" i="19" s="1"/>
  <c r="AE140" i="19" s="1"/>
  <c r="AA115" i="19"/>
  <c r="AB115" i="19" s="1"/>
  <c r="AE115" i="19" s="1"/>
  <c r="AA264" i="19"/>
  <c r="AB264" i="19" s="1"/>
  <c r="AE264" i="19" s="1"/>
  <c r="AA160" i="19"/>
  <c r="AB160" i="19" s="1"/>
  <c r="AE160" i="19" s="1"/>
  <c r="AA18" i="19"/>
  <c r="AB18" i="19" s="1"/>
  <c r="AE18" i="19" s="1"/>
  <c r="AA200" i="19"/>
  <c r="AB200" i="19" s="1"/>
  <c r="AE200" i="19" s="1"/>
  <c r="AA206" i="19"/>
  <c r="AB206" i="19" s="1"/>
  <c r="AE206" i="19" s="1"/>
  <c r="AA164" i="19"/>
  <c r="AB164" i="19" s="1"/>
  <c r="AE164" i="19" s="1"/>
  <c r="AA79" i="19"/>
  <c r="AB79" i="19" s="1"/>
  <c r="AE79" i="19" s="1"/>
  <c r="AA279" i="19"/>
  <c r="AB279" i="19" s="1"/>
  <c r="AE279" i="19" s="1"/>
  <c r="AA144" i="19"/>
  <c r="AB144" i="19" s="1"/>
  <c r="AE144" i="19" s="1"/>
  <c r="AA39" i="19"/>
  <c r="AB39" i="19" s="1"/>
  <c r="AE39" i="19" s="1"/>
  <c r="AA123" i="19"/>
  <c r="AB123" i="19" s="1"/>
  <c r="AE123" i="19" s="1"/>
  <c r="AA48" i="19"/>
  <c r="AB48" i="19" s="1"/>
  <c r="AE48" i="19" s="1"/>
  <c r="AA226" i="19"/>
  <c r="AB226" i="19" s="1"/>
  <c r="AE226" i="19" s="1"/>
  <c r="AA34" i="19"/>
  <c r="AB34" i="19" s="1"/>
  <c r="AE34" i="19" s="1"/>
  <c r="AA230" i="19"/>
  <c r="AB230" i="19" s="1"/>
  <c r="AE230" i="19" s="1"/>
  <c r="AA212" i="19"/>
  <c r="AB212" i="19" s="1"/>
  <c r="AE212" i="19" s="1"/>
  <c r="AA177" i="19"/>
  <c r="AB177" i="19" s="1"/>
  <c r="AE177" i="19" s="1"/>
  <c r="AA293" i="19"/>
  <c r="AB293" i="19" s="1"/>
  <c r="AE293" i="19" s="1"/>
  <c r="AA97" i="19"/>
  <c r="AB97" i="19" s="1"/>
  <c r="AE97" i="19" s="1"/>
  <c r="AA151" i="19"/>
  <c r="AB151" i="19" s="1"/>
  <c r="AE151" i="19" s="1"/>
  <c r="AA203" i="19"/>
  <c r="AB203" i="19" s="1"/>
  <c r="AE203" i="19" s="1"/>
  <c r="AA185" i="19"/>
  <c r="AB185" i="19" s="1"/>
  <c r="AE185" i="19" s="1"/>
  <c r="AA81" i="19"/>
  <c r="AB81" i="19" s="1"/>
  <c r="AE81" i="19" s="1"/>
  <c r="AA294" i="19"/>
  <c r="AB294" i="19" s="1"/>
  <c r="AE294" i="19" s="1"/>
  <c r="AA4" i="19"/>
  <c r="AB4" i="19" s="1"/>
  <c r="AE4" i="19" s="1"/>
  <c r="AA181" i="19"/>
  <c r="AB181" i="19" s="1"/>
  <c r="AE181" i="19" s="1"/>
  <c r="AA95" i="19"/>
  <c r="AB95" i="19" s="1"/>
  <c r="AE95" i="19" s="1"/>
  <c r="AA288" i="19"/>
  <c r="AB288" i="19" s="1"/>
  <c r="AE288" i="19" s="1"/>
  <c r="AA281" i="19"/>
  <c r="AB281" i="19" s="1"/>
  <c r="AE281" i="19" s="1"/>
  <c r="AA126" i="19"/>
  <c r="AB126" i="19" s="1"/>
  <c r="AE126" i="19" s="1"/>
  <c r="AA180" i="19"/>
  <c r="AB180" i="19" s="1"/>
  <c r="AE180" i="19" s="1"/>
  <c r="AA21" i="19"/>
  <c r="AB21" i="19" s="1"/>
  <c r="AE21" i="19" s="1"/>
  <c r="AA268" i="19"/>
  <c r="AB268" i="19" s="1"/>
  <c r="AE268" i="19" s="1"/>
  <c r="AA29" i="19"/>
  <c r="AB29" i="19" s="1"/>
  <c r="AE29" i="19" s="1"/>
  <c r="AA184" i="19"/>
  <c r="AB184" i="19" s="1"/>
  <c r="AE184" i="19" s="1"/>
  <c r="AA178" i="19"/>
  <c r="AB178" i="19" s="1"/>
  <c r="AE178" i="19" s="1"/>
  <c r="AA247" i="19"/>
  <c r="AB247" i="19" s="1"/>
  <c r="AE247" i="19" s="1"/>
  <c r="AA69" i="19"/>
  <c r="AB69" i="19" s="1"/>
  <c r="AE69" i="19" s="1"/>
  <c r="AA128" i="19"/>
  <c r="AB128" i="19" s="1"/>
  <c r="AE128" i="19" s="1"/>
  <c r="AA232" i="19"/>
  <c r="AB232" i="19" s="1"/>
  <c r="AE232" i="19" s="1"/>
  <c r="AA314" i="19"/>
  <c r="AB314" i="19" s="1"/>
  <c r="AE314" i="19" s="1"/>
  <c r="AA76" i="19"/>
  <c r="AB76" i="19" s="1"/>
  <c r="AE76" i="19" s="1"/>
  <c r="AA272" i="19"/>
  <c r="AB272" i="19" s="1"/>
  <c r="AE272" i="19" s="1"/>
  <c r="AA104" i="19"/>
  <c r="AB104" i="19" s="1"/>
  <c r="AE104" i="19" s="1"/>
  <c r="AA298" i="19"/>
  <c r="AB298" i="19" s="1"/>
  <c r="AE298" i="19" s="1"/>
  <c r="AA99" i="19"/>
  <c r="AB99" i="19" s="1"/>
  <c r="AE99" i="19" s="1"/>
  <c r="AA127" i="19"/>
  <c r="AB127" i="19" s="1"/>
  <c r="AE127" i="19" s="1"/>
  <c r="AA72" i="19"/>
  <c r="AB72" i="19" s="1"/>
  <c r="AE72" i="19" s="1"/>
  <c r="AA149" i="19"/>
  <c r="AB149" i="19" s="1"/>
  <c r="AE149" i="19" s="1"/>
  <c r="AA317" i="19"/>
  <c r="AB317" i="19" s="1"/>
  <c r="AE317" i="19" s="1"/>
  <c r="AA26" i="19"/>
  <c r="AB26" i="19" s="1"/>
  <c r="AE26" i="19" s="1"/>
  <c r="AA70" i="19"/>
  <c r="AB70" i="19" s="1"/>
  <c r="AE70" i="19" s="1"/>
  <c r="AA172" i="19"/>
  <c r="AB172" i="19" s="1"/>
  <c r="AE172" i="19" s="1"/>
  <c r="AA67" i="19"/>
  <c r="AB67" i="19" s="1"/>
  <c r="AE67" i="19" s="1"/>
  <c r="AA44" i="19"/>
  <c r="AB44" i="19" s="1"/>
  <c r="AE44" i="19" s="1"/>
  <c r="AA118" i="19"/>
  <c r="AB118" i="19" s="1"/>
  <c r="AE118" i="19" s="1"/>
  <c r="AA274" i="19"/>
  <c r="AB274" i="19" s="1"/>
  <c r="AE274" i="19" s="1"/>
  <c r="AA47" i="19"/>
  <c r="AB47" i="19" s="1"/>
  <c r="AE47" i="19" s="1"/>
  <c r="AA169" i="19"/>
  <c r="AB169" i="19" s="1"/>
  <c r="AE169" i="19" s="1"/>
  <c r="AA304" i="19"/>
  <c r="AB304" i="19" s="1"/>
  <c r="AE304" i="19" s="1"/>
  <c r="AA113" i="19"/>
  <c r="AB113" i="19" s="1"/>
  <c r="AE113" i="19" s="1"/>
  <c r="AA183" i="19"/>
  <c r="AB183" i="19" s="1"/>
  <c r="AE183" i="19" s="1"/>
  <c r="AA14" i="19"/>
  <c r="AB14" i="19" s="1"/>
  <c r="AE14" i="19" s="1"/>
  <c r="AA192" i="19"/>
  <c r="AB192" i="19" s="1"/>
  <c r="AE192" i="19" s="1"/>
  <c r="AA32" i="19"/>
  <c r="AB32" i="19" s="1"/>
  <c r="AE32" i="19" s="1"/>
  <c r="AA35" i="19"/>
  <c r="AB35" i="19" s="1"/>
  <c r="AE35" i="19" s="1"/>
  <c r="AA222" i="19"/>
  <c r="AB222" i="19" s="1"/>
  <c r="AE222" i="19" s="1"/>
  <c r="AA54" i="19"/>
  <c r="AB54" i="19" s="1"/>
  <c r="AE54" i="19" s="1"/>
  <c r="AA10" i="19"/>
  <c r="AB10" i="19" s="1"/>
  <c r="AE10" i="19" s="1"/>
  <c r="AA215" i="19"/>
  <c r="AB215" i="19" s="1"/>
  <c r="AE215" i="19" s="1"/>
  <c r="AA116" i="19"/>
  <c r="AB116" i="19" s="1"/>
  <c r="AE116" i="19" s="1"/>
  <c r="AA223" i="19"/>
  <c r="AB223" i="19" s="1"/>
  <c r="AE223" i="19" s="1"/>
  <c r="AA188" i="19"/>
  <c r="AB188" i="19" s="1"/>
  <c r="AE188" i="19" s="1"/>
  <c r="AA195" i="19"/>
  <c r="AB195" i="19" s="1"/>
  <c r="AE195" i="19" s="1"/>
  <c r="AA43" i="19"/>
  <c r="AB43" i="19" s="1"/>
  <c r="AE43" i="19" s="1"/>
  <c r="AA139" i="19"/>
  <c r="AB139" i="19" s="1"/>
  <c r="AE139" i="19" s="1"/>
  <c r="AA270" i="19"/>
  <c r="AB270" i="19" s="1"/>
  <c r="AE270" i="19" s="1"/>
  <c r="AA285" i="19"/>
  <c r="AB285" i="19" s="1"/>
  <c r="AE285" i="19" s="1"/>
  <c r="AA117" i="19"/>
  <c r="AB117" i="19" s="1"/>
  <c r="AE117" i="19" s="1"/>
  <c r="AA260" i="19"/>
  <c r="AB260" i="19" s="1"/>
  <c r="AE260" i="19" s="1"/>
  <c r="AA6" i="19"/>
  <c r="AB6" i="19" s="1"/>
  <c r="AE6" i="19" s="1"/>
  <c r="AA161" i="19"/>
  <c r="AB161" i="19" s="1"/>
  <c r="AE161" i="19" s="1"/>
  <c r="AA138" i="19"/>
  <c r="AB138" i="19" s="1"/>
  <c r="AE138" i="19" s="1"/>
  <c r="AA205" i="19"/>
  <c r="AB205" i="19" s="1"/>
  <c r="AE205" i="19" s="1"/>
  <c r="AA254" i="19"/>
  <c r="AB254" i="19" s="1"/>
  <c r="AE254" i="19" s="1"/>
  <c r="AA263" i="19"/>
  <c r="AB263" i="19" s="1"/>
  <c r="AE263" i="19" s="1"/>
  <c r="AA98" i="19"/>
  <c r="AB98" i="19" s="1"/>
  <c r="AE98" i="19" s="1"/>
  <c r="AA36" i="19"/>
  <c r="AB36" i="19" s="1"/>
  <c r="AE36" i="19" s="1"/>
  <c r="AA244" i="19"/>
  <c r="AB244" i="19" s="1"/>
  <c r="AE244" i="19" s="1"/>
  <c r="AA112" i="19"/>
  <c r="AB112" i="19" s="1"/>
  <c r="AE112" i="19" s="1"/>
  <c r="AE211" i="19" l="1"/>
  <c r="AE3" i="19"/>
  <c r="AD3" i="19"/>
  <c r="B22" i="12" s="1"/>
  <c r="B23" i="12" s="1"/>
  <c r="AE1" i="19" s="1"/>
  <c r="AF1" i="19" l="1"/>
  <c r="AF2" i="1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3F7485F-1D5E-4C71-B11A-E207F782AA95}" keepAlive="1" name="ModelConnection_ExternalData_1" description="Data Model" type="5" refreshedVersion="8" minRefreshableVersion="5" saveData="1">
    <dbPr connection="Data Model Connection" command="Split Calc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CECE2BF-A117-42CE-B7CE-319A63F56C12}" keepAlive="1" name="ModelConnection_ExternalData_11" description="Data Model" type="5" refreshedVersion="8" minRefreshableVersion="5" saveData="1">
    <dbPr connection="Data Model Connection" command="Prior Year Net to district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BE3B5E0-A973-4D4E-9CB0-BDC6583C4F63}" keepAlive="1" name="ModelConnection_ExternalData_2" description="Data Model" type="5" refreshedVersion="8" minRefreshableVersion="5" saveData="1">
    <dbPr connection="Data Model Connection" command="Assumptions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1861A15E-6141-4478-8EE1-91914C07A7AB}" keepAlive="1" name="ModelConnection_ExternalData_21" description="Data Model" type="5" refreshedVersion="8" minRefreshableVersion="5" saveData="1">
    <dbPr connection="Data Model Connection" command="New or Expanded HH check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D4407729-C773-452B-977E-A53DF6C5AEAA}" keepAlive="1" name="ModelConnection_ExternalData_22" description="Data Model" type="5" refreshedVersion="8" minRefreshableVersion="5" saveData="1">
    <dbPr connection="Data Model Connection" command="Initial adjusted formula count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67F1F231-2DCD-42C8-9F82-D795617CC603}" keepAlive="1" name="ModelConnection_ExternalData_23" description="Data Model" type="5" refreshedVersion="8" minRefreshableVersion="5" saveData="1">
    <dbPr connection="Data Model Connection" command="Multipliers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ADB9CF41-9217-42BB-BF57-E82AA7AB5583}" keepAlive="1" name="ModelConnection_ExternalData_24" description="Data Model" type="5" refreshedVersion="8" minRefreshableVersion="5" saveData="1">
    <dbPr connection="Data Model Connection" command="Initial adjusted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B00384A5-D83B-467C-9A37-A711C53DCBD3}" keepAlive="1" name="ModelConnection_ExternalData_25" description="Data Model" type="5" refreshedVersion="8" minRefreshableVersion="5" saveData="1">
    <dbPr connection="Data Model Connection" command="Model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9" xr16:uid="{F273DE80-6043-4AF0-AC87-85F174A594A1}" keepAlive="1" name="ModelConnection_ExternalData_3" description="Data Model" type="5" refreshedVersion="8" minRefreshableVersion="5" saveData="1">
    <dbPr connection="Data Model Connection" command="Title" commandType="3"/>
    <extLst>
      <ext xmlns:x15="http://schemas.microsoft.com/office/spreadsheetml/2010/11/main" uri="{DE250136-89BD-433C-8126-D09CA5730AF9}">
        <x15:connection id="" model="1"/>
      </ext>
    </extLst>
  </connection>
  <connection id="10" xr16:uid="{03188AAA-0244-4024-AF0A-7651FF1DFD15}" keepAlive="1" name="ModelConnection_ExternalData_4" description="Data Model" type="5" refreshedVersion="8" minRefreshableVersion="5" saveData="1">
    <dbPr connection="Data Model Connection" command="Conc eligibility year" commandType="3"/>
    <extLst>
      <ext xmlns:x15="http://schemas.microsoft.com/office/spreadsheetml/2010/11/main" uri="{DE250136-89BD-433C-8126-D09CA5730AF9}">
        <x15:connection id="" model="1"/>
      </ext>
    </extLst>
  </connection>
  <connection id="11" xr16:uid="{C7DA9270-04F4-4551-BFC7-3A95A3078BD5}" name="Query - Amount per Formula student" description="Connection to the 'Amount per Formula student' query in the workbook." type="100" refreshedVersion="8" minRefreshableVersion="5">
    <extLst>
      <ext xmlns:x15="http://schemas.microsoft.com/office/spreadsheetml/2010/11/main" uri="{DE250136-89BD-433C-8126-D09CA5730AF9}">
        <x15:connection id="0f6d92b6-ae08-43b6-b24f-123a8aa3acc0"/>
      </ext>
    </extLst>
  </connection>
  <connection id="12" xr16:uid="{ADB4B373-64E4-4E27-BFC7-27D89581C21C}" name="Query - Assumptions" description="Connection to the 'Assumptions' query in the workbook." type="100" refreshedVersion="8" minRefreshableVersion="5">
    <extLst>
      <ext xmlns:x15="http://schemas.microsoft.com/office/spreadsheetml/2010/11/main" uri="{DE250136-89BD-433C-8126-D09CA5730AF9}">
        <x15:connection id="deeed0ce-f38c-4c9c-878b-7937c5753ccf"/>
      </ext>
    </extLst>
  </connection>
  <connection id="13" xr16:uid="{542C7F5E-F0FA-4914-873F-16CF0C115D4A}" name="Query - CCDDD/LEAid" description="Connection to the 'CCDDD/LEAid' query in the workbook." type="100" refreshedVersion="8" minRefreshableVersion="5">
    <extLst>
      <ext xmlns:x15="http://schemas.microsoft.com/office/spreadsheetml/2010/11/main" uri="{DE250136-89BD-433C-8126-D09CA5730AF9}">
        <x15:connection id="2eb2b953-f3aa-499e-9119-a03f9e484b10"/>
      </ext>
    </extLst>
  </connection>
  <connection id="14" xr16:uid="{91003EF9-DB25-4F66-9BE8-86959CA087C6}" name="Query - Charter_TribalSending Districts" description="Connection to the 'Charter_TribalSending Districts' query in the workbook." type="100" refreshedVersion="8" minRefreshableVersion="5">
    <extLst>
      <ext xmlns:x15="http://schemas.microsoft.com/office/spreadsheetml/2010/11/main" uri="{DE250136-89BD-433C-8126-D09CA5730AF9}">
        <x15:connection id="3d9b712e-3bb7-44f3-a2f9-034fa804b416"/>
      </ext>
    </extLst>
  </connection>
  <connection id="15" xr16:uid="{C30C47C6-1FF0-4AAB-9F94-783245BA71F7}" name="Query - CharterOnly" description="Connection to the 'CharterOnly' query in the workbook." type="100" refreshedVersion="8" minRefreshableVersion="5">
    <extLst>
      <ext xmlns:x15="http://schemas.microsoft.com/office/spreadsheetml/2010/11/main" uri="{DE250136-89BD-433C-8126-D09CA5730AF9}">
        <x15:connection id="b4c107b6-2731-48a1-9ac4-ee372753982e"/>
      </ext>
    </extLst>
  </connection>
  <connection id="16" xr16:uid="{C18B9915-2A79-42F4-A459-7392B3050B50}" name="Query - Conc eligibility year" description="Connection to the 'Conc eligibility year' query in the workbook." type="100" refreshedVersion="8" minRefreshableVersion="5">
    <extLst>
      <ext xmlns:x15="http://schemas.microsoft.com/office/spreadsheetml/2010/11/main" uri="{DE250136-89BD-433C-8126-D09CA5730AF9}">
        <x15:connection id="18206292-60b0-4569-bf14-38a21a0e8d3b"/>
      </ext>
    </extLst>
  </connection>
  <connection id="17" xr16:uid="{AE673D06-121F-4A24-B384-06F71F48A4B9}" name="Query - Conc lookback" description="Connection to the 'Conc lookback' query in the workbook." type="100" refreshedVersion="8" minRefreshableVersion="5">
    <extLst>
      <ext xmlns:x15="http://schemas.microsoft.com/office/spreadsheetml/2010/11/main" uri="{DE250136-89BD-433C-8126-D09CA5730AF9}">
        <x15:connection id="788a9908-e397-456f-8db4-a29f060b0218"/>
      </ext>
    </extLst>
  </connection>
  <connection id="18" xr16:uid="{B74FDC49-A795-43E6-AE8C-B29DEDEFA5AC}" name="Query - DOE Allocation" description="Connection to the 'DOE Allocation' query in the workbook." type="100" refreshedVersion="8" minRefreshableVersion="5">
    <extLst>
      <ext xmlns:x15="http://schemas.microsoft.com/office/spreadsheetml/2010/11/main" uri="{DE250136-89BD-433C-8126-D09CA5730AF9}">
        <x15:connection id="236a4e85-91bd-48a5-ac19-35d356dad1c0"/>
      </ext>
    </extLst>
  </connection>
  <connection id="19" xr16:uid="{8393CDFE-15D7-4924-8603-4C507CED6C4D}" name="Query - DOE Formula counts" description="Connection to the 'DOE Formula counts' query in the workbook." type="100" refreshedVersion="8" minRefreshableVersion="5">
    <extLst>
      <ext xmlns:x15="http://schemas.microsoft.com/office/spreadsheetml/2010/11/main" uri="{DE250136-89BD-433C-8126-D09CA5730AF9}">
        <x15:connection id="d206154a-6a1b-4aef-b7f3-5bdacbc7986d"/>
      </ext>
    </extLst>
  </connection>
  <connection id="20" xr16:uid="{2283D947-F146-4FB0-A99E-5986F658F172}" name="Query - FRPL" description="Connection to the 'FRPL' query in the workbook." type="100" refreshedVersion="8" minRefreshableVersion="5">
    <extLst>
      <ext xmlns:x15="http://schemas.microsoft.com/office/spreadsheetml/2010/11/main" uri="{DE250136-89BD-433C-8126-D09CA5730AF9}">
        <x15:connection id="df05508d-0e48-4b6c-bf6c-75ac86932e06"/>
      </ext>
    </extLst>
  </connection>
  <connection id="21" xr16:uid="{C99D747A-E316-4BD3-8238-016803D54F8C}" name="Query - Initial adjusted allocations" description="Connection to the 'Initial adjusted allocations' query in the workbook." type="100" refreshedVersion="8" minRefreshableVersion="5">
    <extLst>
      <ext xmlns:x15="http://schemas.microsoft.com/office/spreadsheetml/2010/11/main" uri="{DE250136-89BD-433C-8126-D09CA5730AF9}">
        <x15:connection id="95f86261-1450-4cf6-9d4a-ab2533882a91"/>
      </ext>
    </extLst>
  </connection>
  <connection id="22" xr16:uid="{29222693-C453-45BC-8CFC-0FB4D2158224}" name="Query - Initial adjusted formula count" description="Connection to the 'Initial adjusted formula count' query in the workbook." type="100" refreshedVersion="8" minRefreshableVersion="5">
    <extLst>
      <ext xmlns:x15="http://schemas.microsoft.com/office/spreadsheetml/2010/11/main" uri="{DE250136-89BD-433C-8126-D09CA5730AF9}">
        <x15:connection id="77a603a2-f32e-4b83-892d-d8f059193c75"/>
      </ext>
    </extLst>
  </connection>
  <connection id="23" xr16:uid="{82F9FC6A-7E33-4B4B-81E0-77472283AB26}" name="Query - Model allocations" description="Connection to the 'Model allocations' query in the workbook." type="100" refreshedVersion="8" minRefreshableVersion="5" saveData="1">
    <extLst>
      <ext xmlns:x15="http://schemas.microsoft.com/office/spreadsheetml/2010/11/main" uri="{DE250136-89BD-433C-8126-D09CA5730AF9}">
        <x15:connection id="f4defdaa-6d16-4575-898b-1dd3673ecde0"/>
      </ext>
    </extLst>
  </connection>
  <connection id="24" xr16:uid="{95C362BF-8426-4AED-BE75-E588067137A1}" name="Query - Multipliers" description="Connection to the 'Multipliers' query in the workbook." type="100" refreshedVersion="8" minRefreshableVersion="5">
    <extLst>
      <ext xmlns:x15="http://schemas.microsoft.com/office/spreadsheetml/2010/11/main" uri="{DE250136-89BD-433C-8126-D09CA5730AF9}">
        <x15:connection id="d25ca89b-f3e1-4283-8441-cde0a03e1316"/>
      </ext>
    </extLst>
  </connection>
  <connection id="25" xr16:uid="{5FF6C8B8-9968-45AC-BDF5-86754C37C5AA}" name="Query - New or Expanded HH check" description="Connection to the 'New or Expanded HH check' query in the workbook." type="100" refreshedVersion="8" minRefreshableVersion="5">
    <extLst>
      <ext xmlns:x15="http://schemas.microsoft.com/office/spreadsheetml/2010/11/main" uri="{DE250136-89BD-433C-8126-D09CA5730AF9}">
        <x15:connection id="624d2c4f-a746-4243-8281-819522275ae2"/>
      </ext>
    </extLst>
  </connection>
  <connection id="26" xr16:uid="{7A3923D5-9766-4821-A861-9BABEF56F40C}" name="Query - Prior Year adjusted allocations" description="Connection to the 'Prior Year adjusted allocations' query in the workbook." type="100" refreshedVersion="8" minRefreshableVersion="5">
    <extLst>
      <ext xmlns:x15="http://schemas.microsoft.com/office/spreadsheetml/2010/11/main" uri="{DE250136-89BD-433C-8126-D09CA5730AF9}">
        <x15:connection id="eaa69682-c759-4eb0-953a-7b14d50b1436"/>
      </ext>
    </extLst>
  </connection>
  <connection id="27" xr16:uid="{0C8F228B-8F2E-4096-9170-BFDADD8F9733}" name="Query - Prior Year Adjusted Formula counts" description="Connection to the 'Prior Year Adjusted Formula counts' query in the workbook." type="100" refreshedVersion="8" minRefreshableVersion="5">
    <extLst>
      <ext xmlns:x15="http://schemas.microsoft.com/office/spreadsheetml/2010/11/main" uri="{DE250136-89BD-433C-8126-D09CA5730AF9}">
        <x15:connection id="bf949c98-9037-4684-a641-fc0259e93455"/>
      </ext>
    </extLst>
  </connection>
  <connection id="28" xr16:uid="{D489CBD3-2985-4DC3-B4D5-D972C7EB9ED0}" name="Query - Prior Year Net to district" description="Connection to the 'Prior Year Net to district' query in the workbook." type="100" refreshedVersion="8" minRefreshableVersion="5">
    <extLst>
      <ext xmlns:x15="http://schemas.microsoft.com/office/spreadsheetml/2010/11/main" uri="{DE250136-89BD-433C-8126-D09CA5730AF9}">
        <x15:connection id="0ba627ec-6a44-4681-929f-ecb631fc5b57"/>
      </ext>
    </extLst>
  </connection>
  <connection id="29" xr16:uid="{FCBA417F-ED2D-4CC2-A4DF-0CC621B5F90A}" name="Query - SendingOnly" description="Connection to the 'SendingOnly' query in the workbook." type="100" refreshedVersion="8" minRefreshableVersion="5">
    <extLst>
      <ext xmlns:x15="http://schemas.microsoft.com/office/spreadsheetml/2010/11/main" uri="{DE250136-89BD-433C-8126-D09CA5730AF9}">
        <x15:connection id="b0fac3f6-5fee-4a75-9f21-56c4695f9f25"/>
      </ext>
    </extLst>
  </connection>
  <connection id="30" xr16:uid="{0C232062-8315-446C-AAC7-B774362CF6BA}" name="Query - Split Calc" description="Connection to the 'Split Calc' query in the workbook." type="100" refreshedVersion="8" minRefreshableVersion="5">
    <extLst>
      <ext xmlns:x15="http://schemas.microsoft.com/office/spreadsheetml/2010/11/main" uri="{DE250136-89BD-433C-8126-D09CA5730AF9}">
        <x15:connection id="f2cdf21a-84f4-4ea1-ac95-0b95f9ff2d75"/>
      </ext>
    </extLst>
  </connection>
  <connection id="31" xr16:uid="{3A3600AE-870E-4797-B223-3D24F0C349E9}" name="Query - sumif" description="Connection to the 'sumif' query in the workbook." type="100" refreshedVersion="8" minRefreshableVersion="5">
    <extLst>
      <ext xmlns:x15="http://schemas.microsoft.com/office/spreadsheetml/2010/11/main" uri="{DE250136-89BD-433C-8126-D09CA5730AF9}">
        <x15:connection id="ba52d27a-0e52-42ef-92db-5acd650209ae"/>
      </ext>
    </extLst>
  </connection>
  <connection id="32" xr16:uid="{FF69749E-6A53-4EB1-B5D3-BCEE57FD418F}" keepAlive="1" name="Query - T-I State Adm  1004(b)" description="Connection to the 'T-I State Adm  1004(b)' query in the workbook." type="5" refreshedVersion="0" background="1">
    <dbPr connection="Provider=Microsoft.Mashup.OleDb.1;Data Source=$Workbook$;Location=&quot;T-I State Adm  1004(b)&quot;;Extended Properties=&quot;&quot;" command="SELECT * FROM [T-I State Adm  1004(b)]"/>
  </connection>
  <connection id="33" xr16:uid="{0A23DA92-1FF9-4F8B-B28D-475595437A06}" name="Query - Title" description="Connection to the 'Title' query in the workbook." type="100" refreshedVersion="8" minRefreshableVersion="5">
    <extLst>
      <ext xmlns:x15="http://schemas.microsoft.com/office/spreadsheetml/2010/11/main" uri="{DE250136-89BD-433C-8126-D09CA5730AF9}">
        <x15:connection id="f06724d4-6dad-4bd0-89d6-325c5308eeb5"/>
      </ext>
    </extLst>
  </connection>
  <connection id="34" xr16:uid="{FBA49C60-73C5-4286-BBF3-D6356835BE3D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<sst xmlns="http://schemas.openxmlformats.org/spreadsheetml/2006/main" count="10912" uniqueCount="1577">
  <si>
    <t>CCDDD</t>
  </si>
  <si>
    <t>Charter/Tribal</t>
  </si>
  <si>
    <t>Sending District</t>
  </si>
  <si>
    <t>Sending District CCDDD</t>
  </si>
  <si>
    <t>LEAID</t>
  </si>
  <si>
    <t>IsNew</t>
  </si>
  <si>
    <t>TotalStudentsInPoverty</t>
  </si>
  <si>
    <t>SendingTotalStudentsInPoverty</t>
  </si>
  <si>
    <t>18901</t>
  </si>
  <si>
    <t>Bremerton</t>
  </si>
  <si>
    <t>18100</t>
  </si>
  <si>
    <t>18902</t>
  </si>
  <si>
    <t>Suquamish</t>
  </si>
  <si>
    <t>37902</t>
  </si>
  <si>
    <t>37501</t>
  </si>
  <si>
    <t>17908</t>
  </si>
  <si>
    <t>Rainier Prep</t>
  </si>
  <si>
    <t>Highline</t>
  </si>
  <si>
    <t>17401</t>
  </si>
  <si>
    <t>17917</t>
  </si>
  <si>
    <t>38267</t>
  </si>
  <si>
    <t>17910</t>
  </si>
  <si>
    <t>Rainier Valley Leadership Academy (Green Dot: RV)</t>
  </si>
  <si>
    <t>Seattle</t>
  </si>
  <si>
    <t>17001</t>
  </si>
  <si>
    <t>17905</t>
  </si>
  <si>
    <t>Summit: Atlas</t>
  </si>
  <si>
    <t>17902</t>
  </si>
  <si>
    <t>Summit: Sierra</t>
  </si>
  <si>
    <t>32903</t>
  </si>
  <si>
    <t>Lumen High School</t>
  </si>
  <si>
    <t>Spokane</t>
  </si>
  <si>
    <t>32081</t>
  </si>
  <si>
    <t>32907</t>
  </si>
  <si>
    <t>PRIDE Prep</t>
  </si>
  <si>
    <t>32901</t>
  </si>
  <si>
    <t>Spokane International</t>
  </si>
  <si>
    <t>27902</t>
  </si>
  <si>
    <t>Tacoma</t>
  </si>
  <si>
    <t>27010</t>
  </si>
  <si>
    <t>17911</t>
  </si>
  <si>
    <t>Impact Puget Sound (Public Schools)</t>
  </si>
  <si>
    <t>Tukwila</t>
  </si>
  <si>
    <t>17406</t>
  </si>
  <si>
    <t>17916</t>
  </si>
  <si>
    <t>Impact Salish Sea</t>
  </si>
  <si>
    <t>34974</t>
  </si>
  <si>
    <t>School of the Blind</t>
  </si>
  <si>
    <t>Vancouver</t>
  </si>
  <si>
    <t>06037</t>
  </si>
  <si>
    <t>34975</t>
  </si>
  <si>
    <t>School for the Deaf</t>
  </si>
  <si>
    <t>04901</t>
  </si>
  <si>
    <t>04246</t>
  </si>
  <si>
    <t>SendingLEAId</t>
  </si>
  <si>
    <t>5300660</t>
  </si>
  <si>
    <t>5300420</t>
  </si>
  <si>
    <t>5303540</t>
  </si>
  <si>
    <t>5306930</t>
  </si>
  <si>
    <t>5307710</t>
  </si>
  <si>
    <t>5308130</t>
  </si>
  <si>
    <t>5308250</t>
  </si>
  <si>
    <t>5308700</t>
  </si>
  <si>
    <t>5309270</t>
  </si>
  <si>
    <t>5309660</t>
  </si>
  <si>
    <t>LEAid</t>
  </si>
  <si>
    <t>5301000</t>
  </si>
  <si>
    <t>5308690</t>
  </si>
  <si>
    <t>5309740</t>
  </si>
  <si>
    <t>5307120</t>
  </si>
  <si>
    <t>5300955</t>
  </si>
  <si>
    <t>5303280</t>
  </si>
  <si>
    <t>5308290</t>
  </si>
  <si>
    <t>5308240</t>
  </si>
  <si>
    <t>5303700</t>
  </si>
  <si>
    <t>5303710</t>
  </si>
  <si>
    <t>5304550</t>
  </si>
  <si>
    <t>5306890</t>
  </si>
  <si>
    <t>5308260</t>
  </si>
  <si>
    <t>5303705</t>
  </si>
  <si>
    <t>5308230</t>
  </si>
  <si>
    <t>5307690</t>
  </si>
  <si>
    <t>5307700</t>
  </si>
  <si>
    <t>5306770</t>
  </si>
  <si>
    <t>Basic Allocation</t>
  </si>
  <si>
    <t>Conc. Allocation</t>
  </si>
  <si>
    <t>Targeted Allocation</t>
  </si>
  <si>
    <t>EFIG Allocation</t>
  </si>
  <si>
    <t>0</t>
  </si>
  <si>
    <t>5300150</t>
  </si>
  <si>
    <t>Anacortes School District</t>
  </si>
  <si>
    <t>5300240</t>
  </si>
  <si>
    <t>Arlington School District</t>
  </si>
  <si>
    <t>5300330</t>
  </si>
  <si>
    <t>Bainbridge Island School District</t>
  </si>
  <si>
    <t>5300380</t>
  </si>
  <si>
    <t>Battle Ground School District</t>
  </si>
  <si>
    <t>5300390</t>
  </si>
  <si>
    <t>Bellevue School District</t>
  </si>
  <si>
    <t>5300450</t>
  </si>
  <si>
    <t>Benge School District</t>
  </si>
  <si>
    <t>5300810</t>
  </si>
  <si>
    <t>Camas School District</t>
  </si>
  <si>
    <t>5300870</t>
  </si>
  <si>
    <t>Carbonado School District</t>
  </si>
  <si>
    <t>5300990</t>
  </si>
  <si>
    <t>Castle Rock School District</t>
  </si>
  <si>
    <t>5301080</t>
  </si>
  <si>
    <t>Central Kitsap School District</t>
  </si>
  <si>
    <t>5301290</t>
  </si>
  <si>
    <t>Chimacum School District</t>
  </si>
  <si>
    <t>5301680</t>
  </si>
  <si>
    <t>Conway School District</t>
  </si>
  <si>
    <t>5301710</t>
  </si>
  <si>
    <t>Cosmopolis School District</t>
  </si>
  <si>
    <t>5301950</t>
  </si>
  <si>
    <t>Damman School District</t>
  </si>
  <si>
    <t>5302340</t>
  </si>
  <si>
    <t>Easton School District</t>
  </si>
  <si>
    <t>5302370</t>
  </si>
  <si>
    <t>Eatonville School District</t>
  </si>
  <si>
    <t>5302400</t>
  </si>
  <si>
    <t>Edmonds School District</t>
  </si>
  <si>
    <t>5300001</t>
  </si>
  <si>
    <t>Enumclaw School District</t>
  </si>
  <si>
    <t>5302670</t>
  </si>
  <si>
    <t>Everett School District</t>
  </si>
  <si>
    <t>5302850</t>
  </si>
  <si>
    <t>Ferndale School District</t>
  </si>
  <si>
    <t>5302880</t>
  </si>
  <si>
    <t>Fife Public Schools</t>
  </si>
  <si>
    <t>5302970</t>
  </si>
  <si>
    <t>Freeman School District</t>
  </si>
  <si>
    <t>5303030</t>
  </si>
  <si>
    <t>Glenwood School District</t>
  </si>
  <si>
    <t>5303210</t>
  </si>
  <si>
    <t>Granite Falls School District</t>
  </si>
  <si>
    <t>5303300</t>
  </si>
  <si>
    <t>Green Mountain School District</t>
  </si>
  <si>
    <t>5303330</t>
  </si>
  <si>
    <t>Griffin School District</t>
  </si>
  <si>
    <t>5303570</t>
  </si>
  <si>
    <t>Hockinson School District</t>
  </si>
  <si>
    <t>5303750</t>
  </si>
  <si>
    <t>Issaquah School District</t>
  </si>
  <si>
    <t>5303780</t>
  </si>
  <si>
    <t>Kahlotus School District</t>
  </si>
  <si>
    <t>5303810</t>
  </si>
  <si>
    <t>Kalama School District</t>
  </si>
  <si>
    <t>5304170</t>
  </si>
  <si>
    <t>La Center School District</t>
  </si>
  <si>
    <t>5304200</t>
  </si>
  <si>
    <t>Lake Stevens School District</t>
  </si>
  <si>
    <t>5304230</t>
  </si>
  <si>
    <t>Lake Washington School District</t>
  </si>
  <si>
    <t>5304260</t>
  </si>
  <si>
    <t>Lakewood School District</t>
  </si>
  <si>
    <t>5304290</t>
  </si>
  <si>
    <t>Lamont School District</t>
  </si>
  <si>
    <t>5304380</t>
  </si>
  <si>
    <t>Liberty School District</t>
  </si>
  <si>
    <t>5304620</t>
  </si>
  <si>
    <t>Lynden School District</t>
  </si>
  <si>
    <t>5304860</t>
  </si>
  <si>
    <t>Marysville School District</t>
  </si>
  <si>
    <t>5304920</t>
  </si>
  <si>
    <t>Mead School District</t>
  </si>
  <si>
    <t>5304950</t>
  </si>
  <si>
    <t>Medical Lake School District</t>
  </si>
  <si>
    <t>5304980</t>
  </si>
  <si>
    <t>Mercer Island School District</t>
  </si>
  <si>
    <t>5305010</t>
  </si>
  <si>
    <t>Meridian School District</t>
  </si>
  <si>
    <t>5305130</t>
  </si>
  <si>
    <t>Monroe School District</t>
  </si>
  <si>
    <t>5305340</t>
  </si>
  <si>
    <t>Mount Pleasant School District</t>
  </si>
  <si>
    <t>5305670</t>
  </si>
  <si>
    <t>Nooksack Valley School District</t>
  </si>
  <si>
    <t>5305760</t>
  </si>
  <si>
    <t>North Kitsap School District</t>
  </si>
  <si>
    <t>5305850</t>
  </si>
  <si>
    <t>North Thurston Public Schools</t>
  </si>
  <si>
    <t>5305910</t>
  </si>
  <si>
    <t>Northshore School District</t>
  </si>
  <si>
    <t>5305940</t>
  </si>
  <si>
    <t>Oak Harbor School District</t>
  </si>
  <si>
    <t>5305970</t>
  </si>
  <si>
    <t>Oakesdale School District</t>
  </si>
  <si>
    <t>5306180</t>
  </si>
  <si>
    <t>Olympia School District</t>
  </si>
  <si>
    <t>5306630</t>
  </si>
  <si>
    <t>Paterson School District</t>
  </si>
  <si>
    <t>5306690</t>
  </si>
  <si>
    <t>Peninsula School District</t>
  </si>
  <si>
    <t>5306960</t>
  </si>
  <si>
    <t>Puyallup School District</t>
  </si>
  <si>
    <t>5307110</t>
  </si>
  <si>
    <t>Rainier School District</t>
  </si>
  <si>
    <t>5307320</t>
  </si>
  <si>
    <t>Richland School District</t>
  </si>
  <si>
    <t>5307350</t>
  </si>
  <si>
    <t>Ridgefield School District</t>
  </si>
  <si>
    <t>5307380</t>
  </si>
  <si>
    <t>Ritzville School District</t>
  </si>
  <si>
    <t>5304560</t>
  </si>
  <si>
    <t>Riverview School District</t>
  </si>
  <si>
    <t>5307650</t>
  </si>
  <si>
    <t>San Juan Island School District</t>
  </si>
  <si>
    <t>5307860</t>
  </si>
  <si>
    <t>Shaw Island School District</t>
  </si>
  <si>
    <t>5307920</t>
  </si>
  <si>
    <t>Shoreline School District</t>
  </si>
  <si>
    <t>5307980</t>
  </si>
  <si>
    <t>Skykomish School District</t>
  </si>
  <si>
    <t>5308020</t>
  </si>
  <si>
    <t>Snohomish School District</t>
  </si>
  <si>
    <t>5308040</t>
  </si>
  <si>
    <t>Snoqualmie Valley School District</t>
  </si>
  <si>
    <t>5308160</t>
  </si>
  <si>
    <t>South Kitsap School District</t>
  </si>
  <si>
    <t>5308190</t>
  </si>
  <si>
    <t>South Whidbey School District</t>
  </si>
  <si>
    <t>5308340</t>
  </si>
  <si>
    <t>Stanwood-Camano School District</t>
  </si>
  <si>
    <t>5308370</t>
  </si>
  <si>
    <t>Star School District</t>
  </si>
  <si>
    <t>5308430</t>
  </si>
  <si>
    <t>Stehekin School District</t>
  </si>
  <si>
    <t>5308460</t>
  </si>
  <si>
    <t>Steilacoom Historical School District</t>
  </si>
  <si>
    <t>5308550</t>
  </si>
  <si>
    <t>Sultan School District</t>
  </si>
  <si>
    <t>5308610</t>
  </si>
  <si>
    <t>Sumner School District</t>
  </si>
  <si>
    <t>5308760</t>
  </si>
  <si>
    <t>Tahoma School District</t>
  </si>
  <si>
    <t>5308790</t>
  </si>
  <si>
    <t>Tekoa School District</t>
  </si>
  <si>
    <t>5308850</t>
  </si>
  <si>
    <t>Thorp School District</t>
  </si>
  <si>
    <t>5308910</t>
  </si>
  <si>
    <t>Toledo School District</t>
  </si>
  <si>
    <t>5309000</t>
  </si>
  <si>
    <t>Touchet School District</t>
  </si>
  <si>
    <t>5309030</t>
  </si>
  <si>
    <t>Toutle Lake School District</t>
  </si>
  <si>
    <t>5309100</t>
  </si>
  <si>
    <t>Tumwater School District</t>
  </si>
  <si>
    <t>5309180</t>
  </si>
  <si>
    <t>University Place School District</t>
  </si>
  <si>
    <t>5309300</t>
  </si>
  <si>
    <t>Vashon Island School District</t>
  </si>
  <si>
    <t>5309540</t>
  </si>
  <si>
    <t>Washougal School District</t>
  </si>
  <si>
    <t>5309720</t>
  </si>
  <si>
    <t>5309780</t>
  </si>
  <si>
    <t>White River School District</t>
  </si>
  <si>
    <t>5309840</t>
  </si>
  <si>
    <t>Wilbur School District</t>
  </si>
  <si>
    <t>5300060</t>
  </si>
  <si>
    <t>Adna School District</t>
  </si>
  <si>
    <t>5300090</t>
  </si>
  <si>
    <t>Almira School District</t>
  </si>
  <si>
    <t>5300480</t>
  </si>
  <si>
    <t>Bethel School District</t>
  </si>
  <si>
    <t>5301110</t>
  </si>
  <si>
    <t>Central Valley School District</t>
  </si>
  <si>
    <t>5301230</t>
  </si>
  <si>
    <t>Cheney School District</t>
  </si>
  <si>
    <t>5301440</t>
  </si>
  <si>
    <t>Colfax School District</t>
  </si>
  <si>
    <t>5301980</t>
  </si>
  <si>
    <t>Darrington School District</t>
  </si>
  <si>
    <t>5302130</t>
  </si>
  <si>
    <t>Dieringer School District</t>
  </si>
  <si>
    <t>5302700</t>
  </si>
  <si>
    <t>Evergreen School District (Clark)</t>
  </si>
  <si>
    <t>5304050</t>
  </si>
  <si>
    <t>Kittitas School District</t>
  </si>
  <si>
    <t>5304110</t>
  </si>
  <si>
    <t>La Conner School District</t>
  </si>
  <si>
    <t>5301200</t>
  </si>
  <si>
    <t>Lake Chelan School District</t>
  </si>
  <si>
    <t>5304740</t>
  </si>
  <si>
    <t>Manson School District</t>
  </si>
  <si>
    <t>5305430</t>
  </si>
  <si>
    <t>Mukilteo School District</t>
  </si>
  <si>
    <t>5306120</t>
  </si>
  <si>
    <t>Odessa School District</t>
  </si>
  <si>
    <t>5306330</t>
  </si>
  <si>
    <t>Orchard Prairie School District</t>
  </si>
  <si>
    <t>5306450</t>
  </si>
  <si>
    <t>Orting School District</t>
  </si>
  <si>
    <t>5306660</t>
  </si>
  <si>
    <t>Pe Ell School District</t>
  </si>
  <si>
    <t>5307440</t>
  </si>
  <si>
    <t>Riverside School District</t>
  </si>
  <si>
    <t>5307530</t>
  </si>
  <si>
    <t>Roosevelt School District</t>
  </si>
  <si>
    <t>5307740</t>
  </si>
  <si>
    <t>Sedro-Woolley School District</t>
  </si>
  <si>
    <t>5307950</t>
  </si>
  <si>
    <t>Skamania School District</t>
  </si>
  <si>
    <t>5308820</t>
  </si>
  <si>
    <t>Tenino School District</t>
  </si>
  <si>
    <t>5309690</t>
  </si>
  <si>
    <t>5309810</t>
  </si>
  <si>
    <t>White Salmon Valley School District</t>
  </si>
  <si>
    <t>5300030</t>
  </si>
  <si>
    <t>5300280</t>
  </si>
  <si>
    <t>Asotin-Anatone School District</t>
  </si>
  <si>
    <t>5300300</t>
  </si>
  <si>
    <t>Auburn School District</t>
  </si>
  <si>
    <t>5300510</t>
  </si>
  <si>
    <t>Bickleton School District</t>
  </si>
  <si>
    <t>5300570</t>
  </si>
  <si>
    <t>Blaine School District</t>
  </si>
  <si>
    <t>5300630</t>
  </si>
  <si>
    <t>Boistfort School District</t>
  </si>
  <si>
    <t>5300690</t>
  </si>
  <si>
    <t>Brewster School District</t>
  </si>
  <si>
    <t>5300720</t>
  </si>
  <si>
    <t>Bridgeport School District</t>
  </si>
  <si>
    <t>5300750</t>
  </si>
  <si>
    <t>Brinnon School District</t>
  </si>
  <si>
    <t>5300780</t>
  </si>
  <si>
    <t>Burlington-Edison School District</t>
  </si>
  <si>
    <t>5300840</t>
  </si>
  <si>
    <t>Cape Flattery School District</t>
  </si>
  <si>
    <t>5300950</t>
  </si>
  <si>
    <t>Cascade School District</t>
  </si>
  <si>
    <t>5300960</t>
  </si>
  <si>
    <t>Cashmere School District</t>
  </si>
  <si>
    <t>5301050</t>
  </si>
  <si>
    <t>Centerville School District</t>
  </si>
  <si>
    <t>5301140</t>
  </si>
  <si>
    <t>Centralia School District</t>
  </si>
  <si>
    <t>5301170</t>
  </si>
  <si>
    <t>Chehalis School District</t>
  </si>
  <si>
    <t>5301260</t>
  </si>
  <si>
    <t>Chewelah School District</t>
  </si>
  <si>
    <t>5301320</t>
  </si>
  <si>
    <t>Clarkston School District</t>
  </si>
  <si>
    <t>5301350</t>
  </si>
  <si>
    <t>Cle Elum-Roslyn School District</t>
  </si>
  <si>
    <t>5301410</t>
  </si>
  <si>
    <t>Clover Park School District</t>
  </si>
  <si>
    <t>5301470</t>
  </si>
  <si>
    <t>College Place School District</t>
  </si>
  <si>
    <t>5301500</t>
  </si>
  <si>
    <t>Colton School District</t>
  </si>
  <si>
    <t>5301560</t>
  </si>
  <si>
    <t>5301590</t>
  </si>
  <si>
    <t>5301630</t>
  </si>
  <si>
    <t>Colville School District</t>
  </si>
  <si>
    <t>5301660</t>
  </si>
  <si>
    <t>Concrete School District</t>
  </si>
  <si>
    <t>5303440</t>
  </si>
  <si>
    <t>Coulee-Hartline School District</t>
  </si>
  <si>
    <t>5301800</t>
  </si>
  <si>
    <t>Coupeville School District</t>
  </si>
  <si>
    <t>5301830</t>
  </si>
  <si>
    <t>Crescent School District</t>
  </si>
  <si>
    <t>5301860</t>
  </si>
  <si>
    <t>Creston School District</t>
  </si>
  <si>
    <t>5301890</t>
  </si>
  <si>
    <t>Curlew School District</t>
  </si>
  <si>
    <t>5301920</t>
  </si>
  <si>
    <t>Cusick School District</t>
  </si>
  <si>
    <t>5302010</t>
  </si>
  <si>
    <t>Davenport School District</t>
  </si>
  <si>
    <t>5302040</t>
  </si>
  <si>
    <t>Dayton School District</t>
  </si>
  <si>
    <t>5302070</t>
  </si>
  <si>
    <t>Deer Park School District</t>
  </si>
  <si>
    <t>5302160</t>
  </si>
  <si>
    <t>Dixie School District</t>
  </si>
  <si>
    <t>5302280</t>
  </si>
  <si>
    <t>East Valley School District (Spokane)</t>
  </si>
  <si>
    <t>5305370</t>
  </si>
  <si>
    <t>East Valley School District (Yakima)</t>
  </si>
  <si>
    <t>5302310</t>
  </si>
  <si>
    <t>Eastmont School District</t>
  </si>
  <si>
    <t>5302460</t>
  </si>
  <si>
    <t>Ellensburg School District</t>
  </si>
  <si>
    <t>5302490</t>
  </si>
  <si>
    <t>Elma School District</t>
  </si>
  <si>
    <t>5302520</t>
  </si>
  <si>
    <t>Endicott School District</t>
  </si>
  <si>
    <t>5302550</t>
  </si>
  <si>
    <t>Entiat School District</t>
  </si>
  <si>
    <t>5302610</t>
  </si>
  <si>
    <t>Ephrata School District</t>
  </si>
  <si>
    <t>5302640</t>
  </si>
  <si>
    <t>Evaline School District</t>
  </si>
  <si>
    <t>5302730</t>
  </si>
  <si>
    <t>Evergreen School District (Stevens)</t>
  </si>
  <si>
    <t>5302820</t>
  </si>
  <si>
    <t>Federal Way School District</t>
  </si>
  <si>
    <t>5302910</t>
  </si>
  <si>
    <t>Finley School District</t>
  </si>
  <si>
    <t>5302940</t>
  </si>
  <si>
    <t>Franklin Pierce School District</t>
  </si>
  <si>
    <t>5303000</t>
  </si>
  <si>
    <t>Garfield School District</t>
  </si>
  <si>
    <t>5303090</t>
  </si>
  <si>
    <t>Goldendale School District</t>
  </si>
  <si>
    <t>5303130</t>
  </si>
  <si>
    <t>Grand Coulee Dam School District</t>
  </si>
  <si>
    <t>5303150</t>
  </si>
  <si>
    <t>Grandview School District</t>
  </si>
  <si>
    <t>5303180</t>
  </si>
  <si>
    <t>Granger School District</t>
  </si>
  <si>
    <t>5303240</t>
  </si>
  <si>
    <t>Grapeview School District</t>
  </si>
  <si>
    <t>5303270</t>
  </si>
  <si>
    <t>Great Northern School District</t>
  </si>
  <si>
    <t>5303360</t>
  </si>
  <si>
    <t>Harrington School District</t>
  </si>
  <si>
    <t>5303510</t>
  </si>
  <si>
    <t>Highland School District</t>
  </si>
  <si>
    <t>5303600</t>
  </si>
  <si>
    <t>Hood Canal School District</t>
  </si>
  <si>
    <t>5303660</t>
  </si>
  <si>
    <t>Hoquiam School District</t>
  </si>
  <si>
    <t>5300002</t>
  </si>
  <si>
    <t>Inchelium School District</t>
  </si>
  <si>
    <t>5303720</t>
  </si>
  <si>
    <t>Index School District</t>
  </si>
  <si>
    <t>5303870</t>
  </si>
  <si>
    <t>Keller School District</t>
  </si>
  <si>
    <t>5300003</t>
  </si>
  <si>
    <t>Kelso School District</t>
  </si>
  <si>
    <t>5303930</t>
  </si>
  <si>
    <t>Kennewick School District</t>
  </si>
  <si>
    <t>5303960</t>
  </si>
  <si>
    <t>Kent School District</t>
  </si>
  <si>
    <t>5303990</t>
  </si>
  <si>
    <t>Kettle Falls School District</t>
  </si>
  <si>
    <t>5304020</t>
  </si>
  <si>
    <t>5304080</t>
  </si>
  <si>
    <t>Klickitat School District</t>
  </si>
  <si>
    <t>5304150</t>
  </si>
  <si>
    <t>LaCrosse School District</t>
  </si>
  <si>
    <t>5307050</t>
  </si>
  <si>
    <t>Lake Quinault School District</t>
  </si>
  <si>
    <t>5304410</t>
  </si>
  <si>
    <t>Lind School District</t>
  </si>
  <si>
    <t>5304470</t>
  </si>
  <si>
    <t>Longview Public Schools</t>
  </si>
  <si>
    <t>5304500</t>
  </si>
  <si>
    <t>Loon Lake School District</t>
  </si>
  <si>
    <t>5304530</t>
  </si>
  <si>
    <t>Lopez School District</t>
  </si>
  <si>
    <t>5304590</t>
  </si>
  <si>
    <t>Lyle School District</t>
  </si>
  <si>
    <t>5304650</t>
  </si>
  <si>
    <t>Mabton School District</t>
  </si>
  <si>
    <t>5304710</t>
  </si>
  <si>
    <t>Mansfield School District</t>
  </si>
  <si>
    <t>5304800</t>
  </si>
  <si>
    <t>Mary M. Knight School District</t>
  </si>
  <si>
    <t>5304830</t>
  </si>
  <si>
    <t>Mary Walker School District</t>
  </si>
  <si>
    <t>5304890</t>
  </si>
  <si>
    <t>McCleary School District</t>
  </si>
  <si>
    <t>5305020</t>
  </si>
  <si>
    <t>Methow Valley School District</t>
  </si>
  <si>
    <t>5305040</t>
  </si>
  <si>
    <t>Mill A School District</t>
  </si>
  <si>
    <t>5305160</t>
  </si>
  <si>
    <t>Montesano School District</t>
  </si>
  <si>
    <t>5305190</t>
  </si>
  <si>
    <t>Morton School District</t>
  </si>
  <si>
    <t>5305220</t>
  </si>
  <si>
    <t>Moses Lake School District</t>
  </si>
  <si>
    <t>5305250</t>
  </si>
  <si>
    <t>Mossyrock School District</t>
  </si>
  <si>
    <t>5305280</t>
  </si>
  <si>
    <t>Mount Adams School District</t>
  </si>
  <si>
    <t>5305310</t>
  </si>
  <si>
    <t>Mount Baker School District</t>
  </si>
  <si>
    <t>5305400</t>
  </si>
  <si>
    <t>Mount Vernon School District</t>
  </si>
  <si>
    <t>5305460</t>
  </si>
  <si>
    <t>Naches Valley School District</t>
  </si>
  <si>
    <t>5305490</t>
  </si>
  <si>
    <t>Napavine School District</t>
  </si>
  <si>
    <t>5305520</t>
  </si>
  <si>
    <t>Naselle-Grays River Valley School District</t>
  </si>
  <si>
    <t>5305550</t>
  </si>
  <si>
    <t>Nespelem School District</t>
  </si>
  <si>
    <t>5305610</t>
  </si>
  <si>
    <t>Newport School District</t>
  </si>
  <si>
    <t>5305640</t>
  </si>
  <si>
    <t>Nine Mile Falls School District</t>
  </si>
  <si>
    <t>5305700</t>
  </si>
  <si>
    <t>North Beach School District</t>
  </si>
  <si>
    <t>5305730</t>
  </si>
  <si>
    <t>North Franklin School District</t>
  </si>
  <si>
    <t>5305790</t>
  </si>
  <si>
    <t>North Mason School District</t>
  </si>
  <si>
    <t>5305820</t>
  </si>
  <si>
    <t>North River School District</t>
  </si>
  <si>
    <t>5305880</t>
  </si>
  <si>
    <t>Northport School District</t>
  </si>
  <si>
    <t>5306000</t>
  </si>
  <si>
    <t>Oakville School District</t>
  </si>
  <si>
    <t>5306060</t>
  </si>
  <si>
    <t>Ocean Beach School District</t>
  </si>
  <si>
    <t>5306090</t>
  </si>
  <si>
    <t>Ocosta School District</t>
  </si>
  <si>
    <t>5306150</t>
  </si>
  <si>
    <t>Okanogan School District</t>
  </si>
  <si>
    <t>5306220</t>
  </si>
  <si>
    <t>Omak School District</t>
  </si>
  <si>
    <t>5306240</t>
  </si>
  <si>
    <t>Onalaska School District</t>
  </si>
  <si>
    <t>5306270</t>
  </si>
  <si>
    <t>Onion Creek School District</t>
  </si>
  <si>
    <t>5306300</t>
  </si>
  <si>
    <t>Orcas Island School District</t>
  </si>
  <si>
    <t>5306360</t>
  </si>
  <si>
    <t>Orient School District</t>
  </si>
  <si>
    <t>5306390</t>
  </si>
  <si>
    <t>Orondo School District</t>
  </si>
  <si>
    <t>5306420</t>
  </si>
  <si>
    <t>Oroville School District</t>
  </si>
  <si>
    <t>5306480</t>
  </si>
  <si>
    <t>Othello School District</t>
  </si>
  <si>
    <t>5306510</t>
  </si>
  <si>
    <t>Palisades School District</t>
  </si>
  <si>
    <t>5306540</t>
  </si>
  <si>
    <t>Palouse School District</t>
  </si>
  <si>
    <t>5306570</t>
  </si>
  <si>
    <t>Pasco School District</t>
  </si>
  <si>
    <t>5306600</t>
  </si>
  <si>
    <t>Pateros School District</t>
  </si>
  <si>
    <t>5306750</t>
  </si>
  <si>
    <t>Pioneer School District</t>
  </si>
  <si>
    <t>5306780</t>
  </si>
  <si>
    <t>Pomeroy School District</t>
  </si>
  <si>
    <t>5306820</t>
  </si>
  <si>
    <t>Port Angeles School District</t>
  </si>
  <si>
    <t>5306840</t>
  </si>
  <si>
    <t>Port Townsend School District</t>
  </si>
  <si>
    <t>5306870</t>
  </si>
  <si>
    <t>Prescott School District</t>
  </si>
  <si>
    <t>5306900</t>
  </si>
  <si>
    <t>Prosser School District</t>
  </si>
  <si>
    <t>5301380</t>
  </si>
  <si>
    <t>Queets-Clearwater School District</t>
  </si>
  <si>
    <t>5306990</t>
  </si>
  <si>
    <t>Quilcene School District</t>
  </si>
  <si>
    <t>5307020</t>
  </si>
  <si>
    <t>Quillayute Valley School District</t>
  </si>
  <si>
    <t>5307080</t>
  </si>
  <si>
    <t>Quincy School District</t>
  </si>
  <si>
    <t>5307140</t>
  </si>
  <si>
    <t>Raymond School District</t>
  </si>
  <si>
    <t>5307210</t>
  </si>
  <si>
    <t>Reardan-Edwall School District</t>
  </si>
  <si>
    <t>5307230</t>
  </si>
  <si>
    <t>5307260</t>
  </si>
  <si>
    <t>Republic School District</t>
  </si>
  <si>
    <t>5307470</t>
  </si>
  <si>
    <t>Rochester School District</t>
  </si>
  <si>
    <t>5307560</t>
  </si>
  <si>
    <t>Rosalia School District</t>
  </si>
  <si>
    <t>5307620</t>
  </si>
  <si>
    <t>Royal School District</t>
  </si>
  <si>
    <t>5307680</t>
  </si>
  <si>
    <t>Satsop School District</t>
  </si>
  <si>
    <t>5307770</t>
  </si>
  <si>
    <t>Selah School District</t>
  </si>
  <si>
    <t>5307800</t>
  </si>
  <si>
    <t>Selkirk School District</t>
  </si>
  <si>
    <t>5307830</t>
  </si>
  <si>
    <t>Sequim School District</t>
  </si>
  <si>
    <t>5307900</t>
  </si>
  <si>
    <t>Shelton School District</t>
  </si>
  <si>
    <t>5308070</t>
  </si>
  <si>
    <t>Soap Lake School District</t>
  </si>
  <si>
    <t>5308100</t>
  </si>
  <si>
    <t>South Bend School District</t>
  </si>
  <si>
    <t>5308220</t>
  </si>
  <si>
    <t>Southside School District</t>
  </si>
  <si>
    <t>5308280</t>
  </si>
  <si>
    <t>Sprague School District</t>
  </si>
  <si>
    <t>5308310</t>
  </si>
  <si>
    <t>St. John School District</t>
  </si>
  <si>
    <t>5308400</t>
  </si>
  <si>
    <t>Starbuck School District</t>
  </si>
  <si>
    <t>5308490</t>
  </si>
  <si>
    <t>Steptoe School District</t>
  </si>
  <si>
    <t>5308520</t>
  </si>
  <si>
    <t>Stevenson-Carson School District</t>
  </si>
  <si>
    <t>5308580</t>
  </si>
  <si>
    <t>Summit Valley School District</t>
  </si>
  <si>
    <t>5308670</t>
  </si>
  <si>
    <t>Sunnyside School District</t>
  </si>
  <si>
    <t>5308730</t>
  </si>
  <si>
    <t>Taholah School District</t>
  </si>
  <si>
    <t>5308940</t>
  </si>
  <si>
    <t>Tonasket School District</t>
  </si>
  <si>
    <t>5308970</t>
  </si>
  <si>
    <t>Toppenish School District</t>
  </si>
  <si>
    <t>5309060</t>
  </si>
  <si>
    <t>Trout Lake School District</t>
  </si>
  <si>
    <t>5309150</t>
  </si>
  <si>
    <t>Union Gap School District</t>
  </si>
  <si>
    <t>5309240</t>
  </si>
  <si>
    <t>Valley School District</t>
  </si>
  <si>
    <t>5309330</t>
  </si>
  <si>
    <t>Wahkiakum School District</t>
  </si>
  <si>
    <t>5309360</t>
  </si>
  <si>
    <t>Wahluke School District</t>
  </si>
  <si>
    <t>5309390</t>
  </si>
  <si>
    <t>Waitsburg School District</t>
  </si>
  <si>
    <t>5309450</t>
  </si>
  <si>
    <t>5309480</t>
  </si>
  <si>
    <t>Wapato School District</t>
  </si>
  <si>
    <t>5309510</t>
  </si>
  <si>
    <t>Warden School District</t>
  </si>
  <si>
    <t>5309570</t>
  </si>
  <si>
    <t>Washtucna School District</t>
  </si>
  <si>
    <t>5309600</t>
  </si>
  <si>
    <t>Waterville School District</t>
  </si>
  <si>
    <t>5309630</t>
  </si>
  <si>
    <t>Wellpinit School District</t>
  </si>
  <si>
    <t>5309750</t>
  </si>
  <si>
    <t>White Pass School District</t>
  </si>
  <si>
    <t>5309870</t>
  </si>
  <si>
    <t>Willapa Valley School District</t>
  </si>
  <si>
    <t>5309900</t>
  </si>
  <si>
    <t>Wilson Creek School District</t>
  </si>
  <si>
    <t>5309930</t>
  </si>
  <si>
    <t>Winlock School District</t>
  </si>
  <si>
    <t>5309990</t>
  </si>
  <si>
    <t>Wishkah Valley School District</t>
  </si>
  <si>
    <t>5310020</t>
  </si>
  <si>
    <t>Wishram School District</t>
  </si>
  <si>
    <t>5310050</t>
  </si>
  <si>
    <t>Woodland School District</t>
  </si>
  <si>
    <t>5310110</t>
  </si>
  <si>
    <t>Yakima School District</t>
  </si>
  <si>
    <t>5310140</t>
  </si>
  <si>
    <t>Yelm Community Schools</t>
  </si>
  <si>
    <t>5310170</t>
  </si>
  <si>
    <t>Zillah School District</t>
  </si>
  <si>
    <t>5399999</t>
  </si>
  <si>
    <t>PART D SUBPART 2</t>
  </si>
  <si>
    <t>1</t>
  </si>
  <si>
    <t>Hold Harmless Percentage</t>
  </si>
  <si>
    <t>IsExpanded</t>
  </si>
  <si>
    <t>Sum of Charters RFPL+Sending RFPL</t>
  </si>
  <si>
    <t>WASHINGTON</t>
  </si>
  <si>
    <t>Pool</t>
  </si>
  <si>
    <t>Allocation</t>
  </si>
  <si>
    <t>MOE</t>
  </si>
  <si>
    <t>14005</t>
  </si>
  <si>
    <t>ABERDEEN</t>
  </si>
  <si>
    <t>21226</t>
  </si>
  <si>
    <t>ADNA</t>
  </si>
  <si>
    <t>22017</t>
  </si>
  <si>
    <t>ALMIRA</t>
  </si>
  <si>
    <t>29103</t>
  </si>
  <si>
    <t>ANACORTES</t>
  </si>
  <si>
    <t>31016</t>
  </si>
  <si>
    <t>ARLINGTON</t>
  </si>
  <si>
    <t>02420</t>
  </si>
  <si>
    <t>ASOTIN-ANATONE</t>
  </si>
  <si>
    <t>17408</t>
  </si>
  <si>
    <t>AUBURN</t>
  </si>
  <si>
    <t>18303</t>
  </si>
  <si>
    <t>BAINBRIDGE ISLAND</t>
  </si>
  <si>
    <t>06119</t>
  </si>
  <si>
    <t>BATTLE GROUND</t>
  </si>
  <si>
    <t>17405</t>
  </si>
  <si>
    <t>BELLEVUE</t>
  </si>
  <si>
    <t>BELLINGHAM</t>
  </si>
  <si>
    <t>01122</t>
  </si>
  <si>
    <t>BENGE</t>
  </si>
  <si>
    <t>27403</t>
  </si>
  <si>
    <t>BETHEL</t>
  </si>
  <si>
    <t>20203</t>
  </si>
  <si>
    <t>BICKLETON</t>
  </si>
  <si>
    <t>37503</t>
  </si>
  <si>
    <t>BLAINE</t>
  </si>
  <si>
    <t>21234</t>
  </si>
  <si>
    <t>BOISTFORT</t>
  </si>
  <si>
    <t>BREMERTON</t>
  </si>
  <si>
    <t>24111</t>
  </si>
  <si>
    <t>BREWSTER</t>
  </si>
  <si>
    <t>09075</t>
  </si>
  <si>
    <t>BRIDGEPORT</t>
  </si>
  <si>
    <t>16046</t>
  </si>
  <si>
    <t>BRINNON</t>
  </si>
  <si>
    <t>29100</t>
  </si>
  <si>
    <t>BURLINGTON-EDISON</t>
  </si>
  <si>
    <t>06117</t>
  </si>
  <si>
    <t>CAMAS</t>
  </si>
  <si>
    <t>05401</t>
  </si>
  <si>
    <t>CAPE FLATTERY</t>
  </si>
  <si>
    <t>27019</t>
  </si>
  <si>
    <t>CARBONADO</t>
  </si>
  <si>
    <t>04228</t>
  </si>
  <si>
    <t>CASCADE</t>
  </si>
  <si>
    <t>04222</t>
  </si>
  <si>
    <t>CASHMERE</t>
  </si>
  <si>
    <t>08401</t>
  </si>
  <si>
    <t>CASTLE ROCK</t>
  </si>
  <si>
    <t>CATALYST BREMERTON CHARTER</t>
  </si>
  <si>
    <t>20215</t>
  </si>
  <si>
    <t>CENTERVILLE</t>
  </si>
  <si>
    <t>18401</t>
  </si>
  <si>
    <t>CENTRAL KITSAP</t>
  </si>
  <si>
    <t>32356</t>
  </si>
  <si>
    <t>CENTRAL VALLEY</t>
  </si>
  <si>
    <t>21401</t>
  </si>
  <si>
    <t>CENTRALIA</t>
  </si>
  <si>
    <t>21302</t>
  </si>
  <si>
    <t>CHEHALIS</t>
  </si>
  <si>
    <t>32360</t>
  </si>
  <si>
    <t>CHENEY</t>
  </si>
  <si>
    <t>33036</t>
  </si>
  <si>
    <t>CHEWELAH</t>
  </si>
  <si>
    <t>16049</t>
  </si>
  <si>
    <t>CHIMACUM</t>
  </si>
  <si>
    <t>02250</t>
  </si>
  <si>
    <t>CLARKSTON</t>
  </si>
  <si>
    <t>19404</t>
  </si>
  <si>
    <t>CLE ELUM-ROSLYN</t>
  </si>
  <si>
    <t>27400</t>
  </si>
  <si>
    <t>CLOVER PARK</t>
  </si>
  <si>
    <t>38300</t>
  </si>
  <si>
    <t>COLFAX</t>
  </si>
  <si>
    <t>36250</t>
  </si>
  <si>
    <t>COLLEGE PLACE</t>
  </si>
  <si>
    <t>38306</t>
  </si>
  <si>
    <t>COLTON</t>
  </si>
  <si>
    <t>33206</t>
  </si>
  <si>
    <t>COLUMBIA (STEV)</t>
  </si>
  <si>
    <t>36400</t>
  </si>
  <si>
    <t>COLUMBIA (WALLA)</t>
  </si>
  <si>
    <t>33115</t>
  </si>
  <si>
    <t>COLVILLE</t>
  </si>
  <si>
    <t>29011</t>
  </si>
  <si>
    <t>CONCRETE</t>
  </si>
  <si>
    <t>29317</t>
  </si>
  <si>
    <t>CONWAY</t>
  </si>
  <si>
    <t>14099</t>
  </si>
  <si>
    <t>COSMOPOLIS</t>
  </si>
  <si>
    <t>13151</t>
  </si>
  <si>
    <t>COULEE-HARTLINE</t>
  </si>
  <si>
    <t>15204</t>
  </si>
  <si>
    <t>COUPEVILLE</t>
  </si>
  <si>
    <t>05313</t>
  </si>
  <si>
    <t>CRESCENT</t>
  </si>
  <si>
    <t>22073</t>
  </si>
  <si>
    <t>CRESTON</t>
  </si>
  <si>
    <t>10050</t>
  </si>
  <si>
    <t>CURLEW</t>
  </si>
  <si>
    <t>26059</t>
  </si>
  <si>
    <t>CUSICK</t>
  </si>
  <si>
    <t>19007</t>
  </si>
  <si>
    <t>DAMMAN</t>
  </si>
  <si>
    <t>31330</t>
  </si>
  <si>
    <t>DARRINGTON</t>
  </si>
  <si>
    <t>22207</t>
  </si>
  <si>
    <t>DAVENPORT</t>
  </si>
  <si>
    <t>07002</t>
  </si>
  <si>
    <t>DAYTON</t>
  </si>
  <si>
    <t>32414</t>
  </si>
  <si>
    <t>DEER PARK</t>
  </si>
  <si>
    <t>27343</t>
  </si>
  <si>
    <t>DIERINGER</t>
  </si>
  <si>
    <t>36101</t>
  </si>
  <si>
    <t>DIXIE</t>
  </si>
  <si>
    <t>32361</t>
  </si>
  <si>
    <t>EAST VALLEY (SPK)</t>
  </si>
  <si>
    <t>39090</t>
  </si>
  <si>
    <t>EAST VALLEY (YAK)</t>
  </si>
  <si>
    <t>09206</t>
  </si>
  <si>
    <t>EASTMONT</t>
  </si>
  <si>
    <t>19028</t>
  </si>
  <si>
    <t>EASTON</t>
  </si>
  <si>
    <t>27404</t>
  </si>
  <si>
    <t>EATONVILLE</t>
  </si>
  <si>
    <t>31015</t>
  </si>
  <si>
    <t>EDMONDS</t>
  </si>
  <si>
    <t>19401</t>
  </si>
  <si>
    <t>ELLENSBURG</t>
  </si>
  <si>
    <t>14068</t>
  </si>
  <si>
    <t>ELMA</t>
  </si>
  <si>
    <t>38308</t>
  </si>
  <si>
    <t>ENDICOTT</t>
  </si>
  <si>
    <t>04127</t>
  </si>
  <si>
    <t>ENTIAT</t>
  </si>
  <si>
    <t>17216</t>
  </si>
  <si>
    <t>ENUMCLAW</t>
  </si>
  <si>
    <t>13165</t>
  </si>
  <si>
    <t>EPHRATA</t>
  </si>
  <si>
    <t>21036</t>
  </si>
  <si>
    <t>EVALINE</t>
  </si>
  <si>
    <t>31002</t>
  </si>
  <si>
    <t>EVERETT</t>
  </si>
  <si>
    <t>06114</t>
  </si>
  <si>
    <t>EVERGREEN (CLARK)</t>
  </si>
  <si>
    <t>33205</t>
  </si>
  <si>
    <t>EVERGREEN (STEV)</t>
  </si>
  <si>
    <t>17210</t>
  </si>
  <si>
    <t>FEDERAL WAY</t>
  </si>
  <si>
    <t>37502</t>
  </si>
  <si>
    <t>FERNDALE</t>
  </si>
  <si>
    <t>27417</t>
  </si>
  <si>
    <t>FIFE</t>
  </si>
  <si>
    <t>03053</t>
  </si>
  <si>
    <t>FINLEY</t>
  </si>
  <si>
    <t>27402</t>
  </si>
  <si>
    <t>FRANKLIN PIERCE</t>
  </si>
  <si>
    <t>32358</t>
  </si>
  <si>
    <t>FREEMAN</t>
  </si>
  <si>
    <t>38302</t>
  </si>
  <si>
    <t>GARFIELD</t>
  </si>
  <si>
    <t>20401</t>
  </si>
  <si>
    <t>GLENWOOD</t>
  </si>
  <si>
    <t>20404</t>
  </si>
  <si>
    <t>GOLDENDALE</t>
  </si>
  <si>
    <t>13301</t>
  </si>
  <si>
    <t>GRAND COULEE</t>
  </si>
  <si>
    <t>39200</t>
  </si>
  <si>
    <t>GRANDVIEW</t>
  </si>
  <si>
    <t>39204</t>
  </si>
  <si>
    <t>GRANGER</t>
  </si>
  <si>
    <t>31332</t>
  </si>
  <si>
    <t>GRANITE FALLS</t>
  </si>
  <si>
    <t>23054</t>
  </si>
  <si>
    <t>GRAPEVIEW</t>
  </si>
  <si>
    <t>32312</t>
  </si>
  <si>
    <t>GREAT NORTHERN</t>
  </si>
  <si>
    <t>06103</t>
  </si>
  <si>
    <t>GREEN MOUNTAIN</t>
  </si>
  <si>
    <t>34324</t>
  </si>
  <si>
    <t>GRIFFIN</t>
  </si>
  <si>
    <t>22204</t>
  </si>
  <si>
    <t>HARRINGTON</t>
  </si>
  <si>
    <t>39203</t>
  </si>
  <si>
    <t>HIGHLAND</t>
  </si>
  <si>
    <t>HIGHLINE</t>
  </si>
  <si>
    <t>06098</t>
  </si>
  <si>
    <t>HOCKINSON</t>
  </si>
  <si>
    <t>23404</t>
  </si>
  <si>
    <t>HOOD CANAL</t>
  </si>
  <si>
    <t>14028</t>
  </si>
  <si>
    <t>HOQUIAM</t>
  </si>
  <si>
    <t>IMPACT COMMENCEMENT BAY CHARTER</t>
  </si>
  <si>
    <t>IMPACT PUGET SOUND CHARTER</t>
  </si>
  <si>
    <t>IMPACT SALISH SEA CHARTER</t>
  </si>
  <si>
    <t>10070</t>
  </si>
  <si>
    <t>INCHELIUM</t>
  </si>
  <si>
    <t>31063</t>
  </si>
  <si>
    <t>INDEX</t>
  </si>
  <si>
    <t>17411</t>
  </si>
  <si>
    <t>ISSAQUAH</t>
  </si>
  <si>
    <t>11056</t>
  </si>
  <si>
    <t>KAHLOTUS</t>
  </si>
  <si>
    <t>08402</t>
  </si>
  <si>
    <t>KALAMA</t>
  </si>
  <si>
    <t>10003</t>
  </si>
  <si>
    <t>KELLER</t>
  </si>
  <si>
    <t>08458</t>
  </si>
  <si>
    <t>KELSO</t>
  </si>
  <si>
    <t>03017</t>
  </si>
  <si>
    <t>KENNEWICK</t>
  </si>
  <si>
    <t>17415</t>
  </si>
  <si>
    <t>KENT</t>
  </si>
  <si>
    <t>33212</t>
  </si>
  <si>
    <t>KETTLE FALLS</t>
  </si>
  <si>
    <t>03052</t>
  </si>
  <si>
    <t>KIONA-BENTON</t>
  </si>
  <si>
    <t>19403</t>
  </si>
  <si>
    <t>KITTITAS</t>
  </si>
  <si>
    <t>20402</t>
  </si>
  <si>
    <t>KLICKITAT</t>
  </si>
  <si>
    <t>06101</t>
  </si>
  <si>
    <t>LA CENTER</t>
  </si>
  <si>
    <t>29311</t>
  </si>
  <si>
    <t>LA CONNER</t>
  </si>
  <si>
    <t>38126</t>
  </si>
  <si>
    <t>LACROSSE</t>
  </si>
  <si>
    <t>04129</t>
  </si>
  <si>
    <t>LAKE CHELAN</t>
  </si>
  <si>
    <t>31004</t>
  </si>
  <si>
    <t>LAKE STEVENS</t>
  </si>
  <si>
    <t>17414</t>
  </si>
  <si>
    <t>LAKE WASHINGTON</t>
  </si>
  <si>
    <t>31306</t>
  </si>
  <si>
    <t>LAKEWOOD</t>
  </si>
  <si>
    <t>38264</t>
  </si>
  <si>
    <t>LAMONT</t>
  </si>
  <si>
    <t>32362</t>
  </si>
  <si>
    <t>LIBERTY</t>
  </si>
  <si>
    <t>01158</t>
  </si>
  <si>
    <t>LIND</t>
  </si>
  <si>
    <t>08122</t>
  </si>
  <si>
    <t>LONGVIEW</t>
  </si>
  <si>
    <t>33183</t>
  </si>
  <si>
    <t>LOON LAKE</t>
  </si>
  <si>
    <t>28144</t>
  </si>
  <si>
    <t>LOPEZ</t>
  </si>
  <si>
    <t>LUMEN CHARTER</t>
  </si>
  <si>
    <t>20406</t>
  </si>
  <si>
    <t>LYLE</t>
  </si>
  <si>
    <t>37504</t>
  </si>
  <si>
    <t>LYNDEN</t>
  </si>
  <si>
    <t>39120</t>
  </si>
  <si>
    <t>MABTON</t>
  </si>
  <si>
    <t>09207</t>
  </si>
  <si>
    <t>MANSFIELD</t>
  </si>
  <si>
    <t>04019</t>
  </si>
  <si>
    <t>MANSON</t>
  </si>
  <si>
    <t>23311</t>
  </si>
  <si>
    <t>MARY M KNIGHT</t>
  </si>
  <si>
    <t>33207</t>
  </si>
  <si>
    <t>MARY WALKER</t>
  </si>
  <si>
    <t>31025</t>
  </si>
  <si>
    <t>MARYSVILLE</t>
  </si>
  <si>
    <t>14065</t>
  </si>
  <si>
    <t>MCCLEARY</t>
  </si>
  <si>
    <t>32354</t>
  </si>
  <si>
    <t>MEAD</t>
  </si>
  <si>
    <t>32326</t>
  </si>
  <si>
    <t>MEDICAL LAKE</t>
  </si>
  <si>
    <t>17400</t>
  </si>
  <si>
    <t>MERCER ISLAND</t>
  </si>
  <si>
    <t>37505</t>
  </si>
  <si>
    <t>MERIDIAN</t>
  </si>
  <si>
    <t>24350</t>
  </si>
  <si>
    <t>METHOW VALLEY</t>
  </si>
  <si>
    <t>30031</t>
  </si>
  <si>
    <t>MILL A</t>
  </si>
  <si>
    <t>31103</t>
  </si>
  <si>
    <t>MONROE</t>
  </si>
  <si>
    <t>14066</t>
  </si>
  <si>
    <t>MONTESANO</t>
  </si>
  <si>
    <t>21214</t>
  </si>
  <si>
    <t>MORTON</t>
  </si>
  <si>
    <t>13161</t>
  </si>
  <si>
    <t>MOSES LAKE</t>
  </si>
  <si>
    <t>21206</t>
  </si>
  <si>
    <t>MOSSYROCK</t>
  </si>
  <si>
    <t>39209</t>
  </si>
  <si>
    <t>MOUNT ADAMS</t>
  </si>
  <si>
    <t>37507</t>
  </si>
  <si>
    <t>MOUNT BAKER</t>
  </si>
  <si>
    <t>30029</t>
  </si>
  <si>
    <t>MOUNT PLEASANT</t>
  </si>
  <si>
    <t>29320</t>
  </si>
  <si>
    <t>MOUNT VERNON</t>
  </si>
  <si>
    <t>31006</t>
  </si>
  <si>
    <t>MUKILTEO</t>
  </si>
  <si>
    <t>39003</t>
  </si>
  <si>
    <t>NACHES VALLEY</t>
  </si>
  <si>
    <t>21014</t>
  </si>
  <si>
    <t>NAPAVINE</t>
  </si>
  <si>
    <t>25155</t>
  </si>
  <si>
    <t>NASELLE-GRAYS</t>
  </si>
  <si>
    <t>24014</t>
  </si>
  <si>
    <t>NESPELEM</t>
  </si>
  <si>
    <t>26056</t>
  </si>
  <si>
    <t>NEWPORT</t>
  </si>
  <si>
    <t>32325</t>
  </si>
  <si>
    <t>NINE MILE FALLS</t>
  </si>
  <si>
    <t>37506</t>
  </si>
  <si>
    <t>NOOKSACK VALLEY</t>
  </si>
  <si>
    <t>14064</t>
  </si>
  <si>
    <t>NORTH BEACH</t>
  </si>
  <si>
    <t>11051</t>
  </si>
  <si>
    <t>NORTH FRANKLIN</t>
  </si>
  <si>
    <t>18400</t>
  </si>
  <si>
    <t>NORTH KITSAP</t>
  </si>
  <si>
    <t>23403</t>
  </si>
  <si>
    <t>NORTH MASON</t>
  </si>
  <si>
    <t>25200</t>
  </si>
  <si>
    <t>NORTH RIVER</t>
  </si>
  <si>
    <t>34003</t>
  </si>
  <si>
    <t>NORTH THURSTON</t>
  </si>
  <si>
    <t>33211</t>
  </si>
  <si>
    <t>NORTHPORT</t>
  </si>
  <si>
    <t>17417</t>
  </si>
  <si>
    <t>NORTHSHORE</t>
  </si>
  <si>
    <t>15201</t>
  </si>
  <si>
    <t>OAK HARBOR</t>
  </si>
  <si>
    <t>38324</t>
  </si>
  <si>
    <t>OAKESDALE</t>
  </si>
  <si>
    <t>14400</t>
  </si>
  <si>
    <t>OAKVILLE</t>
  </si>
  <si>
    <t>25101</t>
  </si>
  <si>
    <t>OCEAN BEACH</t>
  </si>
  <si>
    <t>14172</t>
  </si>
  <si>
    <t>OCOSTA</t>
  </si>
  <si>
    <t>22105</t>
  </si>
  <si>
    <t>ODESSA</t>
  </si>
  <si>
    <t>24105</t>
  </si>
  <si>
    <t>OKANOGAN</t>
  </si>
  <si>
    <t>34111</t>
  </si>
  <si>
    <t>OLYMPIA</t>
  </si>
  <si>
    <t>24019</t>
  </si>
  <si>
    <t>OMAK</t>
  </si>
  <si>
    <t>21300</t>
  </si>
  <si>
    <t>ONALASKA</t>
  </si>
  <si>
    <t>33030</t>
  </si>
  <si>
    <t>ONION CREEK</t>
  </si>
  <si>
    <t>28137</t>
  </si>
  <si>
    <t>ORCAS ISLAND</t>
  </si>
  <si>
    <t>32123</t>
  </si>
  <si>
    <t>ORCHARD PRAIRIE</t>
  </si>
  <si>
    <t>10065</t>
  </si>
  <si>
    <t>ORIENT</t>
  </si>
  <si>
    <t>09013</t>
  </si>
  <si>
    <t>ORONDO</t>
  </si>
  <si>
    <t>24410</t>
  </si>
  <si>
    <t>OROVILLE</t>
  </si>
  <si>
    <t>27344</t>
  </si>
  <si>
    <t>ORTING</t>
  </si>
  <si>
    <t>01147</t>
  </si>
  <si>
    <t>OTHELLO</t>
  </si>
  <si>
    <t>09102</t>
  </si>
  <si>
    <t>PALISADES</t>
  </si>
  <si>
    <t>38301</t>
  </si>
  <si>
    <t>PALOUSE</t>
  </si>
  <si>
    <t>11001</t>
  </si>
  <si>
    <t>PASCO</t>
  </si>
  <si>
    <t>24122</t>
  </si>
  <si>
    <t>PATEROS</t>
  </si>
  <si>
    <t>03050</t>
  </si>
  <si>
    <t>PATERSON</t>
  </si>
  <si>
    <t>21301</t>
  </si>
  <si>
    <t>PE ELL</t>
  </si>
  <si>
    <t>27401</t>
  </si>
  <si>
    <t>PENINSULA</t>
  </si>
  <si>
    <t>PINNACLE PREP CHARTER</t>
  </si>
  <si>
    <t>23402</t>
  </si>
  <si>
    <t>PIONEER</t>
  </si>
  <si>
    <t>12110</t>
  </si>
  <si>
    <t>POMEROY</t>
  </si>
  <si>
    <t>05121</t>
  </si>
  <si>
    <t>PORT ANGELES</t>
  </si>
  <si>
    <t>16050</t>
  </si>
  <si>
    <t>PORT TOWNSEND</t>
  </si>
  <si>
    <t>36402</t>
  </si>
  <si>
    <t>PRESCOTT</t>
  </si>
  <si>
    <t>PRIDE PREP CHARTER</t>
  </si>
  <si>
    <t>03116</t>
  </si>
  <si>
    <t>PROSSER</t>
  </si>
  <si>
    <t>PULLMAN</t>
  </si>
  <si>
    <t>27003</t>
  </si>
  <si>
    <t>PUYALLUP</t>
  </si>
  <si>
    <t>16020</t>
  </si>
  <si>
    <t>QUEETS-CLEARWATER</t>
  </si>
  <si>
    <t>16048</t>
  </si>
  <si>
    <t>QUILCENE</t>
  </si>
  <si>
    <t>05402</t>
  </si>
  <si>
    <t>QUILLAYUTE VALLEY</t>
  </si>
  <si>
    <t>14097</t>
  </si>
  <si>
    <t>QUINAULT</t>
  </si>
  <si>
    <t>13144</t>
  </si>
  <si>
    <t>QUINCY</t>
  </si>
  <si>
    <t>34307</t>
  </si>
  <si>
    <t>RAINIER</t>
  </si>
  <si>
    <t>RAINIER PREP CHARTER</t>
  </si>
  <si>
    <t>RAINIER VALLEY CHARTER</t>
  </si>
  <si>
    <t>25116</t>
  </si>
  <si>
    <t>RAYMOND</t>
  </si>
  <si>
    <t>22009</t>
  </si>
  <si>
    <t>REARDAN-EDWALL</t>
  </si>
  <si>
    <t>17403</t>
  </si>
  <si>
    <t>RENTON</t>
  </si>
  <si>
    <t>10309</t>
  </si>
  <si>
    <t>REPUBLIC</t>
  </si>
  <si>
    <t>03400</t>
  </si>
  <si>
    <t>RICHLAND</t>
  </si>
  <si>
    <t>06122</t>
  </si>
  <si>
    <t>RIDGEFIELD</t>
  </si>
  <si>
    <t>01160</t>
  </si>
  <si>
    <t>RITZVILLE</t>
  </si>
  <si>
    <t>32416</t>
  </si>
  <si>
    <t>RIVERSIDE</t>
  </si>
  <si>
    <t>17407</t>
  </si>
  <si>
    <t>RIVERVIEW</t>
  </si>
  <si>
    <t>34401</t>
  </si>
  <si>
    <t>ROCHESTER</t>
  </si>
  <si>
    <t>20403</t>
  </si>
  <si>
    <t>ROOSEVELT</t>
  </si>
  <si>
    <t>38320</t>
  </si>
  <si>
    <t>ROSALIA</t>
  </si>
  <si>
    <t>13160</t>
  </si>
  <si>
    <t>ROYAL</t>
  </si>
  <si>
    <t>28149</t>
  </si>
  <si>
    <t>SAN JUAN ISLAND</t>
  </si>
  <si>
    <t>14104</t>
  </si>
  <si>
    <t>SATSOP</t>
  </si>
  <si>
    <t>SCHOOL FOR THE DEAF</t>
  </si>
  <si>
    <t>SCHOOL OF THE BLIND</t>
  </si>
  <si>
    <t>SEATTLE</t>
  </si>
  <si>
    <t>29101</t>
  </si>
  <si>
    <t>SEDRO-WOOLLEY</t>
  </si>
  <si>
    <t>39119</t>
  </si>
  <si>
    <t>SELAH</t>
  </si>
  <si>
    <t>26070</t>
  </si>
  <si>
    <t>SELKIRK</t>
  </si>
  <si>
    <t>05323</t>
  </si>
  <si>
    <t>SEQUIM</t>
  </si>
  <si>
    <t>28010</t>
  </si>
  <si>
    <t>SHAW ISLAND</t>
  </si>
  <si>
    <t>23309</t>
  </si>
  <si>
    <t>SHELTON</t>
  </si>
  <si>
    <t>17412</t>
  </si>
  <si>
    <t>SHORELINE</t>
  </si>
  <si>
    <t>30002</t>
  </si>
  <si>
    <t>SKAMANIA</t>
  </si>
  <si>
    <t>17404</t>
  </si>
  <si>
    <t>SKYKOMISH</t>
  </si>
  <si>
    <t>31201</t>
  </si>
  <si>
    <t>SNOHOMISH</t>
  </si>
  <si>
    <t>17410</t>
  </si>
  <si>
    <t>SNOQUALMIE VALLEY</t>
  </si>
  <si>
    <t>13156</t>
  </si>
  <si>
    <t>SOAP LAKE</t>
  </si>
  <si>
    <t>25118</t>
  </si>
  <si>
    <t>SOUTH BEND</t>
  </si>
  <si>
    <t>18402</t>
  </si>
  <si>
    <t>SOUTH KITSAP</t>
  </si>
  <si>
    <t>15206</t>
  </si>
  <si>
    <t>SOUTH WHIDBEY</t>
  </si>
  <si>
    <t>23042</t>
  </si>
  <si>
    <t>SOUTHSIDE</t>
  </si>
  <si>
    <t>SPOKANE</t>
  </si>
  <si>
    <t>SPOKANE INTERNATIONAL ACADEMY CHARTER</t>
  </si>
  <si>
    <t>22008</t>
  </si>
  <si>
    <t>SPRAGUE</t>
  </si>
  <si>
    <t>38322</t>
  </si>
  <si>
    <t>ST JOHN</t>
  </si>
  <si>
    <t>31401</t>
  </si>
  <si>
    <t>STANWOOD</t>
  </si>
  <si>
    <t>11054</t>
  </si>
  <si>
    <t>STAR</t>
  </si>
  <si>
    <t>07035</t>
  </si>
  <si>
    <t>STARBUCK</t>
  </si>
  <si>
    <t>04069</t>
  </si>
  <si>
    <t>STEHEKIN</t>
  </si>
  <si>
    <t>27001</t>
  </si>
  <si>
    <t>STEILACOOM</t>
  </si>
  <si>
    <t>38304</t>
  </si>
  <si>
    <t>STEPTOE</t>
  </si>
  <si>
    <t>30303</t>
  </si>
  <si>
    <t>STEVENSON-CARSON</t>
  </si>
  <si>
    <t>31311</t>
  </si>
  <si>
    <t>SULTAN</t>
  </si>
  <si>
    <t>SUMMIT ATLAS CHARTER</t>
  </si>
  <si>
    <t>SUMMIT OLYMPUS CHARTER</t>
  </si>
  <si>
    <t>SUMMIT SIERRA CHARTER</t>
  </si>
  <si>
    <t>33202</t>
  </si>
  <si>
    <t>SUMMIT VALLEY</t>
  </si>
  <si>
    <t>27320</t>
  </si>
  <si>
    <t>SUMNER</t>
  </si>
  <si>
    <t>39201</t>
  </si>
  <si>
    <t>SUNNYSIDE</t>
  </si>
  <si>
    <t>SUQUAMISH</t>
  </si>
  <si>
    <t>TACOMA</t>
  </si>
  <si>
    <t>14077</t>
  </si>
  <si>
    <t>TAHOLAH</t>
  </si>
  <si>
    <t>17409</t>
  </si>
  <si>
    <t>TAHOMA</t>
  </si>
  <si>
    <t>38265</t>
  </si>
  <si>
    <t>TEKOA</t>
  </si>
  <si>
    <t>34402</t>
  </si>
  <si>
    <t>TENINO</t>
  </si>
  <si>
    <t>19400</t>
  </si>
  <si>
    <t>THORP</t>
  </si>
  <si>
    <t>21237</t>
  </si>
  <si>
    <t>TOLEDO</t>
  </si>
  <si>
    <t>24404</t>
  </si>
  <si>
    <t>TONASKET</t>
  </si>
  <si>
    <t>39202</t>
  </si>
  <si>
    <t>TOPPENISH</t>
  </si>
  <si>
    <t>36300</t>
  </si>
  <si>
    <t>TOUCHET</t>
  </si>
  <si>
    <t>08130</t>
  </si>
  <si>
    <t>TOUTLE LAKE</t>
  </si>
  <si>
    <t>20400</t>
  </si>
  <si>
    <t>TROUT LAKE</t>
  </si>
  <si>
    <t>TUKWILA</t>
  </si>
  <si>
    <t>34033</t>
  </si>
  <si>
    <t>TUMWATER</t>
  </si>
  <si>
    <t>39002</t>
  </si>
  <si>
    <t>UNION GAP</t>
  </si>
  <si>
    <t>27083</t>
  </si>
  <si>
    <t>UNIVERSITY PLACE</t>
  </si>
  <si>
    <t>33070</t>
  </si>
  <si>
    <t>VALLEY</t>
  </si>
  <si>
    <t>VANCOUVER</t>
  </si>
  <si>
    <t>17402</t>
  </si>
  <si>
    <t>VASHON ISLAND</t>
  </si>
  <si>
    <t>35200</t>
  </si>
  <si>
    <t>WAHKIAKUM</t>
  </si>
  <si>
    <t>13073</t>
  </si>
  <si>
    <t>WAHLUKE</t>
  </si>
  <si>
    <t>36401</t>
  </si>
  <si>
    <t>WAITSBURG</t>
  </si>
  <si>
    <t>36140</t>
  </si>
  <si>
    <t>WALLA WALLA</t>
  </si>
  <si>
    <t>39207</t>
  </si>
  <si>
    <t>WAPATO</t>
  </si>
  <si>
    <t>13146</t>
  </si>
  <si>
    <t>WARDEN</t>
  </si>
  <si>
    <t>06112</t>
  </si>
  <si>
    <t>WASHOUGAL</t>
  </si>
  <si>
    <t>01109</t>
  </si>
  <si>
    <t>WASHTUCNA</t>
  </si>
  <si>
    <t>09209</t>
  </si>
  <si>
    <t>WATERVILLE</t>
  </si>
  <si>
    <t>33049</t>
  </si>
  <si>
    <t>WELLPINIT</t>
  </si>
  <si>
    <t>WENATCHEE</t>
  </si>
  <si>
    <t>32363</t>
  </si>
  <si>
    <t>WEST VALLEY (SPK)</t>
  </si>
  <si>
    <t>39208</t>
  </si>
  <si>
    <t>WEST VALLEY (YAK)</t>
  </si>
  <si>
    <t>WHATCOM INTERGENERATIONAL CHARTER</t>
  </si>
  <si>
    <t>21303</t>
  </si>
  <si>
    <t>WHITE PASS</t>
  </si>
  <si>
    <t>27416</t>
  </si>
  <si>
    <t>WHITE RIVER</t>
  </si>
  <si>
    <t>20405</t>
  </si>
  <si>
    <t>WHITE SALMON</t>
  </si>
  <si>
    <t>WHY NOT YOU ACADEMY CHARTER</t>
  </si>
  <si>
    <t>22200</t>
  </si>
  <si>
    <t>WILBUR</t>
  </si>
  <si>
    <t>25160</t>
  </si>
  <si>
    <t>WILLAPA VALLEY</t>
  </si>
  <si>
    <t>13167</t>
  </si>
  <si>
    <t>WILSON CREEK</t>
  </si>
  <si>
    <t>21232</t>
  </si>
  <si>
    <t>WINLOCK</t>
  </si>
  <si>
    <t>14117</t>
  </si>
  <si>
    <t>WISHKAH VALLEY</t>
  </si>
  <si>
    <t>20094</t>
  </si>
  <si>
    <t>WISHRAM</t>
  </si>
  <si>
    <t>08404</t>
  </si>
  <si>
    <t>WOODLAND</t>
  </si>
  <si>
    <t>39007</t>
  </si>
  <si>
    <t>YAKIMA</t>
  </si>
  <si>
    <t>34002</t>
  </si>
  <si>
    <t>YELM</t>
  </si>
  <si>
    <t>39205</t>
  </si>
  <si>
    <t>ZILLAH</t>
  </si>
  <si>
    <t>TOTAL LEA GRANTS</t>
  </si>
  <si>
    <t>Rev Fin  T-I State Adm  1004(b).TITLE I, PART A TOTAL LEA GRANTS</t>
  </si>
  <si>
    <t>Statewide Allocations</t>
  </si>
  <si>
    <t>Adjustment or Carryover</t>
  </si>
  <si>
    <t>Total to be allocated</t>
  </si>
  <si>
    <t>FFY16 1003(g) Grant Award &amp; 4% Set Aside:</t>
  </si>
  <si>
    <t>7% Set Aside Amount</t>
  </si>
  <si>
    <t>Percentage School Improvement Withheld</t>
  </si>
  <si>
    <t>&lt;-------(Use Hold Harmless Calc)</t>
  </si>
  <si>
    <t xml:space="preserve">       Subtotal</t>
  </si>
  <si>
    <t>Allocation under $14 B rule</t>
  </si>
  <si>
    <t>Statewide Administration (After hold Harmless)</t>
  </si>
  <si>
    <t>MOE reduction</t>
  </si>
  <si>
    <t>Net to Districts</t>
  </si>
  <si>
    <t/>
  </si>
  <si>
    <t>Column1</t>
  </si>
  <si>
    <t>1st itiration</t>
  </si>
  <si>
    <t>2nd itiration</t>
  </si>
  <si>
    <t>3rd itiration</t>
  </si>
  <si>
    <t>4th itiration</t>
  </si>
  <si>
    <t>LEANAME</t>
  </si>
  <si>
    <t xml:space="preserve">Prior Year Total Allocation After State Reservations </t>
  </si>
  <si>
    <t>Current Year Basic Before State Reservations</t>
  </si>
  <si>
    <t>Current Year Concentration Before State Reservations</t>
  </si>
  <si>
    <t>Current Year Targeted Before State Reservations</t>
  </si>
  <si>
    <t>Current Year EFIG Before State Reservations</t>
  </si>
  <si>
    <t>Current Year Total Before State Reservations</t>
  </si>
  <si>
    <t>School improvement HH Test</t>
  </si>
  <si>
    <t>State Admin</t>
  </si>
  <si>
    <t>Subtotal after admin</t>
  </si>
  <si>
    <t>Holdback for awards and recognition</t>
  </si>
  <si>
    <t>Subtotal after awards</t>
  </si>
  <si>
    <t>MOE Reduction</t>
  </si>
  <si>
    <t>NET TO DISTRICS</t>
  </si>
  <si>
    <t>Second Iteration: Hold Harmless Check</t>
  </si>
  <si>
    <t>EFIG Hold Harmless Amount</t>
  </si>
  <si>
    <t>Current Year EFIG Allocation</t>
  </si>
  <si>
    <t>Percentage of Formula Children</t>
  </si>
  <si>
    <t>Current Year Targeted Allocation</t>
  </si>
  <si>
    <t>Current Year Basic Allocation</t>
  </si>
  <si>
    <t>Basic Hold Harmless Amount</t>
  </si>
  <si>
    <t>Adj - 5-17 pop</t>
  </si>
  <si>
    <t>Adj poverty</t>
  </si>
  <si>
    <t>Adj Total formula count</t>
  </si>
  <si>
    <t>Adj poverty percentage</t>
  </si>
  <si>
    <t>BASIC eligibility</t>
  </si>
  <si>
    <t>Conc. Eligigibility</t>
  </si>
  <si>
    <t>Targeted Eligibility</t>
  </si>
  <si>
    <t>EFIG eligibility</t>
  </si>
  <si>
    <t>FRPL.TotalStudents</t>
  </si>
  <si>
    <t>SendingTotalStudents</t>
  </si>
  <si>
    <t>Sum of charter total students + Sending total students</t>
  </si>
  <si>
    <t>Share of Total Enrollment</t>
  </si>
  <si>
    <t>Sending Share of Total enrollment</t>
  </si>
  <si>
    <t>DistrictName</t>
  </si>
  <si>
    <t>SendingLEAid</t>
  </si>
  <si>
    <t>DistrictType</t>
  </si>
  <si>
    <t>poverty Multiplier</t>
  </si>
  <si>
    <t>Enrollment multiplier</t>
  </si>
  <si>
    <t>Sending</t>
  </si>
  <si>
    <t>ChartersTotalStudents</t>
  </si>
  <si>
    <t>Share of FRPL</t>
  </si>
  <si>
    <t>Sending Share of FRPL</t>
  </si>
  <si>
    <t>Total Formula Count DOE</t>
  </si>
  <si>
    <t>NEG. adj</t>
  </si>
  <si>
    <t>Adj DEL.</t>
  </si>
  <si>
    <t>Adj Foster</t>
  </si>
  <si>
    <t>Adj TANF</t>
  </si>
  <si>
    <t>BASIC Hold Harmless base (Prior year adjusted alloc)</t>
  </si>
  <si>
    <t>TARGETED Hold Harmless Base (Prior Year adjusted alloc)</t>
  </si>
  <si>
    <t>EFIG Hold Harmless base (Prior Year adjusted alloc)</t>
  </si>
  <si>
    <t>Adj Basic Allocation</t>
  </si>
  <si>
    <t>Adj Conc. Allocation</t>
  </si>
  <si>
    <t>Adj Targeted allocation</t>
  </si>
  <si>
    <t>Adj EFIG Allocation</t>
  </si>
  <si>
    <t>Adj Total Title I Allocation</t>
  </si>
  <si>
    <t>Allocation before School Improvement</t>
  </si>
  <si>
    <t>BASIC Hold Harmless Base</t>
  </si>
  <si>
    <t>Conc Hold Harmless Base</t>
  </si>
  <si>
    <t>Targeted Hold Harmless Base</t>
  </si>
  <si>
    <t>EFIG Hold Harmless Base</t>
  </si>
  <si>
    <t>Total Title I Allocation</t>
  </si>
  <si>
    <t>Initial adjusted formula count.Adj Total formula count</t>
  </si>
  <si>
    <t>Initial adjusted formula count.Adj poverty percentage</t>
  </si>
  <si>
    <t>Total Formula Count increase</t>
  </si>
  <si>
    <t>Initial adjusted allocations.BASIC Hold Harmless base (Prior year adjusted alloc</t>
  </si>
  <si>
    <t>Initial adjusted allocations.TARGETED Hold Harmless Base (Prior Year adjusted al</t>
  </si>
  <si>
    <t>Initial adjusted allocations.EFIG Hold Harmless base (Prior Year adjusted alloc)</t>
  </si>
  <si>
    <t>Initial adjusted allocations.Adj Basic Allocation</t>
  </si>
  <si>
    <t>Initial adjusted allocations.Adj Conc. Allocation</t>
  </si>
  <si>
    <t>Initial adjusted allocations.Adj Targeted allocation</t>
  </si>
  <si>
    <t>Initial adjusted allocations.Adj EFIG Allocation</t>
  </si>
  <si>
    <t>Initial adjusted allocations.Adj Total Title I Allocation</t>
  </si>
  <si>
    <t>New/Expanded Basic HH base</t>
  </si>
  <si>
    <t>New/Expanding Conc HH base</t>
  </si>
  <si>
    <t>New/Expanding Targeted HH Base</t>
  </si>
  <si>
    <t>New Expanding EFIG HH Base</t>
  </si>
  <si>
    <t>New Expanded total HH base</t>
  </si>
  <si>
    <t>Total Hold Harmless Base</t>
  </si>
  <si>
    <t>Retunring funds</t>
  </si>
  <si>
    <t>Eligibility Year</t>
  </si>
  <si>
    <t>Conc allocation</t>
  </si>
  <si>
    <t>Conc Hold Harmless Base ( 4 year lookback)</t>
  </si>
  <si>
    <t>Total Hold Harmless base</t>
  </si>
  <si>
    <t>Initial adjusted allocations.Conc Hold Harmless Base ( 4 year lookback)</t>
  </si>
  <si>
    <t>Initial adjusted allocations.Total Hold Harmless base</t>
  </si>
  <si>
    <t>Basic Hold Harmless base</t>
  </si>
  <si>
    <t>Current Year Total after School Improvment</t>
  </si>
  <si>
    <t>Set aside amount with returning funds added</t>
  </si>
  <si>
    <t>First Iteration: Hold Harmless Check</t>
  </si>
  <si>
    <t>Allocations to LEAs Above Hold harmless</t>
  </si>
  <si>
    <t>Adjusted Allocations to LEAs Above Hold harmless</t>
  </si>
  <si>
    <t>Allocations to All LEAs</t>
  </si>
  <si>
    <t>Third Iteration: Hold Harmless Check</t>
  </si>
  <si>
    <t>Fourth Iteration: Hold Harmless Check</t>
  </si>
  <si>
    <t>Fifth Iteration: Hold Harmless Check</t>
  </si>
  <si>
    <t>Conc. Hold Harmless Amount</t>
  </si>
  <si>
    <t>Prior Year's Targeted Allocation</t>
  </si>
  <si>
    <t>Targeted Hold Harmless Amount</t>
  </si>
  <si>
    <t>Prior Year's EFIG Allocation</t>
  </si>
  <si>
    <t>Current Year Conc Allocation</t>
  </si>
  <si>
    <t>Conc. Hold Harmless Base</t>
  </si>
  <si>
    <t>Prior Year Adjusted Formula counts.Adj Total formula count</t>
  </si>
  <si>
    <t>Net School Improvement taken out</t>
  </si>
  <si>
    <t>Aberdeen School District</t>
  </si>
  <si>
    <t>Whatcom Intergenerational</t>
  </si>
  <si>
    <t>Bellingham</t>
  </si>
  <si>
    <t>West Valley School District (Yakima)</t>
  </si>
  <si>
    <t>West Valley School District (Spokane)</t>
  </si>
  <si>
    <t>Columbia (Stevens) School District</t>
  </si>
  <si>
    <t>Columbia (Walla Walla) School District</t>
  </si>
  <si>
    <t>Kiona-Benton City School District</t>
  </si>
  <si>
    <t>Wenatchee</t>
  </si>
  <si>
    <t>BASIC GRANTS</t>
  </si>
  <si>
    <t>CONCENTRATION GRANTS</t>
  </si>
  <si>
    <t>TARGETED GRANTS</t>
  </si>
  <si>
    <t>EFIG GRANTS</t>
  </si>
  <si>
    <t>Catalyst Public Schools</t>
  </si>
  <si>
    <t>Why Not You (Cascade Midway)</t>
  </si>
  <si>
    <t>Impact Tacoma (Commencement Bay)</t>
  </si>
  <si>
    <t>Pinnacles Prep Wenatchee</t>
  </si>
  <si>
    <t>Walla Walla Public Schools</t>
  </si>
  <si>
    <t>DISTRICT NAME</t>
  </si>
  <si>
    <t>&lt;&lt;- Select District from drop down</t>
  </si>
  <si>
    <t>LEAId</t>
  </si>
  <si>
    <t>5-17 population</t>
  </si>
  <si>
    <t xml:space="preserve">Total Formula Count </t>
  </si>
  <si>
    <t>Poverty percentage</t>
  </si>
  <si>
    <t>Basic Before State reservations</t>
  </si>
  <si>
    <t>Conc. Before State Reservation</t>
  </si>
  <si>
    <t>Targeted Before State Reservations</t>
  </si>
  <si>
    <t>EFIG Before State Reservations</t>
  </si>
  <si>
    <t>Total before State Reservations</t>
  </si>
  <si>
    <t xml:space="preserve">School improvement </t>
  </si>
  <si>
    <t>Total After School Improvement reallocation</t>
  </si>
  <si>
    <t>Net to District</t>
  </si>
  <si>
    <t>Prior Year</t>
  </si>
  <si>
    <t>Basic Before State Reservations</t>
  </si>
  <si>
    <t>Concentration Before State Reservations</t>
  </si>
  <si>
    <t>Total Before State Reservations</t>
  </si>
  <si>
    <t>Allocation after School Improvemnt HH</t>
  </si>
  <si>
    <t>allocations subject to SI reduction</t>
  </si>
  <si>
    <t>5307790</t>
  </si>
  <si>
    <t>IMPACT RENTON CHARTER SCHOOL</t>
  </si>
  <si>
    <t>5307795</t>
  </si>
  <si>
    <t>ROOTED CHARTER SCHOOL</t>
  </si>
  <si>
    <t>Impact Renton</t>
  </si>
  <si>
    <t>Pullman School District</t>
  </si>
  <si>
    <t>Renton</t>
  </si>
  <si>
    <t>Rooted</t>
  </si>
  <si>
    <t>17919</t>
  </si>
  <si>
    <t>06901</t>
  </si>
  <si>
    <t>8160.774706</t>
  </si>
  <si>
    <t>121415974</t>
  </si>
  <si>
    <t>15914411</t>
  </si>
  <si>
    <t>75369720</t>
  </si>
  <si>
    <t>102683197</t>
  </si>
  <si>
    <t>315383302</t>
  </si>
  <si>
    <t>PRELIMINARY FISCAL YEAR 2025 TITLE I ALLOCATIONS FOR SCHOOL YEAR 2025-2026</t>
  </si>
  <si>
    <t>0.88740252</t>
  </si>
  <si>
    <t>1.033115456</t>
  </si>
  <si>
    <t>0.885487952</t>
  </si>
  <si>
    <t>0.752001627</t>
  </si>
  <si>
    <t>0.434637802</t>
  </si>
  <si>
    <t>1.205638236</t>
  </si>
  <si>
    <t>1.137034243</t>
  </si>
  <si>
    <t>1.822082723</t>
  </si>
  <si>
    <t>1.115665647</t>
  </si>
  <si>
    <t>0.867293223</t>
  </si>
  <si>
    <t>1.239560964</t>
  </si>
  <si>
    <t>0.387668455</t>
  </si>
  <si>
    <t>0.964363636</t>
  </si>
  <si>
    <t>0.909570248</t>
  </si>
  <si>
    <t>0.829541274</t>
  </si>
  <si>
    <t>1.512297521</t>
  </si>
  <si>
    <t>0.902997502</t>
  </si>
  <si>
    <t>0.821899182</t>
  </si>
  <si>
    <t>4322</t>
  </si>
  <si>
    <t>11443</t>
  </si>
  <si>
    <t>2679</t>
  </si>
  <si>
    <t>5009</t>
  </si>
  <si>
    <t>11338</t>
  </si>
  <si>
    <t>18216</t>
  </si>
  <si>
    <t>6953</t>
  </si>
  <si>
    <t>14895</t>
  </si>
  <si>
    <t>15613</t>
  </si>
  <si>
    <t>51424</t>
  </si>
  <si>
    <t>2651</t>
  </si>
  <si>
    <t>3707</t>
  </si>
  <si>
    <t>17308</t>
  </si>
  <si>
    <t>30428</t>
  </si>
  <si>
    <t>11000</t>
  </si>
  <si>
    <t>22160</t>
  </si>
  <si>
    <t>4191</t>
  </si>
  <si>
    <t>7272</t>
  </si>
  <si>
    <t>2025</t>
  </si>
  <si>
    <t>167247.5161</t>
  </si>
  <si>
    <t>192937.183</t>
  </si>
  <si>
    <t>3895.628971</t>
  </si>
  <si>
    <t>13805.63152</t>
  </si>
  <si>
    <t>4211.887583</t>
  </si>
  <si>
    <t>213402.3042</t>
  </si>
  <si>
    <t>671796.0695</t>
  </si>
  <si>
    <t>56626.48861</t>
  </si>
  <si>
    <t>36269.03196</t>
  </si>
  <si>
    <t>5849.843865</t>
  </si>
  <si>
    <t>5615.85011</t>
  </si>
  <si>
    <t>6334.692628</t>
  </si>
  <si>
    <t>201702.6165</t>
  </si>
  <si>
    <t>35801.04445</t>
  </si>
  <si>
    <t>123782.6962</t>
  </si>
  <si>
    <t>486707.0096</t>
  </si>
  <si>
    <t>8891.762675</t>
  </si>
  <si>
    <t>80025.86407</t>
  </si>
  <si>
    <t>11465.69398</t>
  </si>
  <si>
    <t>14273.61903</t>
  </si>
  <si>
    <t>12869.6565</t>
  </si>
  <si>
    <t>18251.51286</t>
  </si>
  <si>
    <t>21293.43167</t>
  </si>
  <si>
    <t>66918.35259</t>
  </si>
  <si>
    <t>5147.862601</t>
  </si>
  <si>
    <t>16145.56907</t>
  </si>
  <si>
    <t>3977.893828</t>
  </si>
  <si>
    <t>991431.5382</t>
  </si>
  <si>
    <t>7721.793902</t>
  </si>
  <si>
    <t>44884.26089</t>
  </si>
  <si>
    <t>28781.23182</t>
  </si>
  <si>
    <t>192576.86</t>
  </si>
  <si>
    <t>75691.1854</t>
  </si>
  <si>
    <t>8772.832809</t>
  </si>
  <si>
    <t>775503.637</t>
  </si>
  <si>
    <t>16080.37359</t>
  </si>
  <si>
    <t>32291.13813</t>
  </si>
  <si>
    <t>102009.6838</t>
  </si>
  <si>
    <t>6324.600397</t>
  </si>
  <si>
    <t>19156.24163</t>
  </si>
  <si>
    <t>14097.17485</t>
  </si>
  <si>
    <t>34865.06944</t>
  </si>
  <si>
    <t>2339.937546</t>
  </si>
  <si>
    <t>16525.56878</t>
  </si>
  <si>
    <t>320337.45</t>
  </si>
  <si>
    <t>11231.70022</t>
  </si>
  <si>
    <t>21059.43791</t>
  </si>
  <si>
    <t>38967.69922</t>
  </si>
  <si>
    <t>24482.32412</t>
  </si>
  <si>
    <t>29786.82768</t>
  </si>
  <si>
    <t>30185.19434</t>
  </si>
  <si>
    <t>3672.348618</t>
  </si>
  <si>
    <t>378367.9012</t>
  </si>
  <si>
    <t>16379.56282</t>
  </si>
  <si>
    <t>63880.29501</t>
  </si>
  <si>
    <t>32643.09883</t>
  </si>
  <si>
    <t>87045.67671</t>
  </si>
  <si>
    <t>14281.35574</t>
  </si>
  <si>
    <t>45160.79464</t>
  </si>
  <si>
    <t>40191.81543</t>
  </si>
  <si>
    <t>44353.74246</t>
  </si>
  <si>
    <t>92661.52682</t>
  </si>
  <si>
    <t>10529.71896</t>
  </si>
  <si>
    <t>51879.22729</t>
  </si>
  <si>
    <t>211764.3479</t>
  </si>
  <si>
    <t>746206.0834</t>
  </si>
  <si>
    <t>10763.71271</t>
  </si>
  <si>
    <t>52882.58854</t>
  </si>
  <si>
    <t>15443.5878</t>
  </si>
  <si>
    <t>203598.0496</t>
  </si>
  <si>
    <t>7253.806393</t>
  </si>
  <si>
    <t>57711.24019</t>
  </si>
  <si>
    <t>28313.24431</t>
  </si>
  <si>
    <t>10997.70647</t>
  </si>
  <si>
    <t>1554386.416</t>
  </si>
  <si>
    <t>19421.48163</t>
  </si>
  <si>
    <t>175963.3035</t>
  </si>
  <si>
    <t>47734.72594</t>
  </si>
  <si>
    <t>18769.78182</t>
  </si>
  <si>
    <t>4679.875092</t>
  </si>
  <si>
    <t>117906.549</t>
  </si>
  <si>
    <t>32525.13189</t>
  </si>
  <si>
    <t>6083.83762</t>
  </si>
  <si>
    <t>306297.8248</t>
  </si>
  <si>
    <t>17749.68499</t>
  </si>
  <si>
    <t>7487.800147</t>
  </si>
  <si>
    <t>63178.31374</t>
  </si>
  <si>
    <t>157243.8031</t>
  </si>
  <si>
    <t>9593.743939</t>
  </si>
  <si>
    <t>58966.42616</t>
  </si>
  <si>
    <t>17783.52535</t>
  </si>
  <si>
    <t>22442.13044</t>
  </si>
  <si>
    <t>249203.3486</t>
  </si>
  <si>
    <t>177601.2597</t>
  </si>
  <si>
    <t>47032.74467</t>
  </si>
  <si>
    <t>17081.54409</t>
  </si>
  <si>
    <t>21995.41293</t>
  </si>
  <si>
    <t>6551.825129</t>
  </si>
  <si>
    <t>1036358.339</t>
  </si>
  <si>
    <t>0.95443073</t>
  </si>
  <si>
    <t>15823</t>
  </si>
  <si>
    <t>28591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</si>
</sst>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"/>
    <numFmt numFmtId="167" formatCode="_(&quot;$&quot;* #,##0.0000_);_(&quot;$&quot;* \(#,##0.0000\);_(&quot;$&quot;* &quot;-&quot;??_);_(@_)"/>
    <numFmt numFmtId="168" formatCode="_(&quot;$&quot;* #,##0.00000_);_(&quot;$&quot;* \(#,##0.00000\);_(&quot;$&quot;* &quot;-&quot;??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8">
    <xf numFmtId="0" fontId="0" fillId="0" borderId="0" xfId="0"/>
    <xf numFmtId="2" fontId="4" fillId="0" borderId="0" xfId="2" applyNumberFormat="1"/>
    <xf numFmtId="0" fontId="4" fillId="0" borderId="0" xfId="2"/>
    <xf numFmtId="0" fontId="6" fillId="0" borderId="0" xfId="2" applyFont="1" applyAlignment="1">
      <alignment horizontal="center"/>
    </xf>
    <xf numFmtId="0" fontId="4" fillId="0" borderId="0" xfId="2" applyAlignment="1">
      <alignment horizontal="center"/>
    </xf>
    <xf numFmtId="49" fontId="4" fillId="0" borderId="0" xfId="2" applyNumberFormat="1" applyAlignment="1">
      <alignment horizontal="center"/>
    </xf>
    <xf numFmtId="0" fontId="4" fillId="0" borderId="0" xfId="2" applyAlignment="1">
      <alignment horizontal="left"/>
    </xf>
    <xf numFmtId="0" fontId="4" fillId="0" borderId="0" xfId="2" quotePrefix="1" applyAlignment="1">
      <alignment horizontal="left"/>
    </xf>
    <xf numFmtId="0" fontId="4" fillId="0" borderId="0" xfId="2" quotePrefix="1" applyAlignment="1">
      <alignment horizontal="center"/>
    </xf>
    <xf numFmtId="0" fontId="8" fillId="0" borderId="0" xfId="2" applyFont="1"/>
    <xf numFmtId="0" fontId="5" fillId="2" borderId="7" xfId="2" applyFont="1" applyFill="1" applyBorder="1" applyAlignment="1">
      <alignment horizontal="left"/>
    </xf>
    <xf numFmtId="0" fontId="0" fillId="3" borderId="0" xfId="0" applyFill="1"/>
    <xf numFmtId="4" fontId="0" fillId="4" borderId="0" xfId="0" applyNumberFormat="1" applyFill="1"/>
    <xf numFmtId="43" fontId="0" fillId="4" borderId="0" xfId="8" applyFont="1" applyFill="1"/>
    <xf numFmtId="2" fontId="4" fillId="0" borderId="0" xfId="2" applyNumberFormat="1" applyAlignment="1">
      <alignment horizontal="left" vertical="top"/>
    </xf>
    <xf numFmtId="49" fontId="4" fillId="0" borderId="0" xfId="2" applyNumberFormat="1" applyAlignment="1">
      <alignment horizontal="left" vertical="top"/>
    </xf>
    <xf numFmtId="0" fontId="6" fillId="0" borderId="0" xfId="2" applyFont="1" applyAlignment="1">
      <alignment horizontal="left" vertical="top"/>
    </xf>
    <xf numFmtId="0" fontId="5" fillId="6" borderId="1" xfId="0" applyFont="1" applyFill="1" applyBorder="1" applyAlignment="1">
      <alignment horizontal="left" vertical="top" wrapText="1"/>
    </xf>
    <xf numFmtId="0" fontId="5" fillId="6" borderId="0" xfId="0" applyFont="1" applyFill="1" applyAlignment="1">
      <alignment horizontal="left" vertical="top" wrapText="1"/>
    </xf>
    <xf numFmtId="0" fontId="6" fillId="0" borderId="2" xfId="2" applyFont="1" applyBorder="1" applyAlignment="1">
      <alignment horizontal="left" vertical="top" wrapText="1"/>
    </xf>
    <xf numFmtId="0" fontId="6" fillId="0" borderId="3" xfId="2" applyFont="1" applyBorder="1" applyAlignment="1">
      <alignment horizontal="left" vertical="top"/>
    </xf>
    <xf numFmtId="0" fontId="6" fillId="0" borderId="4" xfId="2" applyFont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7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0" xfId="0" applyFont="1"/>
    <xf numFmtId="43" fontId="3" fillId="0" borderId="0" xfId="8" applyFont="1"/>
    <xf numFmtId="43" fontId="0" fillId="0" borderId="0" xfId="0" applyNumberFormat="1"/>
    <xf numFmtId="10" fontId="0" fillId="0" borderId="0" xfId="0" applyNumberFormat="1"/>
    <xf numFmtId="3" fontId="0" fillId="0" borderId="0" xfId="0" applyNumberFormat="1"/>
    <xf numFmtId="2" fontId="0" fillId="0" borderId="0" xfId="0" applyNumberFormat="1"/>
    <xf numFmtId="10" fontId="0" fillId="0" borderId="0" xfId="1" applyNumberFormat="1" applyFont="1"/>
    <xf numFmtId="0" fontId="5" fillId="0" borderId="0" xfId="0" applyFont="1" applyAlignment="1">
      <alignment horizontal="left" vertical="top" wrapText="1"/>
    </xf>
    <xf numFmtId="164" fontId="5" fillId="0" borderId="0" xfId="8" applyNumberFormat="1" applyFont="1" applyAlignment="1">
      <alignment horizontal="left" vertical="top" wrapText="1"/>
    </xf>
    <xf numFmtId="3" fontId="5" fillId="0" borderId="0" xfId="0" applyNumberFormat="1" applyFont="1" applyAlignment="1">
      <alignment horizontal="left" vertical="top" wrapText="1"/>
    </xf>
    <xf numFmtId="165" fontId="5" fillId="0" borderId="0" xfId="0" applyNumberFormat="1" applyFont="1" applyAlignment="1">
      <alignment horizontal="left" vertical="top" wrapText="1"/>
    </xf>
    <xf numFmtId="165" fontId="5" fillId="0" borderId="0" xfId="1" applyNumberFormat="1" applyFont="1" applyAlignment="1">
      <alignment horizontal="left" vertical="top" wrapText="1"/>
    </xf>
    <xf numFmtId="164" fontId="4" fillId="0" borderId="0" xfId="8" applyNumberFormat="1" applyFont="1"/>
    <xf numFmtId="164" fontId="4" fillId="0" borderId="0" xfId="8" applyNumberFormat="1" applyFont="1" applyAlignment="1">
      <alignment horizontal="center"/>
    </xf>
    <xf numFmtId="44" fontId="0" fillId="4" borderId="0" xfId="0" applyNumberFormat="1" applyFill="1"/>
    <xf numFmtId="166" fontId="3" fillId="0" borderId="0" xfId="0" applyNumberFormat="1" applyFont="1"/>
    <xf numFmtId="4" fontId="0" fillId="0" borderId="0" xfId="0" applyNumberFormat="1"/>
    <xf numFmtId="167" fontId="0" fillId="4" borderId="0" xfId="0" applyNumberFormat="1" applyFill="1"/>
    <xf numFmtId="44" fontId="0" fillId="0" borderId="0" xfId="0" applyNumberFormat="1"/>
    <xf numFmtId="166" fontId="0" fillId="0" borderId="0" xfId="0" applyNumberFormat="1"/>
    <xf numFmtId="44" fontId="0" fillId="0" borderId="0" xfId="0" applyNumberFormat="1" applyAlignment="1">
      <alignment horizontal="left" vertical="top"/>
    </xf>
    <xf numFmtId="164" fontId="0" fillId="0" borderId="0" xfId="0" applyNumberFormat="1"/>
    <xf numFmtId="0" fontId="0" fillId="0" borderId="8" xfId="0" applyBorder="1"/>
    <xf numFmtId="1" fontId="0" fillId="0" borderId="0" xfId="0" applyNumberFormat="1"/>
    <xf numFmtId="43" fontId="3" fillId="0" borderId="0" xfId="0" applyNumberFormat="1" applyFont="1" applyAlignment="1">
      <alignment horizontal="left"/>
    </xf>
    <xf numFmtId="43" fontId="0" fillId="0" borderId="0" xfId="1" applyNumberFormat="1" applyFont="1"/>
    <xf numFmtId="0" fontId="0" fillId="2" borderId="0" xfId="0" applyFill="1"/>
    <xf numFmtId="0" fontId="5" fillId="0" borderId="5" xfId="2" applyFont="1" applyBorder="1"/>
    <xf numFmtId="0" fontId="5" fillId="0" borderId="6" xfId="2" applyFont="1" applyBorder="1" applyAlignment="1">
      <alignment horizontal="left"/>
    </xf>
    <xf numFmtId="0" fontId="5" fillId="0" borderId="6" xfId="2" applyFont="1" applyBorder="1"/>
    <xf numFmtId="0" fontId="4" fillId="0" borderId="6" xfId="2" applyBorder="1"/>
    <xf numFmtId="0" fontId="9" fillId="0" borderId="6" xfId="2" applyFont="1" applyBorder="1"/>
    <xf numFmtId="0" fontId="4" fillId="0" borderId="6" xfId="2" quotePrefix="1" applyBorder="1" applyAlignment="1">
      <alignment horizontal="left"/>
    </xf>
    <xf numFmtId="0" fontId="7" fillId="0" borderId="6" xfId="2" applyFont="1" applyBorder="1" applyAlignment="1">
      <alignment horizontal="left"/>
    </xf>
    <xf numFmtId="0" fontId="5" fillId="0" borderId="0" xfId="2" applyFont="1"/>
    <xf numFmtId="0" fontId="5" fillId="0" borderId="0" xfId="2" applyFont="1" applyAlignment="1">
      <alignment horizontal="left"/>
    </xf>
    <xf numFmtId="43" fontId="0" fillId="0" borderId="0" xfId="8" applyFont="1" applyFill="1" applyBorder="1"/>
    <xf numFmtId="0" fontId="9" fillId="0" borderId="0" xfId="2" applyFont="1"/>
    <xf numFmtId="0" fontId="7" fillId="0" borderId="0" xfId="2" applyFont="1" applyAlignment="1">
      <alignment horizontal="left"/>
    </xf>
    <xf numFmtId="168" fontId="0" fillId="0" borderId="9" xfId="0" applyNumberFormat="1" applyBorder="1" applyAlignment="1">
      <alignment horizontal="right" vertical="top"/>
    </xf>
    <xf numFmtId="44" fontId="0" fillId="0" borderId="10" xfId="0" applyNumberFormat="1" applyBorder="1" applyAlignment="1">
      <alignment horizontal="right" vertical="top"/>
    </xf>
    <xf numFmtId="44" fontId="0" fillId="0" borderId="10" xfId="0" quotePrefix="1" applyNumberFormat="1" applyBorder="1" applyAlignment="1">
      <alignment horizontal="right" vertical="top"/>
    </xf>
    <xf numFmtId="167" fontId="0" fillId="0" borderId="10" xfId="1" applyNumberFormat="1" applyFont="1" applyFill="1" applyBorder="1" applyAlignment="1">
      <alignment horizontal="right" vertical="top"/>
    </xf>
    <xf numFmtId="44" fontId="0" fillId="0" borderId="10" xfId="1" applyNumberFormat="1" applyFont="1" applyFill="1" applyBorder="1" applyAlignment="1">
      <alignment horizontal="right" vertical="top"/>
    </xf>
    <xf numFmtId="44" fontId="3" fillId="2" borderId="11" xfId="0" applyNumberFormat="1" applyFont="1" applyFill="1" applyBorder="1" applyAlignment="1">
      <alignment horizontal="right" vertical="top"/>
    </xf>
    <xf numFmtId="0" fontId="10" fillId="0" borderId="0" xfId="0" applyFont="1"/>
    <xf numFmtId="0" fontId="0" fillId="0" borderId="0" xfId="8" applyNumberFormat="1" applyFont="1" applyAlignment="1">
      <alignment horizontal="right"/>
    </xf>
    <xf numFmtId="44" fontId="0" fillId="0" borderId="0" xfId="9" applyFont="1"/>
    <xf numFmtId="0" fontId="12" fillId="0" borderId="12" xfId="0" applyFont="1" applyBorder="1"/>
    <xf numFmtId="44" fontId="12" fillId="0" borderId="14" xfId="0" applyNumberFormat="1" applyFont="1" applyBorder="1"/>
    <xf numFmtId="0" fontId="3" fillId="5" borderId="0" xfId="0" applyFont="1" applyFill="1" applyAlignment="1">
      <alignment horizontal="center" vertical="top" wrapText="1"/>
    </xf>
    <xf numFmtId="1" fontId="0" fillId="0" borderId="0" xfId="0" applyNumberFormat="1" applyAlignment="1">
      <alignment horizontal="right"/>
    </xf>
    <xf numFmtId="44" fontId="4" fillId="0" borderId="0" xfId="2" applyNumberFormat="1"/>
    <xf numFmtId="164" fontId="5" fillId="0" borderId="0" xfId="8" applyNumberFormat="1" applyFont="1" applyAlignment="1">
      <alignment vertical="top" wrapText="1"/>
    </xf>
    <xf numFmtId="0" fontId="0" fillId="9" borderId="0" xfId="0" applyFill="1"/>
    <xf numFmtId="164" fontId="4" fillId="9" borderId="0" xfId="8" applyNumberFormat="1" applyFont="1" applyFill="1" applyAlignment="1">
      <alignment horizontal="center"/>
    </xf>
    <xf numFmtId="0" fontId="3" fillId="9" borderId="0" xfId="0" applyFont="1" applyFill="1"/>
    <xf numFmtId="43" fontId="5" fillId="0" borderId="0" xfId="8" applyFont="1" applyAlignment="1">
      <alignment vertical="top" wrapText="1"/>
    </xf>
    <xf numFmtId="0" fontId="11" fillId="8" borderId="12" xfId="0" applyFont="1" applyFill="1" applyBorder="1" applyAlignment="1">
      <alignment horizontal="center"/>
    </xf>
    <xf numFmtId="0" fontId="11" fillId="8" borderId="13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</cellXfs>
  <cellStyles count="10">
    <cellStyle name="Comma" xfId="8" builtinId="3"/>
    <cellStyle name="Comma 2" xfId="3" xr:uid="{58667097-F9FC-467E-A96D-246981B5FC30}"/>
    <cellStyle name="Comma 3" xfId="6" xr:uid="{DF7BBE39-D694-4DB0-9074-AB80CF4D9198}"/>
    <cellStyle name="Currency 2" xfId="5" xr:uid="{74D298F3-93FB-4E59-9406-E8A6E2C548E2}"/>
    <cellStyle name="Currency 3" xfId="9" xr:uid="{0F77E0BA-6282-44D4-B838-2FF072193B39}"/>
    <cellStyle name="Normal" xfId="0" builtinId="0"/>
    <cellStyle name="Normal 2" xfId="2" xr:uid="{C7484222-43CD-4219-884F-C54E354A094A}"/>
    <cellStyle name="Normal 2 3" xfId="7" xr:uid="{6F744759-43BF-474B-8995-B842CA4C44C9}"/>
    <cellStyle name="Percent" xfId="1" builtinId="5"/>
    <cellStyle name="Percent 2" xfId="4" xr:uid="{6C9C1323-1BA1-4700-83F1-FCAE340F09FB}"/>
  </cellStyles>
  <dxfs count="8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3" xr16:uid="{77E29913-A648-42BE-A77B-0E8F85DF31DF}" autoFormatId="16" applyNumberFormats="0" applyBorderFormats="0" applyFontFormats="0" applyPatternFormats="0" applyAlignmentFormats="0" applyWidthHeightFormats="0">
  <queryTableRefresh nextId="35">
    <queryTableFields count="7">
      <queryTableField id="10" name="Column1" tableColumnId="1"/>
      <queryTableField id="21" name="BASIC GRANTS" tableColumnId="2"/>
      <queryTableField id="22" name="CONCENTRATION GRANTS" tableColumnId="3"/>
      <queryTableField id="23" name="TARGETED GRANTS" tableColumnId="4"/>
      <queryTableField id="24" name="EFIG GRANTS" tableColumnId="5"/>
      <queryTableField id="31" name="TOTAL LEA GRANTS" tableColumnId="8"/>
      <queryTableField id="20" name="Rev Fin  T-I State Adm  1004(b).TITLE I, PART A TOTAL LEA GRANTS" tableColumnId="7"/>
    </queryTableFields>
  </queryTableRefresh>
  <extLst>
    <ext xmlns:x15="http://schemas.microsoft.com/office/spreadsheetml/2010/11/main" uri="{883FBD77-0823-4a55-B5E3-86C4891E6966}">
      <x15:queryTable sourceDataName="Query - Assumptions"/>
    </ext>
  </extLst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10" xr16:uid="{5CB1711B-989C-481E-AF6B-B76D25F53936}" autoFormatId="16" applyNumberFormats="0" applyBorderFormats="0" applyFontFormats="0" applyPatternFormats="0" applyAlignmentFormats="0" applyWidthHeightFormats="0">
  <queryTableRefresh nextId="15">
    <queryTableFields count="5">
      <queryTableField id="1" name="LEAID" tableColumnId="1"/>
      <queryTableField id="2" name="LEANAME" tableColumnId="2"/>
      <queryTableField id="3" name="Conc. Eligigibility" tableColumnId="3"/>
      <queryTableField id="4" name="Eligibility Year" tableColumnId="4"/>
      <queryTableField id="6" name="Conc allocation" tableColumnId="6"/>
    </queryTableFields>
  </queryTableRefresh>
  <extLst>
    <ext xmlns:x15="http://schemas.microsoft.com/office/spreadsheetml/2010/11/main" uri="{883FBD77-0823-4a55-B5E3-86C4891E6966}">
      <x15:queryTable sourceDataName="Query - Conc eligibility year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9" xr16:uid="{DACDF6D1-3187-4684-9C1B-F2EF9D1DF51C}" autoFormatId="16" applyNumberFormats="0" applyBorderFormats="0" applyFontFormats="0" applyPatternFormats="0" applyAlignmentFormats="0" applyWidthHeightFormats="0">
  <queryTableRefresh nextId="6">
    <queryTableFields count="1">
      <queryTableField id="5" name="Column1" tableColumnId="2"/>
    </queryTableFields>
  </queryTableRefresh>
  <extLst>
    <ext xmlns:x15="http://schemas.microsoft.com/office/spreadsheetml/2010/11/main" uri="{883FBD77-0823-4a55-B5E3-86C4891E6966}">
      <x15:queryTable sourceDataName="Query - Title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8" xr16:uid="{C26CC77E-7AAF-4FF5-83EA-7F9D6E358B11}" autoFormatId="16" applyNumberFormats="0" applyBorderFormats="0" applyFontFormats="0" applyPatternFormats="0" applyAlignmentFormats="0" applyWidthHeightFormats="0">
  <queryTableRefresh nextId="23">
    <queryTableFields count="12">
      <queryTableField id="1" name="LEAID" tableColumnId="1"/>
      <queryTableField id="2" name="LEANAME" tableColumnId="2"/>
      <queryTableField id="3" name="BASIC Hold Harmless Base" tableColumnId="3"/>
      <queryTableField id="4" name="Conc Hold Harmless Base" tableColumnId="4"/>
      <queryTableField id="5" name="Targeted Hold Harmless Base" tableColumnId="5"/>
      <queryTableField id="6" name="EFIG Hold Harmless Base" tableColumnId="6"/>
      <queryTableField id="13" name="Total Hold Harmless Base" tableColumnId="12"/>
      <queryTableField id="15" name="Basic Allocation" tableColumnId="7"/>
      <queryTableField id="8" name="Conc. Allocation" tableColumnId="8"/>
      <queryTableField id="9" name="Targeted Allocation" tableColumnId="9"/>
      <queryTableField id="10" name="EFIG Allocation" tableColumnId="10"/>
      <queryTableField id="11" name="Total Title I Allocation" tableColumnId="11"/>
    </queryTableFields>
  </queryTableRefresh>
  <extLst>
    <ext xmlns:x15="http://schemas.microsoft.com/office/spreadsheetml/2010/11/main" uri="{883FBD77-0823-4a55-B5E3-86C4891E6966}">
      <x15:queryTable sourceDataName="Query - Model allocations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7" xr16:uid="{F562F35B-A02E-4AA2-A36F-7D5DEFCDDA15}" autoFormatId="16" applyNumberFormats="0" applyBorderFormats="0" applyFontFormats="0" applyPatternFormats="0" applyAlignmentFormats="0" applyWidthHeightFormats="0">
  <queryTableRefresh nextId="22">
    <queryTableFields count="12">
      <queryTableField id="1" name="LEAID" tableColumnId="1"/>
      <queryTableField id="2" name="LEANAME" tableColumnId="2"/>
      <queryTableField id="3" name="BASIC Hold Harmless base (Prior year adjusted alloc)" tableColumnId="3"/>
      <queryTableField id="13" name="Conc Hold Harmless Base ( 4 year lookback)" tableColumnId="4"/>
      <queryTableField id="5" name="TARGETED Hold Harmless Base (Prior Year adjusted alloc)" tableColumnId="5"/>
      <queryTableField id="6" name="EFIG Hold Harmless base (Prior Year adjusted alloc)" tableColumnId="6"/>
      <queryTableField id="7" name="Total Hold harmless base" tableColumnId="7"/>
      <queryTableField id="8" name="Adj Basic Allocation" tableColumnId="8"/>
      <queryTableField id="9" name="Adj Conc. Allocation" tableColumnId="9"/>
      <queryTableField id="10" name="Adj Targeted allocation" tableColumnId="10"/>
      <queryTableField id="11" name="Adj EFIG Allocation" tableColumnId="11"/>
      <queryTableField id="12" name="Adj Total Title I Allocation" tableColumnId="12"/>
    </queryTableFields>
  </queryTableRefresh>
  <extLst>
    <ext xmlns:x15="http://schemas.microsoft.com/office/spreadsheetml/2010/11/main" uri="{883FBD77-0823-4a55-B5E3-86C4891E6966}">
      <x15:queryTable sourceDataName="Query - Initial adjusted allocations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5" xr16:uid="{AA3A86F7-173F-472C-A015-A89063E9AA53}" autoFormatId="16" applyNumberFormats="0" applyBorderFormats="0" applyFontFormats="0" applyPatternFormats="0" applyAlignmentFormats="0" applyWidthHeightFormats="0">
  <queryTableRefresh nextId="65">
    <queryTableFields count="16">
      <queryTableField id="1" name="LEAid" tableColumnId="1"/>
      <queryTableField id="30" name="LEANAME" tableColumnId="2"/>
      <queryTableField id="36" name="SendingLEAid" tableColumnId="5"/>
      <queryTableField id="41" name="NEG. adj" tableColumnId="3"/>
      <queryTableField id="42" name="Adj DEL." tableColumnId="4"/>
      <queryTableField id="43" name="Adj Foster" tableColumnId="7"/>
      <queryTableField id="44" name="Adj TANF" tableColumnId="8"/>
      <queryTableField id="21" name="Adj - 5-17 pop" tableColumnId="21"/>
      <queryTableField id="22" name="Adj poverty" tableColumnId="22"/>
      <queryTableField id="23" name="Adj Total formula count" tableColumnId="23"/>
      <queryTableField id="37" name="Total Formula Count DOE" tableColumnId="6"/>
      <queryTableField id="24" name="Adj poverty percentage" tableColumnId="24"/>
      <queryTableField id="25" name="BASIC eligibility" tableColumnId="25"/>
      <queryTableField id="26" name="Conc. Eligigibility" tableColumnId="26"/>
      <queryTableField id="27" name="Targeted Eligibility" tableColumnId="27"/>
      <queryTableField id="28" name="EFIG eligibility" tableColumnId="28"/>
    </queryTableFields>
  </queryTableRefresh>
  <extLst>
    <ext xmlns:x15="http://schemas.microsoft.com/office/spreadsheetml/2010/11/main" uri="{883FBD77-0823-4a55-B5E3-86C4891E6966}">
      <x15:queryTable sourceDataName="Query - Initial adjusted formula count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4" xr16:uid="{F3E6E355-E8AF-4050-983B-95B550ED6E3B}" autoFormatId="16" applyNumberFormats="0" applyBorderFormats="0" applyFontFormats="0" applyPatternFormats="0" applyAlignmentFormats="0" applyWidthHeightFormats="0">
  <queryTableRefresh nextId="56">
    <queryTableFields count="25">
      <queryTableField id="1" name="CCDDD" tableColumnId="1"/>
      <queryTableField id="2" name="DistrictName" tableColumnId="2"/>
      <queryTableField id="3" name="SendingLEAid" tableColumnId="3"/>
      <queryTableField id="4" name="LEAid" tableColumnId="4"/>
      <queryTableField id="6" name="IsNew" tableColumnId="6"/>
      <queryTableField id="5" name="IsExpanded" tableColumnId="5"/>
      <queryTableField id="7" name="Initial adjusted formula count.Adj Total formula count" tableColumnId="7"/>
      <queryTableField id="8" name="Initial adjusted formula count.Adj poverty percentage" tableColumnId="8"/>
      <queryTableField id="39" name="Prior Year Adjusted Formula counts.Adj Total formula count" tableColumnId="9"/>
      <queryTableField id="10" name="Total Formula Count increase" tableColumnId="10"/>
      <queryTableField id="11" name="Initial adjusted allocations.BASIC Hold Harmless base (Prior year adjusted alloc" tableColumnId="11"/>
      <queryTableField id="13" name="Initial adjusted allocations.TARGETED Hold Harmless Base (Prior Year adjusted al" tableColumnId="13"/>
      <queryTableField id="37" name="Initial adjusted allocations.Conc Hold Harmless Base ( 4 year lookback)" tableColumnId="12"/>
      <queryTableField id="14" name="Initial adjusted allocations.EFIG Hold Harmless base (Prior Year adjusted alloc)" tableColumnId="14"/>
      <queryTableField id="15" name="Initial adjusted allocations.Total Hold harmless base" tableColumnId="15"/>
      <queryTableField id="16" name="Initial adjusted allocations.Adj Basic Allocation" tableColumnId="16"/>
      <queryTableField id="17" name="Initial adjusted allocations.Adj Conc. Allocation" tableColumnId="17"/>
      <queryTableField id="18" name="Initial adjusted allocations.Adj Targeted allocation" tableColumnId="18"/>
      <queryTableField id="19" name="Initial adjusted allocations.Adj EFIG Allocation" tableColumnId="19"/>
      <queryTableField id="20" name="Initial adjusted allocations.Adj Total Title I Allocation" tableColumnId="20"/>
      <queryTableField id="21" name="New/Expanded Basic HH base" tableColumnId="21"/>
      <queryTableField id="22" name="New/Expanding Conc HH base" tableColumnId="22"/>
      <queryTableField id="23" name="New/Expanding Targeted HH Base" tableColumnId="23"/>
      <queryTableField id="24" name="New Expanding EFIG HH Base" tableColumnId="24"/>
      <queryTableField id="25" name="New Expanded total HH base" tableColumnId="25"/>
    </queryTableFields>
  </queryTableRefresh>
  <extLst>
    <ext xmlns:x15="http://schemas.microsoft.com/office/spreadsheetml/2010/11/main" uri="{883FBD77-0823-4a55-B5E3-86C4891E6966}">
      <x15:queryTable sourceDataName="Query - New or Expanded HH check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6" xr16:uid="{09C07932-8235-4A40-B9C4-4EA9B21234FB}" autoFormatId="16" applyNumberFormats="0" applyBorderFormats="0" applyFontFormats="0" applyPatternFormats="0" applyAlignmentFormats="0" applyWidthHeightFormats="0">
  <queryTableRefresh nextId="25">
    <queryTableFields count="9">
      <queryTableField id="1" name="CCDDD" tableColumnId="1"/>
      <queryTableField id="2" name="DistrictName" tableColumnId="2"/>
      <queryTableField id="3" name="SendingLEAid" tableColumnId="3"/>
      <queryTableField id="4" name="DistrictType" tableColumnId="4"/>
      <queryTableField id="5" name="LEAid" tableColumnId="5"/>
      <queryTableField id="7" name="IsNew" tableColumnId="7"/>
      <queryTableField id="6" name="IsExpanded" tableColumnId="6"/>
      <queryTableField id="8" name="poverty Multiplier" tableColumnId="8"/>
      <queryTableField id="9" name="Enrollment multiplier" tableColumnId="9"/>
    </queryTableFields>
  </queryTableRefresh>
  <extLst>
    <ext xmlns:x15="http://schemas.microsoft.com/office/spreadsheetml/2010/11/main" uri="{883FBD77-0823-4a55-B5E3-86C4891E6966}">
      <x15:queryTable sourceDataName="Query - Multipliers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2F5B8B09-CED2-4B28-B5CC-1DB4F66706A7}" autoFormatId="16" applyNumberFormats="0" applyBorderFormats="0" applyFontFormats="0" applyPatternFormats="0" applyAlignmentFormats="0" applyWidthHeightFormats="0">
  <queryTableRefresh nextId="55">
    <queryTableFields count="19">
      <queryTableField id="1" name="CCDDD" tableColumnId="1"/>
      <queryTableField id="2" name="Charter/Tribal" tableColumnId="2"/>
      <queryTableField id="3" name="Sending District" tableColumnId="3"/>
      <queryTableField id="4" name="Sending District CCDDD" tableColumnId="4"/>
      <queryTableField id="5" name="LEAID" tableColumnId="5"/>
      <queryTableField id="6" name="IsNew" tableColumnId="6"/>
      <queryTableField id="17" name="IsExpanded" tableColumnId="7"/>
      <queryTableField id="24" name="FRPL.TotalStudents" tableColumnId="9"/>
      <queryTableField id="8" name="TotalStudentsInPoverty" tableColumnId="8"/>
      <queryTableField id="25" name="SendingTotalStudents" tableColumnId="10"/>
      <queryTableField id="11" name="SendingTotalStudentsInPoverty" tableColumnId="11"/>
      <queryTableField id="16" name="SendingLEAId" tableColumnId="17"/>
      <queryTableField id="33" name="ChartersTotalStudents" tableColumnId="20"/>
      <queryTableField id="21" name="Sum of Charters RFPL+Sending RFPL" tableColumnId="12"/>
      <queryTableField id="34" name="Share of FRPL" tableColumnId="21"/>
      <queryTableField id="35" name="Sending Share of FRPL" tableColumnId="22"/>
      <queryTableField id="27" name="Sum of charter total students + Sending total students" tableColumnId="15"/>
      <queryTableField id="28" name="Share of Total Enrollment" tableColumnId="16"/>
      <queryTableField id="29" name="Sending Share of Total enrollment" tableColumnId="19"/>
    </queryTableFields>
  </queryTableRefresh>
  <extLst>
    <ext xmlns:x15="http://schemas.microsoft.com/office/spreadsheetml/2010/11/main" uri="{883FBD77-0823-4a55-B5E3-86C4891E6966}">
      <x15:queryTable sourceDataName="Query - Split Calc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714762AA-6969-417F-AE38-B3B316E8E3A3}" autoFormatId="16" applyNumberFormats="0" applyBorderFormats="0" applyFontFormats="0" applyPatternFormats="0" applyAlignmentFormats="0" applyWidthHeightFormats="0">
  <queryTableRefresh nextId="55">
    <queryTableFields count="15">
      <queryTableField id="1" name="LEAID" tableColumnId="1"/>
      <queryTableField id="12" name="LEANAME" tableColumnId="3"/>
      <queryTableField id="39" name="Basic Before State Reservations" tableColumnId="15"/>
      <queryTableField id="40" name="Concentration Before State Reservations" tableColumnId="16"/>
      <queryTableField id="41" name="Targeted Before State Reservations" tableColumnId="17"/>
      <queryTableField id="42" name="EFIG Before State Reservations" tableColumnId="18"/>
      <queryTableField id="43" name="Total Before State Reservations" tableColumnId="19"/>
      <queryTableField id="51" name="Allocation after School Improvemnt HH" tableColumnId="21"/>
      <queryTableField id="52" name="Net School Improvement taken out" tableColumnId="22"/>
      <queryTableField id="20" name="State Admin" tableColumnId="9"/>
      <queryTableField id="22" name="MOE Reduction" tableColumnId="11"/>
      <queryTableField id="13" name="NET TO DISTRICS" tableColumnId="4"/>
      <queryTableField id="36" name="Adj - 5-17 pop" tableColumnId="10"/>
      <queryTableField id="37" name="Adj Total formula count" tableColumnId="13"/>
      <queryTableField id="38" name="Adj poverty percentage" tableColumnId="14"/>
    </queryTableFields>
  </queryTableRefresh>
  <extLst>
    <ext xmlns:x15="http://schemas.microsoft.com/office/spreadsheetml/2010/11/main" uri="{883FBD77-0823-4a55-B5E3-86C4891E6966}">
      <x15:queryTable sourceDataName="Query - Prior Year Net to district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60C2BC-5429-410B-9BF6-DDB23B30E161}" name="Assumptions" displayName="Assumptions" ref="C1:I2" tableType="queryTable" totalsRowShown="0">
  <autoFilter ref="C1:I2" xr:uid="{5960C2BC-5429-410B-9BF6-DDB23B30E161}"/>
  <tableColumns count="7">
    <tableColumn id="1" xr3:uid="{4C43D153-7362-442D-965F-93F57B5EB338}" uniqueName="1" name="Column1" queryTableFieldId="10"/>
    <tableColumn id="2" xr3:uid="{176F702E-9B23-49D9-B01D-3410DCD1CBAE}" uniqueName="2" name="BASIC GRANTS" queryTableFieldId="21" dataDxfId="80"/>
    <tableColumn id="3" xr3:uid="{D156B8BB-69CF-401E-93B1-C0306FFA7125}" uniqueName="3" name="CONCENTRATION GRANTS" queryTableFieldId="22" dataDxfId="79"/>
    <tableColumn id="4" xr3:uid="{7A27A1B6-041D-4E7D-9A81-9AD80C7A0880}" uniqueName="4" name="TARGETED GRANTS" queryTableFieldId="23" dataDxfId="78"/>
    <tableColumn id="5" xr3:uid="{9624981D-3659-47C1-9C4D-E629B93ADCED}" uniqueName="5" name="EFIG GRANTS" queryTableFieldId="24" dataDxfId="77"/>
    <tableColumn id="8" xr3:uid="{8567D87E-F19A-4B8D-A516-116A36E73B8C}" uniqueName="8" name="TOTAL LEA GRANTS" queryTableFieldId="31" dataDxfId="76"/>
    <tableColumn id="7" xr3:uid="{8C8C46E0-0363-4B47-8A5E-8CC3F11260DE}" uniqueName="7" name="Rev Fin  T-I State Adm  1004(b).TITLE I, PART A TOTAL LEA GRANTS" queryTableFieldId="20" dataDxfId="75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B337D1D-C8DF-4CAF-87FD-F8C9B228595A}" name="Table_Conc_eligibility_year" displayName="Table_Conc_eligibility_year" ref="A1:E317" tableType="queryTable" totalsRowShown="0">
  <autoFilter ref="A1:E317" xr:uid="{2B337D1D-C8DF-4CAF-87FD-F8C9B228595A}"/>
  <sortState xmlns:xlrd2="http://schemas.microsoft.com/office/spreadsheetml/2017/richdata2" ref="A2:E317">
    <sortCondition ref="B1:B317"/>
  </sortState>
  <tableColumns count="5">
    <tableColumn id="1" xr3:uid="{6CF86675-12D2-4E94-9CC5-AB88A974E08A}" uniqueName="1" name="LEAID" queryTableFieldId="1"/>
    <tableColumn id="2" xr3:uid="{417E763F-84DC-4723-B21F-94132676A0BB}" uniqueName="2" name="LEANAME" queryTableFieldId="2"/>
    <tableColumn id="3" xr3:uid="{70146315-0094-43C2-80DB-34E73068048A}" uniqueName="3" name="Conc. Eligigibility" queryTableFieldId="3"/>
    <tableColumn id="4" xr3:uid="{8A58C6BF-D0A5-43F3-859C-0755FA06DCAE}" uniqueName="4" name="Eligibility Year" queryTableFieldId="4"/>
    <tableColumn id="6" xr3:uid="{2EA2D433-255C-447D-8B64-28387F2FFF7D}" uniqueName="6" name="Conc allocation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2E26F9-E31D-4B7A-96F9-9F6076E14753}" name="Title" displayName="Title" ref="B1:B2" tableType="queryTable" totalsRowShown="0">
  <autoFilter ref="B1:B2" xr:uid="{6C2E26F9-E31D-4B7A-96F9-9F6076E14753}"/>
  <tableColumns count="1">
    <tableColumn id="2" xr3:uid="{5A455F30-8D92-46E0-B12D-AB27650392EA}" uniqueName="2" name="Column1" queryTableFieldId="5" dataDxfId="74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D285AD-9F01-4D8A-BCD2-8854BAE871D8}" name="Model_allocations" displayName="Model_allocations" ref="A1:L316" tableType="queryTable" totalsRowShown="0">
  <autoFilter ref="A1:L316" xr:uid="{CFD285AD-9F01-4D8A-BCD2-8854BAE871D8}"/>
  <sortState xmlns:xlrd2="http://schemas.microsoft.com/office/spreadsheetml/2017/richdata2" ref="A2:L316">
    <sortCondition ref="B1:B316"/>
  </sortState>
  <tableColumns count="12">
    <tableColumn id="1" xr3:uid="{611B6677-F2BD-4D9B-89FD-C3C60B4033F5}" uniqueName="1" name="LEAID" queryTableFieldId="1" dataDxfId="73"/>
    <tableColumn id="2" xr3:uid="{6788495D-F0A7-49F8-8054-A54649BD3378}" uniqueName="2" name="LEANAME" queryTableFieldId="2" dataDxfId="72"/>
    <tableColumn id="3" xr3:uid="{7505CC4A-EF50-4982-9C21-FFEA45C075A0}" uniqueName="3" name="BASIC Hold Harmless Base" queryTableFieldId="3" dataDxfId="71"/>
    <tableColumn id="4" xr3:uid="{FD266F2C-12C2-46CA-B4DA-0044BF30CCE8}" uniqueName="4" name="Conc Hold Harmless Base" queryTableFieldId="4" dataDxfId="70"/>
    <tableColumn id="5" xr3:uid="{1A7C4DAA-23A9-48C0-AC40-1DB58FCA39B1}" uniqueName="5" name="Targeted Hold Harmless Base" queryTableFieldId="5" dataDxfId="69"/>
    <tableColumn id="6" xr3:uid="{209E7CB3-66F1-4B6D-A71D-700AA1F3164D}" uniqueName="6" name="EFIG Hold Harmless Base" queryTableFieldId="6" dataDxfId="68"/>
    <tableColumn id="12" xr3:uid="{662121D9-6418-4ADE-9FE1-B711736E963C}" uniqueName="12" name="Total Hold Harmless Base" queryTableFieldId="13" dataDxfId="67"/>
    <tableColumn id="7" xr3:uid="{71B5EE69-600C-4933-9901-610FB7C85727}" uniqueName="7" name="Basic Allocation" queryTableFieldId="15"/>
    <tableColumn id="8" xr3:uid="{3319A4ED-43F5-4158-8136-F59BD1DEBA2E}" uniqueName="8" name="Conc. Allocation" queryTableFieldId="8" dataDxfId="66"/>
    <tableColumn id="9" xr3:uid="{F91E0153-FD90-4DFE-9321-BFAB19AB6AF0}" uniqueName="9" name="Targeted Allocation" queryTableFieldId="9" dataDxfId="65"/>
    <tableColumn id="10" xr3:uid="{DEAFA6E0-AC9F-4ED9-BFE5-21F80B208ECD}" uniqueName="10" name="EFIG Allocation" queryTableFieldId="10" dataDxfId="64"/>
    <tableColumn id="11" xr3:uid="{4ED7FCD7-2EBF-4103-9C8D-702DB30D89D1}" uniqueName="11" name="Total Title I Allocation" queryTableFieldId="11" dataDxfId="6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F32EF4C-1258-4E2D-B0B9-BE4D2282A993}" name="Initial_adjusted_allocations" displayName="Initial_adjusted_allocations" ref="A1:L316" tableType="queryTable" totalsRowShown="0">
  <autoFilter ref="A1:L316" xr:uid="{6F32EF4C-1258-4E2D-B0B9-BE4D2282A993}"/>
  <sortState xmlns:xlrd2="http://schemas.microsoft.com/office/spreadsheetml/2017/richdata2" ref="A2:L316">
    <sortCondition ref="B1:B316"/>
  </sortState>
  <tableColumns count="12">
    <tableColumn id="1" xr3:uid="{BB592B86-CBB1-4B7C-9D64-5D339665B4A8}" uniqueName="1" name="LEAID" queryTableFieldId="1" dataDxfId="62"/>
    <tableColumn id="2" xr3:uid="{AF4A4BC3-D921-4DCF-9937-78D414B81BE2}" uniqueName="2" name="LEANAME" queryTableFieldId="2" dataDxfId="61"/>
    <tableColumn id="3" xr3:uid="{11229CAA-8F87-4ABD-B2CB-66865C362217}" uniqueName="3" name="BASIC Hold Harmless base (Prior year adjusted alloc)" queryTableFieldId="3" dataDxfId="60"/>
    <tableColumn id="4" xr3:uid="{877EAC2C-B599-4614-9F9E-6FC007BB07C4}" uniqueName="4" name="Conc Hold Harmless Base ( 4 year lookback)" queryTableFieldId="13" dataDxfId="59"/>
    <tableColumn id="5" xr3:uid="{3927C376-8129-4830-A597-A29B7BDB1B1B}" uniqueName="5" name="TARGETED Hold Harmless Base (Prior Year adjusted alloc)" queryTableFieldId="5" dataDxfId="58"/>
    <tableColumn id="6" xr3:uid="{B6E7B67B-B6D2-4A9D-AADA-A3FDAEDC8F2B}" uniqueName="6" name="EFIG Hold Harmless base (Prior Year adjusted alloc)" queryTableFieldId="6" dataDxfId="57"/>
    <tableColumn id="7" xr3:uid="{248C4D64-741B-4814-97AF-7C42F159548B}" uniqueName="7" name="Total Hold Harmless base" queryTableFieldId="7" dataDxfId="56"/>
    <tableColumn id="8" xr3:uid="{2283AABA-6403-4214-8A67-3EECAF8E5318}" uniqueName="8" name="Adj Basic Allocation" queryTableFieldId="8" dataDxfId="55"/>
    <tableColumn id="9" xr3:uid="{F211104A-967A-4973-A33D-410EF5757E45}" uniqueName="9" name="Adj Conc. Allocation" queryTableFieldId="9" dataDxfId="54"/>
    <tableColumn id="10" xr3:uid="{76DF5FA6-3C22-49A9-89CA-C19B88D75E68}" uniqueName="10" name="Adj Targeted allocation" queryTableFieldId="10" dataDxfId="53"/>
    <tableColumn id="11" xr3:uid="{E116C028-FADA-46D1-A46A-C491918364E2}" uniqueName="11" name="Adj EFIG Allocation" queryTableFieldId="11" dataDxfId="52"/>
    <tableColumn id="12" xr3:uid="{340F5974-2F89-4558-B5A2-F258176198FC}" uniqueName="12" name="Adj Total Title I Allocation" queryTableFieldId="12" dataDxfId="5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5B8CB27-6799-4997-8EA6-06DF76B21895}" name="Initial_adjusted_formula_count" displayName="Initial_adjusted_formula_count" ref="A1:P316" tableType="queryTable" totalsRowShown="0">
  <autoFilter ref="A1:P316" xr:uid="{85B8CB27-6799-4997-8EA6-06DF76B21895}">
    <filterColumn colId="13">
      <filters>
        <filter val="0"/>
      </filters>
    </filterColumn>
  </autoFilter>
  <sortState xmlns:xlrd2="http://schemas.microsoft.com/office/spreadsheetml/2017/richdata2" ref="A2:P316">
    <sortCondition ref="B1:B316"/>
  </sortState>
  <tableColumns count="16">
    <tableColumn id="1" xr3:uid="{D4450982-D1E4-47D0-B829-97602D6DD2D7}" uniqueName="1" name="LEAID" queryTableFieldId="1" dataDxfId="50"/>
    <tableColumn id="2" xr3:uid="{A08BBAC3-99DF-47AA-9666-D57A7C658A9B}" uniqueName="2" name="LEANAME" queryTableFieldId="30"/>
    <tableColumn id="5" xr3:uid="{C3276C96-6825-4339-A7ED-0E3FC010F422}" uniqueName="5" name="SendingLEAid" queryTableFieldId="36" dataDxfId="49"/>
    <tableColumn id="3" xr3:uid="{C187E937-45FF-4B15-A3D5-099CF49E5EA2}" uniqueName="3" name="NEG. adj" queryTableFieldId="41" dataDxfId="48"/>
    <tableColumn id="4" xr3:uid="{38996AC4-6D97-4D6D-9C61-06C5D36C8838}" uniqueName="4" name="Adj DEL." queryTableFieldId="42" dataDxfId="47"/>
    <tableColumn id="7" xr3:uid="{4B33D5B5-F8BE-4B15-9324-7D10EB241113}" uniqueName="7" name="Adj Foster" queryTableFieldId="43" dataDxfId="46"/>
    <tableColumn id="8" xr3:uid="{C9B7EDC5-ED7B-4DF8-846D-249EE4653327}" uniqueName="8" name="Adj TANF" queryTableFieldId="44" dataDxfId="45"/>
    <tableColumn id="21" xr3:uid="{811D0937-E776-4C41-8989-1A7D496C7CBB}" uniqueName="21" name="Adj - 5-17 pop" queryTableFieldId="21" dataDxfId="44"/>
    <tableColumn id="22" xr3:uid="{15D21245-8488-405A-9D4C-079EA84B1718}" uniqueName="22" name="Adj poverty" queryTableFieldId="22" dataDxfId="43"/>
    <tableColumn id="23" xr3:uid="{65940B37-A5FA-45C2-9969-DFA8622DB07E}" uniqueName="23" name="Adj Total formula count" queryTableFieldId="23" dataDxfId="42"/>
    <tableColumn id="6" xr3:uid="{14835AAA-20BA-457D-8CAE-AF7D912FFBBC}" uniqueName="6" name="Total Formula Count DOE" queryTableFieldId="37" dataDxfId="41"/>
    <tableColumn id="24" xr3:uid="{2130EE01-004F-4566-A60A-D3B8CE1A3362}" uniqueName="24" name="Adj poverty percentage" queryTableFieldId="24"/>
    <tableColumn id="25" xr3:uid="{3F74F5D5-2990-4002-92CF-4625DA740D40}" uniqueName="25" name="BASIC eligibility" queryTableFieldId="25"/>
    <tableColumn id="26" xr3:uid="{2A6BAE65-83C9-40C1-809D-5BB78521E846}" uniqueName="26" name="Conc. Eligigibility" queryTableFieldId="26"/>
    <tableColumn id="27" xr3:uid="{6D7FC1DA-5A46-46F1-92F5-1B19A1197F98}" uniqueName="27" name="Targeted Eligibility" queryTableFieldId="27"/>
    <tableColumn id="28" xr3:uid="{886B5EA4-C474-40F7-8FE4-726B686EC411}" uniqueName="28" name="EFIG eligibility" queryTableFieldId="2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F6E1E93-B710-4806-80CA-97D04C2CA9C5}" name="New_or_Expanded_HH_check" displayName="New_or_Expanded_HH_check" ref="A1:Y20" tableType="queryTable" totalsRowShown="0">
  <autoFilter ref="A1:Y20" xr:uid="{BF6E1E93-B710-4806-80CA-97D04C2CA9C5}">
    <filterColumn colId="5">
      <filters>
        <filter val="1"/>
      </filters>
    </filterColumn>
  </autoFilter>
  <tableColumns count="25">
    <tableColumn id="1" xr3:uid="{05678A1B-8182-4A93-A935-7FFC88362CE1}" uniqueName="1" name="CCDDD" queryTableFieldId="1" dataDxfId="40"/>
    <tableColumn id="2" xr3:uid="{9129C4CB-F5B3-46A1-857F-364562E11239}" uniqueName="2" name="DistrictName" queryTableFieldId="2" dataDxfId="39"/>
    <tableColumn id="3" xr3:uid="{8BF1D670-3D30-4FCC-AA04-6FFB836BFE38}" uniqueName="3" name="SendingLEAid" queryTableFieldId="3" dataDxfId="38"/>
    <tableColumn id="4" xr3:uid="{42229B68-7610-4EAE-AC8A-4B35A7D29E4C}" uniqueName="4" name="LEAid" queryTableFieldId="4" dataDxfId="37"/>
    <tableColumn id="6" xr3:uid="{E53BD975-D551-456F-88F9-337E0969ABEB}" uniqueName="6" name="IsNew" queryTableFieldId="6" dataDxfId="36"/>
    <tableColumn id="5" xr3:uid="{53914E26-3AFF-49CD-AF44-AF067D18C5F1}" uniqueName="5" name="IsExpanded" queryTableFieldId="5"/>
    <tableColumn id="7" xr3:uid="{EB6AA613-17CE-433E-97F5-8B51332CFE71}" uniqueName="7" name="Initial adjusted formula count.Adj Total formula count" queryTableFieldId="7" dataDxfId="35"/>
    <tableColumn id="8" xr3:uid="{3115BD99-CD6F-4DE4-AC86-C52B0A17D5C6}" uniqueName="8" name="Initial adjusted formula count.Adj poverty percentage" queryTableFieldId="8"/>
    <tableColumn id="9" xr3:uid="{60E71B6A-2AFB-4487-9007-ECE305622211}" uniqueName="9" name="Prior Year Adjusted Formula counts.Adj Total formula count" queryTableFieldId="39"/>
    <tableColumn id="10" xr3:uid="{46F9479A-A837-4BCA-84F6-0364141169D0}" uniqueName="10" name="Total Formula Count increase" queryTableFieldId="10"/>
    <tableColumn id="11" xr3:uid="{D355C088-70CA-40E8-9EC5-7D5CA4691E4D}" uniqueName="11" name="Initial adjusted allocations.BASIC Hold Harmless base (Prior year adjusted alloc" queryTableFieldId="11"/>
    <tableColumn id="13" xr3:uid="{FF2D5A8E-5A5D-49E1-B5AE-B1A48B8B26F1}" uniqueName="13" name="Initial adjusted allocations.TARGETED Hold Harmless Base (Prior Year adjusted al" queryTableFieldId="13"/>
    <tableColumn id="12" xr3:uid="{31CCE0EA-10F3-42B4-B4E7-8F194A9E9252}" uniqueName="12" name="Initial adjusted allocations.Conc Hold Harmless Base ( 4 year lookback)" queryTableFieldId="37"/>
    <tableColumn id="14" xr3:uid="{9F1EFE74-42D5-49CA-86ED-FE074890E432}" uniqueName="14" name="Initial adjusted allocations.EFIG Hold Harmless base (Prior Year adjusted alloc)" queryTableFieldId="14"/>
    <tableColumn id="15" xr3:uid="{E3CCB486-4678-45DC-A6CA-1CD9FA45AFFF}" uniqueName="15" name="Initial adjusted allocations.Total Hold Harmless base" queryTableFieldId="15" dataDxfId="34"/>
    <tableColumn id="16" xr3:uid="{253BF4D9-5866-4C9B-8D54-E3FD927D13D5}" uniqueName="16" name="Initial adjusted allocations.Adj Basic Allocation" queryTableFieldId="16"/>
    <tableColumn id="17" xr3:uid="{17E528B7-08C5-43E3-8B96-DA0C845D634D}" uniqueName="17" name="Initial adjusted allocations.Adj Conc. Allocation" queryTableFieldId="17"/>
    <tableColumn id="18" xr3:uid="{B5942ED9-C596-4334-8257-8332DAAB9E12}" uniqueName="18" name="Initial adjusted allocations.Adj Targeted allocation" queryTableFieldId="18"/>
    <tableColumn id="19" xr3:uid="{B4F8C7B7-2909-4E7C-8902-1079B1C03B25}" uniqueName="19" name="Initial adjusted allocations.Adj EFIG Allocation" queryTableFieldId="19"/>
    <tableColumn id="20" xr3:uid="{20BCA529-F64F-4DA9-9196-0E1FB7FA7865}" uniqueName="20" name="Initial adjusted allocations.Adj Total Title I Allocation" queryTableFieldId="20"/>
    <tableColumn id="21" xr3:uid="{8A82F529-A755-4079-A67C-10B541FB2947}" uniqueName="21" name="New/Expanded Basic HH base" queryTableFieldId="21" dataDxfId="33"/>
    <tableColumn id="22" xr3:uid="{88FAA249-272C-4B55-8BA8-9E9C3E81FFE8}" uniqueName="22" name="New/Expanding Conc HH base" queryTableFieldId="22" dataDxfId="32"/>
    <tableColumn id="23" xr3:uid="{1117A25E-487A-4931-A0AB-7D76CF57B9CB}" uniqueName="23" name="New/Expanding Targeted HH Base" queryTableFieldId="23" dataDxfId="31"/>
    <tableColumn id="24" xr3:uid="{C99510BF-DAA2-4F85-9F7E-83D3284E240B}" uniqueName="24" name="New Expanding EFIG HH Base" queryTableFieldId="24" dataDxfId="30"/>
    <tableColumn id="25" xr3:uid="{F2921C0B-6A9E-48A9-81E7-AECB85D4BE69}" uniqueName="25" name="New Expanded total HH base" queryTableFieldId="25" dataDxfId="29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84827DA-6F09-4A06-92A3-4B5F97C50D43}" name="Multipliers" displayName="Multipliers" ref="A1:I30" tableType="queryTable" totalsRowShown="0">
  <autoFilter ref="A1:I30" xr:uid="{484827DA-6F09-4A06-92A3-4B5F97C50D43}"/>
  <sortState xmlns:xlrd2="http://schemas.microsoft.com/office/spreadsheetml/2017/richdata2" ref="A2:I30">
    <sortCondition ref="C1:C30"/>
  </sortState>
  <tableColumns count="9">
    <tableColumn id="1" xr3:uid="{84928E93-7480-4F08-91A6-5E0CD8893E38}" uniqueName="1" name="CCDDD" queryTableFieldId="1" dataDxfId="28"/>
    <tableColumn id="2" xr3:uid="{AC59F4DA-A1E7-4F4D-8B6B-BA5DB41B703E}" uniqueName="2" name="DistrictName" queryTableFieldId="2" dataDxfId="27"/>
    <tableColumn id="3" xr3:uid="{1C4A60BD-575B-4FE4-BA11-4CEEC045530D}" uniqueName="3" name="SendingLEAid" queryTableFieldId="3" dataDxfId="26"/>
    <tableColumn id="4" xr3:uid="{A5E8685C-666D-47D7-AB04-53248EBB2F17}" uniqueName="4" name="DistrictType" queryTableFieldId="4"/>
    <tableColumn id="5" xr3:uid="{AE31F690-E25C-4A52-82D0-B4F77192A8A1}" uniqueName="5" name="LEAid" queryTableFieldId="5" dataDxfId="25"/>
    <tableColumn id="7" xr3:uid="{FBC64837-6A24-40FC-B610-73D4EA702102}" uniqueName="7" name="IsNew" queryTableFieldId="7" dataDxfId="24"/>
    <tableColumn id="6" xr3:uid="{FE3213F8-C272-4CCB-BEF4-ED26B0444655}" uniqueName="6" name="IsExpanded" queryTableFieldId="6"/>
    <tableColumn id="8" xr3:uid="{35439A1B-AA2B-465B-BA50-AB0D3848EBB3}" uniqueName="8" name="poverty Multiplier" queryTableFieldId="8" dataDxfId="23" dataCellStyle="Percent"/>
    <tableColumn id="9" xr3:uid="{A2652D78-643D-4DD7-AC11-951305F2A8F8}" uniqueName="9" name="Enrollment multiplier" queryTableFieldId="9" dataDxfId="22" dataCellStyle="Percent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78EB4D-0B02-4958-A2CD-9C0465C6D110}" name="Split_Calc" displayName="Split_Calc" ref="A1:S20" tableType="queryTable" totalsRowShown="0">
  <autoFilter ref="A1:S20" xr:uid="{1F78EB4D-0B02-4958-A2CD-9C0465C6D110}"/>
  <tableColumns count="19">
    <tableColumn id="1" xr3:uid="{B5F7AECA-D304-4AA0-9256-EAF1EAAF3FB8}" uniqueName="1" name="CCDDD" queryTableFieldId="1" dataDxfId="21"/>
    <tableColumn id="2" xr3:uid="{F0F095AC-9FA8-4E0D-BA30-3344380C1A81}" uniqueName="2" name="Charter/Tribal" queryTableFieldId="2" dataDxfId="20"/>
    <tableColumn id="3" xr3:uid="{906E6615-D133-405E-BD4E-3F984256E693}" uniqueName="3" name="Sending District" queryTableFieldId="3" dataDxfId="19"/>
    <tableColumn id="4" xr3:uid="{6325567C-4292-4020-BCF1-FC929A17822A}" uniqueName="4" name="Sending District CCDDD" queryTableFieldId="4" dataDxfId="18"/>
    <tableColumn id="5" xr3:uid="{D50ED8F1-8953-43F7-9674-641552F905C3}" uniqueName="5" name="LEAID" queryTableFieldId="5" dataDxfId="17"/>
    <tableColumn id="6" xr3:uid="{EBC749D4-F587-4AC8-B50B-A19B79F97D81}" uniqueName="6" name="IsNew" queryTableFieldId="6" dataDxfId="16"/>
    <tableColumn id="7" xr3:uid="{3E36513F-9F0A-4B23-856E-2253CF24C489}" uniqueName="7" name="IsExpanded" queryTableFieldId="17"/>
    <tableColumn id="9" xr3:uid="{C6CFCFC5-6F6F-4E12-AAFA-1B59C2D2A5A2}" uniqueName="9" name="FRPL.TotalStudents" queryTableFieldId="24" dataDxfId="15"/>
    <tableColumn id="8" xr3:uid="{C6AEB83E-26F3-4A05-A748-DAF1F81B7EA3}" uniqueName="8" name="TotalStudentsInPoverty" queryTableFieldId="8"/>
    <tableColumn id="10" xr3:uid="{38589DCF-2BF0-465E-BA38-60719BF8C7F4}" uniqueName="10" name="SendingTotalStudents" queryTableFieldId="25" dataDxfId="14"/>
    <tableColumn id="11" xr3:uid="{2CD90EC8-1F91-4BAA-B3E5-9026141E4B1A}" uniqueName="11" name="SendingTotalStudentsInPoverty" queryTableFieldId="11"/>
    <tableColumn id="17" xr3:uid="{B646AC6A-1FBA-4D71-89E6-163042FDA3BF}" uniqueName="17" name="SendingLEAId" queryTableFieldId="16" dataDxfId="13"/>
    <tableColumn id="20" xr3:uid="{CEA2D6AD-8CCD-4A5E-97C6-3407F224D29D}" uniqueName="20" name="ChartersTotalStudents" queryTableFieldId="33"/>
    <tableColumn id="12" xr3:uid="{CCD2667B-D8AF-4FF0-A498-14B073BDFBA5}" uniqueName="12" name="Sum of Charters RFPL+Sending RFPL" queryTableFieldId="21"/>
    <tableColumn id="21" xr3:uid="{89EF60DC-7943-452D-8BCB-AFD3DD8D81A9}" uniqueName="21" name="Share of FRPL" queryTableFieldId="34"/>
    <tableColumn id="22" xr3:uid="{21596939-9B54-4755-AE20-2F8C5FA95FE1}" uniqueName="22" name="Sending Share of FRPL" queryTableFieldId="35"/>
    <tableColumn id="15" xr3:uid="{6D59F98D-E68E-4199-811D-FB83FFF7E405}" uniqueName="15" name="Sum of charter total students + Sending total students" queryTableFieldId="27" dataDxfId="12"/>
    <tableColumn id="16" xr3:uid="{777BCDC3-7ECB-48FB-A60F-78FCCD5ABA36}" uniqueName="16" name="Share of Total Enrollment" queryTableFieldId="28" dataDxfId="11"/>
    <tableColumn id="19" xr3:uid="{A2435003-4B7A-48D3-8533-2EF415147154}" uniqueName="19" name="Sending Share of Total enrollment" queryTableFieldId="29" dataDxfId="10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2274DD2-59B1-4CB3-9B41-A78345DA1C37}" name="Table_Prior_Year_Net_to_district" displayName="Table_Prior_Year_Net_to_district" ref="A1:O317" tableType="queryTable" totalsRowShown="0">
  <autoFilter ref="A1:O317" xr:uid="{82274DD2-59B1-4CB3-9B41-A78345DA1C37}"/>
  <tableColumns count="15">
    <tableColumn id="1" xr3:uid="{DCE06B1D-A5CE-48E6-9A85-26D61791F6A6}" uniqueName="1" name="LEAID" queryTableFieldId="1" dataDxfId="9"/>
    <tableColumn id="3" xr3:uid="{AB650683-BA3F-4873-AEF1-1DE352F24398}" uniqueName="3" name="LEANAME" queryTableFieldId="12" dataDxfId="8"/>
    <tableColumn id="15" xr3:uid="{97FFD9D6-49DD-4C8B-B34C-A2A995490BFE}" uniqueName="15" name="Basic Before State Reservations" queryTableFieldId="39"/>
    <tableColumn id="16" xr3:uid="{74EDC3A3-869E-449F-BC14-0C31B86C9408}" uniqueName="16" name="Concentration Before State Reservations" queryTableFieldId="40"/>
    <tableColumn id="17" xr3:uid="{F2E55405-4A04-4E2F-A81A-CDE376107E4F}" uniqueName="17" name="Targeted Before State Reservations" queryTableFieldId="41"/>
    <tableColumn id="18" xr3:uid="{78EA2C5B-F0CB-4FCC-86F7-728A88CC4D29}" uniqueName="18" name="EFIG Before State Reservations" queryTableFieldId="42"/>
    <tableColumn id="19" xr3:uid="{BA73CEB0-384A-479F-B4B1-0FA38E0FFECE}" uniqueName="19" name="Total Before State Reservations" queryTableFieldId="43"/>
    <tableColumn id="21" xr3:uid="{21E2C724-79EB-4C98-BE90-BF542E3A0512}" uniqueName="21" name="Allocation after School Improvemnt HH" queryTableFieldId="51"/>
    <tableColumn id="22" xr3:uid="{7FB5F679-E1C9-4D69-869F-E1420A5DBD46}" uniqueName="22" name="Net School Improvement taken out" queryTableFieldId="52"/>
    <tableColumn id="9" xr3:uid="{649F93AB-DB96-4519-985C-69EA02C21565}" uniqueName="9" name="State Admin" queryTableFieldId="20"/>
    <tableColumn id="11" xr3:uid="{8164232E-1C9C-411A-978D-49FA871FD551}" uniqueName="11" name="MOE Reduction" queryTableFieldId="22"/>
    <tableColumn id="4" xr3:uid="{5CBB891A-EF0F-47E0-90E9-8351AF936710}" uniqueName="4" name="NET TO DISTRICS" queryTableFieldId="13"/>
    <tableColumn id="10" xr3:uid="{B7C702E7-6B34-4E57-A669-3845D4AB1B1E}" uniqueName="10" name="Adj - 5-17 pop" queryTableFieldId="36"/>
    <tableColumn id="13" xr3:uid="{AF30A016-7E3F-48A3-A5DA-92815AD2810E}" uniqueName="13" name="Adj Total formula count" queryTableFieldId="37"/>
    <tableColumn id="14" xr3:uid="{2216A8A1-F4E2-4E1A-AFA2-945E879018C7}" uniqueName="14" name="Adj poverty percentage" queryTableFieldId="3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9700-6A66-4A00-8318-0C5AB1792D97}">
  <dimension ref="B1:E24"/>
  <sheetViews>
    <sheetView tabSelected="1" workbookViewId="0">
      <selection activeCell="C2" sqref="C2:D2"/>
    </sheetView>
  </sheetViews>
  <sheetFormatPr defaultRowHeight="15" x14ac:dyDescent="0.25"/>
  <cols>
    <col min="1" max="1" width="7.7109375" customWidth="1"/>
    <col min="2" max="2" width="44.5703125" customWidth="1"/>
    <col min="3" max="3" width="43.5703125" customWidth="1"/>
    <col min="4" max="4" width="44.28515625" customWidth="1"/>
    <col min="5" max="5" width="35.85546875" customWidth="1"/>
  </cols>
  <sheetData>
    <row r="1" spans="2:5" ht="15.75" thickBot="1" x14ac:dyDescent="0.3"/>
    <row r="2" spans="2:5" ht="27" thickBot="1" x14ac:dyDescent="0.45">
      <c r="B2" s="70" t="s">
        <v>1401</v>
      </c>
      <c r="C2" s="83" t="s">
        <v>662</v>
      </c>
      <c r="D2" s="84"/>
      <c r="E2" t="s">
        <v>1402</v>
      </c>
    </row>
    <row r="3" spans="2:5" ht="23.25" x14ac:dyDescent="0.35">
      <c r="B3" s="70" t="s">
        <v>0</v>
      </c>
      <c r="C3" s="85" t="str">
        <f>VLOOKUP(District!$C$2,'State Reservations'!$B$4:$C$318,2,FALSE)</f>
        <v>14005</v>
      </c>
      <c r="D3" s="85"/>
    </row>
    <row r="4" spans="2:5" x14ac:dyDescent="0.25">
      <c r="B4" t="s">
        <v>1403</v>
      </c>
      <c r="C4" s="86" t="str">
        <f>VLOOKUP($C$2,'State Reservations'!$B$4:$AG$319,32,FALSE)</f>
        <v>5300030</v>
      </c>
      <c r="D4" s="86"/>
    </row>
    <row r="6" spans="2:5" ht="30" x14ac:dyDescent="0.25">
      <c r="C6" s="75" t="str" cm="1">
        <f t="array" ref="C6">Title[Column1]</f>
        <v>PRELIMINARY FISCAL YEAR 2025 TITLE I ALLOCATIONS FOR SCHOOL YEAR 2025-2026</v>
      </c>
      <c r="D6" s="75" t="s">
        <v>1415</v>
      </c>
    </row>
    <row r="7" spans="2:5" ht="15.75" x14ac:dyDescent="0.25">
      <c r="B7" s="70" t="s">
        <v>1404</v>
      </c>
      <c r="C7" s="71">
        <f>VLOOKUP($C$4,'Initial adjusted formula count'!$A$1:$J$317,8,FALSE)</f>
        <v>3513</v>
      </c>
      <c r="D7">
        <f>VLOOKUP($C$4,Table_Prior_Year_Net_to_district[#All],13,FALSE)</f>
        <v>3502</v>
      </c>
    </row>
    <row r="8" spans="2:5" ht="15.75" x14ac:dyDescent="0.25">
      <c r="B8" s="70" t="s">
        <v>1405</v>
      </c>
      <c r="C8" s="76">
        <f>VLOOKUP($C$4,'Initial adjusted formula count'!$A$1:$J$317,10,FALSE)</f>
        <v>706</v>
      </c>
      <c r="D8">
        <f>VLOOKUP($C$4,Table_Prior_Year_Net_to_district[#All],14,FALSE)</f>
        <v>820</v>
      </c>
    </row>
    <row r="9" spans="2:5" ht="15.75" x14ac:dyDescent="0.25">
      <c r="B9" s="70" t="s">
        <v>1406</v>
      </c>
      <c r="C9" s="31">
        <f>C8/C7</f>
        <v>0.20096783376031882</v>
      </c>
      <c r="D9" s="28">
        <f>VLOOKUP($C$4,Table_Prior_Year_Net_to_district[#All],15,FALSE)</f>
        <v>0.23415191319246101</v>
      </c>
    </row>
    <row r="10" spans="2:5" ht="15.75" x14ac:dyDescent="0.25">
      <c r="B10" s="70"/>
    </row>
    <row r="11" spans="2:5" ht="15.75" x14ac:dyDescent="0.25">
      <c r="B11" s="70" t="s">
        <v>1407</v>
      </c>
      <c r="C11" s="72">
        <f>VLOOKUP($C$3,'State Reservations'!$C$4:$AE$318,3,FALSE)</f>
        <v>634938.69375755591</v>
      </c>
      <c r="D11" s="72">
        <f>VLOOKUP($C$4,Table_Prior_Year_Net_to_district[#All],3,FALSE)</f>
        <v>705331.89897885255</v>
      </c>
    </row>
    <row r="12" spans="2:5" ht="15.75" x14ac:dyDescent="0.25">
      <c r="B12" s="70" t="s">
        <v>1408</v>
      </c>
      <c r="C12" s="72">
        <f>VLOOKUP($C$3,'State Reservations'!$C$4:$AE$318,4,FALSE)</f>
        <v>167295.88148094981</v>
      </c>
      <c r="D12" s="72">
        <f>VLOOKUP($C$4,Table_Prior_Year_Net_to_district[#All],4,FALSE)</f>
        <v>185512.81893637322</v>
      </c>
    </row>
    <row r="13" spans="2:5" ht="15.75" x14ac:dyDescent="0.25">
      <c r="B13" s="70" t="s">
        <v>1409</v>
      </c>
      <c r="C13" s="72">
        <f>VLOOKUP($C$3,'State Reservations'!$C$4:$AE$318,5,FALSE)</f>
        <v>392655.00860822888</v>
      </c>
      <c r="D13" s="72">
        <f>VLOOKUP($C$4,Table_Prior_Year_Net_to_district[#All],5,FALSE)</f>
        <v>436145.1946950042</v>
      </c>
    </row>
    <row r="14" spans="2:5" ht="15.75" x14ac:dyDescent="0.25">
      <c r="B14" s="70" t="s">
        <v>1410</v>
      </c>
      <c r="C14" s="72">
        <f>VLOOKUP($C$3,'State Reservations'!$C$4:$AE$318,6,FALSE)</f>
        <v>539711.39546573057</v>
      </c>
      <c r="D14" s="72">
        <f>VLOOKUP($C$4,Table_Prior_Year_Net_to_district[#All],6,FALSE)</f>
        <v>599494.1473809341</v>
      </c>
    </row>
    <row r="15" spans="2:5" ht="15.75" x14ac:dyDescent="0.25">
      <c r="B15" s="70"/>
      <c r="C15" s="72"/>
      <c r="D15" s="72"/>
    </row>
    <row r="16" spans="2:5" ht="15.75" x14ac:dyDescent="0.25">
      <c r="B16" s="70" t="s">
        <v>1411</v>
      </c>
      <c r="C16" s="72">
        <f>VLOOKUP($C$3,'State Reservations'!$C$4:$AE$318,7,FALSE)</f>
        <v>1734600.9793124651</v>
      </c>
      <c r="D16" s="72">
        <f>VLOOKUP($C$4,Table_Prior_Year_Net_to_district[#All],7,FALSE)</f>
        <v>1926484.0599911641</v>
      </c>
    </row>
    <row r="17" spans="2:4" ht="15.75" x14ac:dyDescent="0.25">
      <c r="B17" s="70"/>
      <c r="D17" s="72"/>
    </row>
    <row r="18" spans="2:4" ht="15.75" x14ac:dyDescent="0.25">
      <c r="B18" s="70" t="s">
        <v>1412</v>
      </c>
      <c r="C18" s="43">
        <f>$C$16-$C$19</f>
        <v>72010.957268084167</v>
      </c>
      <c r="D18" s="72">
        <f>VLOOKUP($C$4,Table_Prior_Year_Net_to_district[#All],9,FALSE)</f>
        <v>250965.03466172912</v>
      </c>
    </row>
    <row r="19" spans="2:4" ht="15.75" x14ac:dyDescent="0.25">
      <c r="B19" s="70" t="s">
        <v>1413</v>
      </c>
      <c r="C19" s="43">
        <f>VLOOKUP($C$3,'State Reservations'!$C$4:$AE$318,21,FALSE)</f>
        <v>1662590.0220443809</v>
      </c>
      <c r="D19" s="72">
        <f>VLOOKUP($C$4,Table_Prior_Year_Net_to_district[#All],8,FALSE)</f>
        <v>1675519.025329435</v>
      </c>
    </row>
    <row r="20" spans="2:4" ht="15.75" x14ac:dyDescent="0.25">
      <c r="B20" s="70"/>
      <c r="C20" s="43"/>
      <c r="D20" s="72"/>
    </row>
    <row r="21" spans="2:4" ht="15.75" x14ac:dyDescent="0.25">
      <c r="B21" s="70" t="s">
        <v>1287</v>
      </c>
      <c r="C21" s="72">
        <f>VLOOKUP($C$3,'State Reservations'!$C$4:$AE$318,23,FALSE)</f>
        <v>12728.209095535252</v>
      </c>
      <c r="D21" s="72">
        <f>VLOOKUP($C$4,Table_Prior_Year_Net_to_district[#All],10,FALSE)</f>
        <v>12929.003285054105</v>
      </c>
    </row>
    <row r="22" spans="2:4" ht="15.75" x14ac:dyDescent="0.25">
      <c r="B22" s="70" t="s">
        <v>1271</v>
      </c>
      <c r="C22" s="72">
        <f>VLOOKUP($C$3,'State Reservations'!$C$4:$AE$318,28,FALSE)</f>
        <v>0</v>
      </c>
      <c r="D22" s="72">
        <f>VLOOKUP($C$4,Table_Prior_Year_Net_to_district[#All],11,FALSE)</f>
        <v>0</v>
      </c>
    </row>
    <row r="23" spans="2:4" ht="15.75" thickBot="1" x14ac:dyDescent="0.3">
      <c r="D23" s="72"/>
    </row>
    <row r="24" spans="2:4" ht="24" thickBot="1" x14ac:dyDescent="0.4">
      <c r="B24" s="73" t="s">
        <v>1414</v>
      </c>
      <c r="C24" s="74">
        <f>C16-C18-C21-C22</f>
        <v>1649861.8129488456</v>
      </c>
      <c r="D24" s="74">
        <f>VLOOKUP($C$4,Table_Prior_Year_Net_to_district[#All],12,FALSE)</f>
        <v>1662590.0220443809</v>
      </c>
    </row>
  </sheetData>
  <mergeCells count="3">
    <mergeCell ref="C2:D2"/>
    <mergeCell ref="C3:D3"/>
    <mergeCell ref="C4:D4"/>
  </mergeCell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1DFAF89-1491-4DB0-9732-1C383FE3B107}">
          <x14:formula1>
            <xm:f>'State Reservations'!$B$4:$B$318</xm:f>
          </x14:formula1>
          <xm:sqref>C2:D2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EFF0D-1EFE-4C9C-9C20-84011A9B7705}">
  <sheetPr>
    <tabColor theme="4" tint="0.79998168889431442"/>
  </sheetPr>
  <dimension ref="A1:P316"/>
  <sheetViews>
    <sheetView workbookViewId="0">
      <selection activeCell="B5" sqref="B5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15.42578125" bestFit="1" customWidth="1"/>
    <col min="4" max="4" width="10.85546875" bestFit="1" customWidth="1"/>
    <col min="5" max="5" width="10.42578125" bestFit="1" customWidth="1"/>
    <col min="6" max="6" width="12.28515625" bestFit="1" customWidth="1"/>
    <col min="7" max="7" width="11.42578125" bestFit="1" customWidth="1"/>
    <col min="8" max="8" width="15.5703125" bestFit="1" customWidth="1"/>
    <col min="9" max="9" width="13.5703125" bestFit="1" customWidth="1"/>
    <col min="10" max="10" width="24.42578125" bestFit="1" customWidth="1"/>
    <col min="11" max="11" width="25.7109375" bestFit="1" customWidth="1"/>
    <col min="12" max="12" width="24.42578125" bestFit="1" customWidth="1"/>
    <col min="13" max="13" width="17.42578125" bestFit="1" customWidth="1"/>
    <col min="14" max="14" width="18.5703125" bestFit="1" customWidth="1"/>
    <col min="15" max="15" width="20.140625" bestFit="1" customWidth="1"/>
    <col min="16" max="16" width="16.28515625" bestFit="1" customWidth="1"/>
    <col min="17" max="17" width="20.140625" bestFit="1" customWidth="1"/>
    <col min="18" max="18" width="16.28515625" customWidth="1"/>
    <col min="19" max="19" width="20.140625" bestFit="1" customWidth="1"/>
    <col min="20" max="20" width="16.28515625" bestFit="1" customWidth="1"/>
    <col min="21" max="21" width="20.85546875" bestFit="1" customWidth="1"/>
    <col min="22" max="22" width="17.42578125" bestFit="1" customWidth="1"/>
    <col min="23" max="23" width="18" bestFit="1" customWidth="1"/>
    <col min="24" max="24" width="28.28515625" bestFit="1" customWidth="1"/>
    <col min="25" max="25" width="20.5703125" bestFit="1" customWidth="1"/>
    <col min="26" max="26" width="15.140625" bestFit="1" customWidth="1"/>
    <col min="27" max="27" width="47.5703125" bestFit="1" customWidth="1"/>
    <col min="28" max="28" width="16.85546875" bestFit="1" customWidth="1"/>
    <col min="29" max="29" width="21.140625" bestFit="1" customWidth="1"/>
    <col min="30" max="30" width="38" bestFit="1" customWidth="1"/>
    <col min="31" max="31" width="24.28515625" bestFit="1" customWidth="1"/>
    <col min="32" max="32" width="15.5703125" bestFit="1" customWidth="1"/>
    <col min="33" max="33" width="13.5703125" bestFit="1" customWidth="1"/>
    <col min="34" max="35" width="24.42578125" bestFit="1" customWidth="1"/>
    <col min="36" max="36" width="17.42578125" bestFit="1" customWidth="1"/>
    <col min="37" max="37" width="18.5703125" bestFit="1" customWidth="1"/>
    <col min="38" max="38" width="20.140625" bestFit="1" customWidth="1"/>
    <col min="39" max="39" width="16.28515625" bestFit="1" customWidth="1"/>
    <col min="40" max="40" width="22.7109375" bestFit="1" customWidth="1"/>
  </cols>
  <sheetData>
    <row r="1" spans="1:16" x14ac:dyDescent="0.25">
      <c r="A1" t="s">
        <v>4</v>
      </c>
      <c r="B1" t="s">
        <v>1279</v>
      </c>
      <c r="C1" t="s">
        <v>1314</v>
      </c>
      <c r="D1" t="s">
        <v>1323</v>
      </c>
      <c r="E1" t="s">
        <v>1324</v>
      </c>
      <c r="F1" t="s">
        <v>1325</v>
      </c>
      <c r="G1" t="s">
        <v>1326</v>
      </c>
      <c r="H1" t="s">
        <v>1300</v>
      </c>
      <c r="I1" t="s">
        <v>1301</v>
      </c>
      <c r="J1" t="s">
        <v>1302</v>
      </c>
      <c r="K1" t="s">
        <v>1322</v>
      </c>
      <c r="L1" t="s">
        <v>1303</v>
      </c>
      <c r="M1" t="s">
        <v>1304</v>
      </c>
      <c r="N1" t="s">
        <v>1305</v>
      </c>
      <c r="O1" t="s">
        <v>1306</v>
      </c>
      <c r="P1" t="s">
        <v>1307</v>
      </c>
    </row>
    <row r="2" spans="1:16" hidden="1" x14ac:dyDescent="0.25">
      <c r="A2" t="s">
        <v>309</v>
      </c>
      <c r="B2" t="s">
        <v>1383</v>
      </c>
      <c r="D2">
        <v>0</v>
      </c>
      <c r="F2">
        <v>16</v>
      </c>
      <c r="G2">
        <v>0</v>
      </c>
      <c r="H2">
        <v>3513</v>
      </c>
      <c r="I2">
        <v>690</v>
      </c>
      <c r="J2">
        <v>706</v>
      </c>
      <c r="K2">
        <v>706</v>
      </c>
      <c r="L2">
        <v>0.20096783376031899</v>
      </c>
      <c r="M2" t="s">
        <v>653</v>
      </c>
      <c r="N2" t="s">
        <v>653</v>
      </c>
      <c r="O2" t="s">
        <v>653</v>
      </c>
      <c r="P2" t="s">
        <v>653</v>
      </c>
    </row>
    <row r="3" spans="1:16" x14ac:dyDescent="0.25">
      <c r="A3" t="s">
        <v>260</v>
      </c>
      <c r="B3" t="s">
        <v>261</v>
      </c>
      <c r="D3">
        <v>0</v>
      </c>
      <c r="F3">
        <v>0</v>
      </c>
      <c r="G3">
        <v>0</v>
      </c>
      <c r="H3">
        <v>748</v>
      </c>
      <c r="I3">
        <v>66</v>
      </c>
      <c r="J3">
        <v>66</v>
      </c>
      <c r="K3">
        <v>66</v>
      </c>
      <c r="L3">
        <v>8.8235294117647106E-2</v>
      </c>
      <c r="M3" t="s">
        <v>653</v>
      </c>
      <c r="N3" t="s">
        <v>88</v>
      </c>
      <c r="O3" t="s">
        <v>653</v>
      </c>
      <c r="P3" t="s">
        <v>653</v>
      </c>
    </row>
    <row r="4" spans="1:16" hidden="1" x14ac:dyDescent="0.25">
      <c r="A4" t="s">
        <v>262</v>
      </c>
      <c r="B4" t="s">
        <v>263</v>
      </c>
      <c r="D4">
        <v>0</v>
      </c>
      <c r="F4">
        <v>0</v>
      </c>
      <c r="G4">
        <v>0</v>
      </c>
      <c r="H4">
        <v>99</v>
      </c>
      <c r="I4">
        <v>18</v>
      </c>
      <c r="J4">
        <v>18</v>
      </c>
      <c r="K4">
        <v>18</v>
      </c>
      <c r="L4">
        <v>0.18181818181818199</v>
      </c>
      <c r="M4" t="s">
        <v>653</v>
      </c>
      <c r="N4" t="s">
        <v>653</v>
      </c>
      <c r="O4" t="s">
        <v>653</v>
      </c>
      <c r="P4" t="s">
        <v>653</v>
      </c>
    </row>
    <row r="5" spans="1:16" x14ac:dyDescent="0.25">
      <c r="A5" t="s">
        <v>89</v>
      </c>
      <c r="B5" t="s">
        <v>90</v>
      </c>
      <c r="D5">
        <v>0</v>
      </c>
      <c r="F5">
        <v>12</v>
      </c>
      <c r="G5">
        <v>0</v>
      </c>
      <c r="H5">
        <v>2787</v>
      </c>
      <c r="I5">
        <v>225</v>
      </c>
      <c r="J5">
        <v>237</v>
      </c>
      <c r="K5">
        <v>237</v>
      </c>
      <c r="L5">
        <v>8.5037674919268003E-2</v>
      </c>
      <c r="M5" t="s">
        <v>653</v>
      </c>
      <c r="N5" t="s">
        <v>88</v>
      </c>
      <c r="O5" t="s">
        <v>653</v>
      </c>
      <c r="P5" t="s">
        <v>653</v>
      </c>
    </row>
    <row r="6" spans="1:16" x14ac:dyDescent="0.25">
      <c r="A6" t="s">
        <v>91</v>
      </c>
      <c r="B6" t="s">
        <v>92</v>
      </c>
      <c r="D6">
        <v>0</v>
      </c>
      <c r="F6">
        <v>9</v>
      </c>
      <c r="G6">
        <v>0</v>
      </c>
      <c r="H6">
        <v>5958</v>
      </c>
      <c r="I6">
        <v>533</v>
      </c>
      <c r="J6">
        <v>542</v>
      </c>
      <c r="K6">
        <v>542</v>
      </c>
      <c r="L6">
        <v>9.0970124202752606E-2</v>
      </c>
      <c r="M6" t="s">
        <v>653</v>
      </c>
      <c r="N6" t="s">
        <v>88</v>
      </c>
      <c r="O6" t="s">
        <v>653</v>
      </c>
      <c r="P6" t="s">
        <v>653</v>
      </c>
    </row>
    <row r="7" spans="1:16" x14ac:dyDescent="0.25">
      <c r="A7" t="s">
        <v>310</v>
      </c>
      <c r="B7" t="s">
        <v>311</v>
      </c>
      <c r="D7">
        <v>0</v>
      </c>
      <c r="F7">
        <v>0</v>
      </c>
      <c r="G7">
        <v>0</v>
      </c>
      <c r="H7">
        <v>489</v>
      </c>
      <c r="I7">
        <v>28</v>
      </c>
      <c r="J7">
        <v>28</v>
      </c>
      <c r="K7">
        <v>28</v>
      </c>
      <c r="L7">
        <v>5.72597137014315E-2</v>
      </c>
      <c r="M7" t="s">
        <v>653</v>
      </c>
      <c r="N7" t="s">
        <v>88</v>
      </c>
      <c r="O7" t="s">
        <v>653</v>
      </c>
      <c r="P7" t="s">
        <v>653</v>
      </c>
    </row>
    <row r="8" spans="1:16" hidden="1" x14ac:dyDescent="0.25">
      <c r="A8" t="s">
        <v>312</v>
      </c>
      <c r="B8" t="s">
        <v>313</v>
      </c>
      <c r="D8">
        <v>0</v>
      </c>
      <c r="F8">
        <v>102</v>
      </c>
      <c r="G8">
        <v>0</v>
      </c>
      <c r="H8">
        <v>18383</v>
      </c>
      <c r="I8">
        <v>2769</v>
      </c>
      <c r="J8">
        <v>2871</v>
      </c>
      <c r="K8">
        <v>2871</v>
      </c>
      <c r="L8">
        <v>0.15617690257302899</v>
      </c>
      <c r="M8" t="s">
        <v>653</v>
      </c>
      <c r="N8" t="s">
        <v>653</v>
      </c>
      <c r="O8" t="s">
        <v>653</v>
      </c>
      <c r="P8" t="s">
        <v>653</v>
      </c>
    </row>
    <row r="9" spans="1:16" x14ac:dyDescent="0.25">
      <c r="A9" t="s">
        <v>93</v>
      </c>
      <c r="B9" t="s">
        <v>94</v>
      </c>
      <c r="D9">
        <v>0</v>
      </c>
      <c r="F9">
        <v>1</v>
      </c>
      <c r="G9">
        <v>0</v>
      </c>
      <c r="H9">
        <v>3972</v>
      </c>
      <c r="I9">
        <v>150</v>
      </c>
      <c r="J9">
        <v>151</v>
      </c>
      <c r="K9">
        <v>151</v>
      </c>
      <c r="L9">
        <v>3.8016112789526699E-2</v>
      </c>
      <c r="M9" t="s">
        <v>653</v>
      </c>
      <c r="N9" t="s">
        <v>88</v>
      </c>
      <c r="O9" t="s">
        <v>88</v>
      </c>
      <c r="P9" t="s">
        <v>88</v>
      </c>
    </row>
    <row r="10" spans="1:16" x14ac:dyDescent="0.25">
      <c r="A10" t="s">
        <v>95</v>
      </c>
      <c r="B10" t="s">
        <v>96</v>
      </c>
      <c r="D10">
        <v>0</v>
      </c>
      <c r="F10">
        <v>32</v>
      </c>
      <c r="G10">
        <v>0</v>
      </c>
      <c r="H10">
        <v>15940</v>
      </c>
      <c r="I10">
        <v>860</v>
      </c>
      <c r="J10">
        <v>892</v>
      </c>
      <c r="K10">
        <v>892</v>
      </c>
      <c r="L10">
        <v>5.5959849435382701E-2</v>
      </c>
      <c r="M10" t="s">
        <v>653</v>
      </c>
      <c r="N10" t="s">
        <v>88</v>
      </c>
      <c r="O10" t="s">
        <v>653</v>
      </c>
      <c r="P10" t="s">
        <v>653</v>
      </c>
    </row>
    <row r="11" spans="1:16" x14ac:dyDescent="0.25">
      <c r="A11" t="s">
        <v>97</v>
      </c>
      <c r="B11" t="s">
        <v>98</v>
      </c>
      <c r="D11">
        <v>0</v>
      </c>
      <c r="F11">
        <v>9</v>
      </c>
      <c r="G11">
        <v>0</v>
      </c>
      <c r="H11">
        <v>22497</v>
      </c>
      <c r="I11">
        <v>1453</v>
      </c>
      <c r="J11">
        <v>1462</v>
      </c>
      <c r="K11">
        <v>1462</v>
      </c>
      <c r="L11">
        <v>6.4986442636795996E-2</v>
      </c>
      <c r="M11" t="s">
        <v>653</v>
      </c>
      <c r="N11" t="s">
        <v>88</v>
      </c>
      <c r="O11" t="s">
        <v>653</v>
      </c>
      <c r="P11" t="s">
        <v>653</v>
      </c>
    </row>
    <row r="12" spans="1:16" x14ac:dyDescent="0.25">
      <c r="A12" t="s">
        <v>56</v>
      </c>
      <c r="B12" t="s">
        <v>1385</v>
      </c>
      <c r="C12" t="s">
        <v>56</v>
      </c>
      <c r="D12">
        <v>0</v>
      </c>
      <c r="F12">
        <v>29</v>
      </c>
      <c r="G12">
        <v>0</v>
      </c>
      <c r="H12">
        <v>12458.40566285065</v>
      </c>
      <c r="I12">
        <v>1314.7350763535394</v>
      </c>
      <c r="J12">
        <v>1343.7350763535394</v>
      </c>
      <c r="K12">
        <v>1352</v>
      </c>
      <c r="L12">
        <v>0.107857707696931</v>
      </c>
      <c r="M12" t="s">
        <v>653</v>
      </c>
      <c r="N12" t="s">
        <v>88</v>
      </c>
      <c r="O12" t="s">
        <v>653</v>
      </c>
      <c r="P12" t="s">
        <v>653</v>
      </c>
    </row>
    <row r="13" spans="1:16" x14ac:dyDescent="0.25">
      <c r="A13" t="s">
        <v>99</v>
      </c>
      <c r="B13" t="s">
        <v>100</v>
      </c>
      <c r="D13">
        <v>0</v>
      </c>
      <c r="F13">
        <v>0</v>
      </c>
      <c r="G13">
        <v>0</v>
      </c>
      <c r="H13">
        <v>16</v>
      </c>
      <c r="I13">
        <v>2</v>
      </c>
      <c r="J13">
        <v>2</v>
      </c>
      <c r="K13">
        <v>2</v>
      </c>
      <c r="L13">
        <v>0.125</v>
      </c>
      <c r="M13" t="s">
        <v>88</v>
      </c>
      <c r="N13" t="s">
        <v>88</v>
      </c>
      <c r="O13" t="s">
        <v>88</v>
      </c>
      <c r="P13" t="s">
        <v>88</v>
      </c>
    </row>
    <row r="14" spans="1:16" x14ac:dyDescent="0.25">
      <c r="A14" t="s">
        <v>264</v>
      </c>
      <c r="B14" t="s">
        <v>265</v>
      </c>
      <c r="D14">
        <v>0</v>
      </c>
      <c r="F14">
        <v>70</v>
      </c>
      <c r="G14">
        <v>0</v>
      </c>
      <c r="H14">
        <v>24321</v>
      </c>
      <c r="I14">
        <v>2440</v>
      </c>
      <c r="J14">
        <v>2510</v>
      </c>
      <c r="K14">
        <v>2510</v>
      </c>
      <c r="L14">
        <v>0.103202993297973</v>
      </c>
      <c r="M14" t="s">
        <v>653</v>
      </c>
      <c r="N14" t="s">
        <v>88</v>
      </c>
      <c r="O14" t="s">
        <v>653</v>
      </c>
      <c r="P14" t="s">
        <v>653</v>
      </c>
    </row>
    <row r="15" spans="1:16" x14ac:dyDescent="0.25">
      <c r="A15" t="s">
        <v>314</v>
      </c>
      <c r="B15" t="s">
        <v>315</v>
      </c>
      <c r="D15">
        <v>0</v>
      </c>
      <c r="F15">
        <v>0</v>
      </c>
      <c r="G15">
        <v>0</v>
      </c>
      <c r="H15">
        <v>79</v>
      </c>
      <c r="I15">
        <v>9</v>
      </c>
      <c r="J15">
        <v>9</v>
      </c>
      <c r="K15">
        <v>9</v>
      </c>
      <c r="L15">
        <v>0.113924050632911</v>
      </c>
      <c r="M15" t="s">
        <v>88</v>
      </c>
      <c r="N15" t="s">
        <v>88</v>
      </c>
      <c r="O15" t="s">
        <v>88</v>
      </c>
      <c r="P15" t="s">
        <v>88</v>
      </c>
    </row>
    <row r="16" spans="1:16" x14ac:dyDescent="0.25">
      <c r="A16" t="s">
        <v>316</v>
      </c>
      <c r="B16" t="s">
        <v>317</v>
      </c>
      <c r="D16">
        <v>0</v>
      </c>
      <c r="F16">
        <v>6</v>
      </c>
      <c r="G16">
        <v>0</v>
      </c>
      <c r="H16">
        <v>2479</v>
      </c>
      <c r="I16">
        <v>302</v>
      </c>
      <c r="J16">
        <v>308</v>
      </c>
      <c r="K16">
        <v>308</v>
      </c>
      <c r="L16">
        <v>0.12424364663170601</v>
      </c>
      <c r="M16" t="s">
        <v>653</v>
      </c>
      <c r="N16" t="s">
        <v>88</v>
      </c>
      <c r="O16" t="s">
        <v>653</v>
      </c>
      <c r="P16" t="s">
        <v>653</v>
      </c>
    </row>
    <row r="17" spans="1:16" x14ac:dyDescent="0.25">
      <c r="A17" t="s">
        <v>318</v>
      </c>
      <c r="B17" t="s">
        <v>319</v>
      </c>
      <c r="D17">
        <v>0</v>
      </c>
      <c r="F17">
        <v>0</v>
      </c>
      <c r="G17">
        <v>0</v>
      </c>
      <c r="H17">
        <v>218</v>
      </c>
      <c r="I17">
        <v>22</v>
      </c>
      <c r="J17">
        <v>22</v>
      </c>
      <c r="K17">
        <v>22</v>
      </c>
      <c r="L17">
        <v>0.100917431192661</v>
      </c>
      <c r="M17" t="s">
        <v>653</v>
      </c>
      <c r="N17" t="s">
        <v>88</v>
      </c>
      <c r="O17" t="s">
        <v>653</v>
      </c>
      <c r="P17" t="s">
        <v>653</v>
      </c>
    </row>
    <row r="18" spans="1:16" hidden="1" x14ac:dyDescent="0.25">
      <c r="A18" t="s">
        <v>55</v>
      </c>
      <c r="B18" t="s">
        <v>9</v>
      </c>
      <c r="C18" t="s">
        <v>55</v>
      </c>
      <c r="D18">
        <v>0</v>
      </c>
      <c r="F18">
        <v>17</v>
      </c>
      <c r="G18">
        <v>0</v>
      </c>
      <c r="H18">
        <v>4858.0760630864461</v>
      </c>
      <c r="I18">
        <v>772.3934303844718</v>
      </c>
      <c r="J18">
        <v>789.3934303844718</v>
      </c>
      <c r="K18">
        <v>871</v>
      </c>
      <c r="L18">
        <v>0.162490957352972</v>
      </c>
      <c r="M18" t="s">
        <v>653</v>
      </c>
      <c r="N18" t="s">
        <v>653</v>
      </c>
      <c r="O18" t="s">
        <v>653</v>
      </c>
      <c r="P18" t="s">
        <v>653</v>
      </c>
    </row>
    <row r="19" spans="1:16" hidden="1" x14ac:dyDescent="0.25">
      <c r="A19" t="s">
        <v>320</v>
      </c>
      <c r="B19" t="s">
        <v>321</v>
      </c>
      <c r="D19">
        <v>0</v>
      </c>
      <c r="F19">
        <v>0</v>
      </c>
      <c r="G19">
        <v>0</v>
      </c>
      <c r="H19">
        <v>949</v>
      </c>
      <c r="I19">
        <v>242</v>
      </c>
      <c r="J19">
        <v>242</v>
      </c>
      <c r="K19">
        <v>242</v>
      </c>
      <c r="L19">
        <v>0.255005268703899</v>
      </c>
      <c r="M19" t="s">
        <v>653</v>
      </c>
      <c r="N19" t="s">
        <v>653</v>
      </c>
      <c r="O19" t="s">
        <v>653</v>
      </c>
      <c r="P19" t="s">
        <v>653</v>
      </c>
    </row>
    <row r="20" spans="1:16" hidden="1" x14ac:dyDescent="0.25">
      <c r="A20" t="s">
        <v>322</v>
      </c>
      <c r="B20" t="s">
        <v>323</v>
      </c>
      <c r="D20">
        <v>0</v>
      </c>
      <c r="F20">
        <v>0</v>
      </c>
      <c r="G20">
        <v>0</v>
      </c>
      <c r="H20">
        <v>682</v>
      </c>
      <c r="I20">
        <v>155</v>
      </c>
      <c r="J20">
        <v>155</v>
      </c>
      <c r="K20">
        <v>155</v>
      </c>
      <c r="L20">
        <v>0.22727272727272699</v>
      </c>
      <c r="M20" t="s">
        <v>653</v>
      </c>
      <c r="N20" t="s">
        <v>653</v>
      </c>
      <c r="O20" t="s">
        <v>653</v>
      </c>
      <c r="P20" t="s">
        <v>653</v>
      </c>
    </row>
    <row r="21" spans="1:16" hidden="1" x14ac:dyDescent="0.25">
      <c r="A21" t="s">
        <v>324</v>
      </c>
      <c r="B21" t="s">
        <v>325</v>
      </c>
      <c r="D21">
        <v>0</v>
      </c>
      <c r="F21">
        <v>0</v>
      </c>
      <c r="G21">
        <v>0</v>
      </c>
      <c r="H21">
        <v>112</v>
      </c>
      <c r="I21">
        <v>25</v>
      </c>
      <c r="J21">
        <v>25</v>
      </c>
      <c r="K21">
        <v>25</v>
      </c>
      <c r="L21">
        <v>0.223214285714286</v>
      </c>
      <c r="M21" t="s">
        <v>653</v>
      </c>
      <c r="N21" t="s">
        <v>653</v>
      </c>
      <c r="O21" t="s">
        <v>653</v>
      </c>
      <c r="P21" t="s">
        <v>653</v>
      </c>
    </row>
    <row r="22" spans="1:16" x14ac:dyDescent="0.25">
      <c r="A22" t="s">
        <v>326</v>
      </c>
      <c r="B22" t="s">
        <v>327</v>
      </c>
      <c r="D22">
        <v>0</v>
      </c>
      <c r="F22">
        <v>7</v>
      </c>
      <c r="G22">
        <v>0</v>
      </c>
      <c r="H22">
        <v>3667</v>
      </c>
      <c r="I22">
        <v>390</v>
      </c>
      <c r="J22">
        <v>397</v>
      </c>
      <c r="K22">
        <v>397</v>
      </c>
      <c r="L22">
        <v>0.10826288519225501</v>
      </c>
      <c r="M22" t="s">
        <v>653</v>
      </c>
      <c r="N22" t="s">
        <v>88</v>
      </c>
      <c r="O22" t="s">
        <v>653</v>
      </c>
      <c r="P22" t="s">
        <v>653</v>
      </c>
    </row>
    <row r="23" spans="1:16" x14ac:dyDescent="0.25">
      <c r="A23" t="s">
        <v>101</v>
      </c>
      <c r="B23" t="s">
        <v>102</v>
      </c>
      <c r="D23">
        <v>0</v>
      </c>
      <c r="F23">
        <v>9</v>
      </c>
      <c r="G23">
        <v>0</v>
      </c>
      <c r="H23">
        <v>7463</v>
      </c>
      <c r="I23">
        <v>263</v>
      </c>
      <c r="J23">
        <v>272</v>
      </c>
      <c r="K23">
        <v>272</v>
      </c>
      <c r="L23">
        <v>3.6446469248291598E-2</v>
      </c>
      <c r="M23" t="s">
        <v>653</v>
      </c>
      <c r="N23" t="s">
        <v>88</v>
      </c>
      <c r="O23" t="s">
        <v>88</v>
      </c>
      <c r="P23" t="s">
        <v>88</v>
      </c>
    </row>
    <row r="24" spans="1:16" x14ac:dyDescent="0.25">
      <c r="A24" t="s">
        <v>328</v>
      </c>
      <c r="B24" t="s">
        <v>329</v>
      </c>
      <c r="D24">
        <v>0</v>
      </c>
      <c r="F24">
        <v>0</v>
      </c>
      <c r="G24">
        <v>0</v>
      </c>
      <c r="H24">
        <v>545</v>
      </c>
      <c r="I24">
        <v>81</v>
      </c>
      <c r="J24">
        <v>81</v>
      </c>
      <c r="K24">
        <v>81</v>
      </c>
      <c r="L24">
        <v>0.14862385321100899</v>
      </c>
      <c r="M24" t="s">
        <v>653</v>
      </c>
      <c r="N24" t="s">
        <v>88</v>
      </c>
      <c r="O24" t="s">
        <v>653</v>
      </c>
      <c r="P24" t="s">
        <v>653</v>
      </c>
    </row>
    <row r="25" spans="1:16" x14ac:dyDescent="0.25">
      <c r="A25" t="s">
        <v>103</v>
      </c>
      <c r="B25" t="s">
        <v>104</v>
      </c>
      <c r="D25">
        <v>0</v>
      </c>
      <c r="F25">
        <v>0</v>
      </c>
      <c r="G25">
        <v>0</v>
      </c>
      <c r="H25">
        <v>209</v>
      </c>
      <c r="I25">
        <v>4</v>
      </c>
      <c r="J25">
        <v>4</v>
      </c>
      <c r="K25">
        <v>4</v>
      </c>
      <c r="L25">
        <v>1.9138755980861202E-2</v>
      </c>
      <c r="M25" t="s">
        <v>88</v>
      </c>
      <c r="N25" t="s">
        <v>88</v>
      </c>
      <c r="O25" t="s">
        <v>88</v>
      </c>
      <c r="P25" t="s">
        <v>88</v>
      </c>
    </row>
    <row r="26" spans="1:16" x14ac:dyDescent="0.25">
      <c r="A26" t="s">
        <v>330</v>
      </c>
      <c r="B26" t="s">
        <v>331</v>
      </c>
      <c r="D26">
        <v>0</v>
      </c>
      <c r="F26">
        <v>0</v>
      </c>
      <c r="G26">
        <v>0</v>
      </c>
      <c r="H26">
        <v>1565</v>
      </c>
      <c r="I26">
        <v>153</v>
      </c>
      <c r="J26">
        <v>153</v>
      </c>
      <c r="K26">
        <v>153</v>
      </c>
      <c r="L26">
        <v>9.7763578274760399E-2</v>
      </c>
      <c r="M26" t="s">
        <v>653</v>
      </c>
      <c r="N26" t="s">
        <v>88</v>
      </c>
      <c r="O26" t="s">
        <v>653</v>
      </c>
      <c r="P26" t="s">
        <v>653</v>
      </c>
    </row>
    <row r="27" spans="1:16" x14ac:dyDescent="0.25">
      <c r="A27" t="s">
        <v>332</v>
      </c>
      <c r="B27" t="s">
        <v>333</v>
      </c>
      <c r="D27">
        <v>0</v>
      </c>
      <c r="F27">
        <v>5</v>
      </c>
      <c r="G27">
        <v>0</v>
      </c>
      <c r="H27">
        <v>1507</v>
      </c>
      <c r="I27">
        <v>159</v>
      </c>
      <c r="J27">
        <v>164</v>
      </c>
      <c r="K27">
        <v>164</v>
      </c>
      <c r="L27">
        <v>0.108825481088255</v>
      </c>
      <c r="M27" t="s">
        <v>653</v>
      </c>
      <c r="N27" t="s">
        <v>88</v>
      </c>
      <c r="O27" t="s">
        <v>653</v>
      </c>
      <c r="P27" t="s">
        <v>653</v>
      </c>
    </row>
    <row r="28" spans="1:16" x14ac:dyDescent="0.25">
      <c r="A28" t="s">
        <v>105</v>
      </c>
      <c r="B28" t="s">
        <v>106</v>
      </c>
      <c r="D28">
        <v>0</v>
      </c>
      <c r="F28">
        <v>5</v>
      </c>
      <c r="G28">
        <v>0</v>
      </c>
      <c r="H28">
        <v>1661</v>
      </c>
      <c r="I28">
        <v>188</v>
      </c>
      <c r="J28">
        <v>193</v>
      </c>
      <c r="K28">
        <v>193</v>
      </c>
      <c r="L28">
        <v>0.116195063214931</v>
      </c>
      <c r="M28" t="s">
        <v>653</v>
      </c>
      <c r="N28" t="s">
        <v>88</v>
      </c>
      <c r="O28" t="s">
        <v>653</v>
      </c>
      <c r="P28" t="s">
        <v>653</v>
      </c>
    </row>
    <row r="29" spans="1:16" x14ac:dyDescent="0.25">
      <c r="A29" t="s">
        <v>66</v>
      </c>
      <c r="B29" t="s">
        <v>1396</v>
      </c>
      <c r="C29" t="s">
        <v>55</v>
      </c>
      <c r="D29">
        <v>0</v>
      </c>
      <c r="E29">
        <v>0</v>
      </c>
      <c r="F29">
        <v>0</v>
      </c>
      <c r="G29">
        <v>0</v>
      </c>
      <c r="H29">
        <v>616.82810940307536</v>
      </c>
      <c r="I29">
        <v>65.667786487495334</v>
      </c>
      <c r="J29">
        <v>65.667786487495334</v>
      </c>
      <c r="K29">
        <v>0</v>
      </c>
      <c r="L29">
        <v>0.10646043117432499</v>
      </c>
      <c r="M29" t="s">
        <v>653</v>
      </c>
      <c r="N29" t="s">
        <v>88</v>
      </c>
      <c r="O29" t="s">
        <v>653</v>
      </c>
      <c r="P29" t="s">
        <v>653</v>
      </c>
    </row>
    <row r="30" spans="1:16" hidden="1" x14ac:dyDescent="0.25">
      <c r="A30" t="s">
        <v>334</v>
      </c>
      <c r="B30" t="s">
        <v>335</v>
      </c>
      <c r="D30">
        <v>0</v>
      </c>
      <c r="F30">
        <v>0</v>
      </c>
      <c r="G30">
        <v>0</v>
      </c>
      <c r="H30">
        <v>94</v>
      </c>
      <c r="I30">
        <v>24</v>
      </c>
      <c r="J30">
        <v>24</v>
      </c>
      <c r="K30">
        <v>24</v>
      </c>
      <c r="L30">
        <v>0.25531914893617003</v>
      </c>
      <c r="M30" t="s">
        <v>653</v>
      </c>
      <c r="N30" t="s">
        <v>653</v>
      </c>
      <c r="O30" t="s">
        <v>653</v>
      </c>
      <c r="P30" t="s">
        <v>653</v>
      </c>
    </row>
    <row r="31" spans="1:16" x14ac:dyDescent="0.25">
      <c r="A31" t="s">
        <v>107</v>
      </c>
      <c r="B31" t="s">
        <v>108</v>
      </c>
      <c r="D31">
        <v>0</v>
      </c>
      <c r="F31">
        <v>20</v>
      </c>
      <c r="G31">
        <v>0</v>
      </c>
      <c r="H31">
        <v>11141</v>
      </c>
      <c r="I31">
        <v>763</v>
      </c>
      <c r="J31">
        <v>783</v>
      </c>
      <c r="K31">
        <v>783</v>
      </c>
      <c r="L31">
        <v>7.0280944259940803E-2</v>
      </c>
      <c r="M31" t="s">
        <v>653</v>
      </c>
      <c r="N31" t="s">
        <v>88</v>
      </c>
      <c r="O31" t="s">
        <v>653</v>
      </c>
      <c r="P31" t="s">
        <v>653</v>
      </c>
    </row>
    <row r="32" spans="1:16" x14ac:dyDescent="0.25">
      <c r="A32" t="s">
        <v>266</v>
      </c>
      <c r="B32" t="s">
        <v>267</v>
      </c>
      <c r="D32">
        <v>0</v>
      </c>
      <c r="F32">
        <v>47</v>
      </c>
      <c r="G32">
        <v>0</v>
      </c>
      <c r="H32">
        <v>17143</v>
      </c>
      <c r="I32">
        <v>1391</v>
      </c>
      <c r="J32">
        <v>1438</v>
      </c>
      <c r="K32">
        <v>1438</v>
      </c>
      <c r="L32">
        <v>8.3882634311380697E-2</v>
      </c>
      <c r="M32" t="s">
        <v>653</v>
      </c>
      <c r="N32" t="s">
        <v>88</v>
      </c>
      <c r="O32" t="s">
        <v>653</v>
      </c>
      <c r="P32" t="s">
        <v>653</v>
      </c>
    </row>
    <row r="33" spans="1:16" hidden="1" x14ac:dyDescent="0.25">
      <c r="A33" t="s">
        <v>336</v>
      </c>
      <c r="B33" t="s">
        <v>337</v>
      </c>
      <c r="D33">
        <v>0</v>
      </c>
      <c r="F33">
        <v>22</v>
      </c>
      <c r="G33">
        <v>0</v>
      </c>
      <c r="H33">
        <v>4334</v>
      </c>
      <c r="I33">
        <v>840</v>
      </c>
      <c r="J33">
        <v>862</v>
      </c>
      <c r="K33">
        <v>862</v>
      </c>
      <c r="L33">
        <v>0.198892478080295</v>
      </c>
      <c r="M33" t="s">
        <v>653</v>
      </c>
      <c r="N33" t="s">
        <v>653</v>
      </c>
      <c r="O33" t="s">
        <v>653</v>
      </c>
      <c r="P33" t="s">
        <v>653</v>
      </c>
    </row>
    <row r="34" spans="1:16" x14ac:dyDescent="0.25">
      <c r="A34" t="s">
        <v>338</v>
      </c>
      <c r="B34" t="s">
        <v>339</v>
      </c>
      <c r="D34">
        <v>0</v>
      </c>
      <c r="F34">
        <v>15</v>
      </c>
      <c r="G34">
        <v>0</v>
      </c>
      <c r="H34">
        <v>2898</v>
      </c>
      <c r="I34">
        <v>394</v>
      </c>
      <c r="J34">
        <v>409</v>
      </c>
      <c r="K34">
        <v>409</v>
      </c>
      <c r="L34">
        <v>0.141131815044859</v>
      </c>
      <c r="M34" t="s">
        <v>653</v>
      </c>
      <c r="N34" t="s">
        <v>88</v>
      </c>
      <c r="O34" t="s">
        <v>653</v>
      </c>
      <c r="P34" t="s">
        <v>653</v>
      </c>
    </row>
    <row r="35" spans="1:16" x14ac:dyDescent="0.25">
      <c r="A35" t="s">
        <v>268</v>
      </c>
      <c r="B35" t="s">
        <v>269</v>
      </c>
      <c r="D35">
        <v>0</v>
      </c>
      <c r="F35">
        <v>16</v>
      </c>
      <c r="G35">
        <v>0</v>
      </c>
      <c r="H35">
        <v>6286</v>
      </c>
      <c r="I35">
        <v>697</v>
      </c>
      <c r="J35">
        <v>713</v>
      </c>
      <c r="K35">
        <v>713</v>
      </c>
      <c r="L35">
        <v>0.113426662424435</v>
      </c>
      <c r="M35" t="s">
        <v>653</v>
      </c>
      <c r="N35" t="s">
        <v>88</v>
      </c>
      <c r="O35" t="s">
        <v>653</v>
      </c>
      <c r="P35" t="s">
        <v>653</v>
      </c>
    </row>
    <row r="36" spans="1:16" hidden="1" x14ac:dyDescent="0.25">
      <c r="A36" t="s">
        <v>340</v>
      </c>
      <c r="B36" t="s">
        <v>341</v>
      </c>
      <c r="D36">
        <v>0</v>
      </c>
      <c r="F36">
        <v>1</v>
      </c>
      <c r="G36">
        <v>0</v>
      </c>
      <c r="H36">
        <v>945</v>
      </c>
      <c r="I36">
        <v>152</v>
      </c>
      <c r="J36">
        <v>153</v>
      </c>
      <c r="K36">
        <v>153</v>
      </c>
      <c r="L36">
        <v>0.161904761904762</v>
      </c>
      <c r="M36" t="s">
        <v>653</v>
      </c>
      <c r="N36" t="s">
        <v>653</v>
      </c>
      <c r="O36" t="s">
        <v>653</v>
      </c>
      <c r="P36" t="s">
        <v>653</v>
      </c>
    </row>
    <row r="37" spans="1:16" x14ac:dyDescent="0.25">
      <c r="A37" t="s">
        <v>109</v>
      </c>
      <c r="B37" t="s">
        <v>110</v>
      </c>
      <c r="D37">
        <v>0</v>
      </c>
      <c r="F37">
        <v>4</v>
      </c>
      <c r="G37">
        <v>0</v>
      </c>
      <c r="H37">
        <v>1118</v>
      </c>
      <c r="I37">
        <v>148</v>
      </c>
      <c r="J37">
        <v>152</v>
      </c>
      <c r="K37">
        <v>152</v>
      </c>
      <c r="L37">
        <v>0.135957066189624</v>
      </c>
      <c r="M37" t="s">
        <v>653</v>
      </c>
      <c r="N37" t="s">
        <v>88</v>
      </c>
      <c r="O37" t="s">
        <v>653</v>
      </c>
      <c r="P37" t="s">
        <v>653</v>
      </c>
    </row>
    <row r="38" spans="1:16" hidden="1" x14ac:dyDescent="0.25">
      <c r="A38" t="s">
        <v>342</v>
      </c>
      <c r="B38" t="s">
        <v>343</v>
      </c>
      <c r="D38">
        <v>0</v>
      </c>
      <c r="F38">
        <v>22</v>
      </c>
      <c r="G38">
        <v>0</v>
      </c>
      <c r="H38">
        <v>2773</v>
      </c>
      <c r="I38">
        <v>507</v>
      </c>
      <c r="J38">
        <v>529</v>
      </c>
      <c r="K38">
        <v>529</v>
      </c>
      <c r="L38">
        <v>0.19076812116840999</v>
      </c>
      <c r="M38" t="s">
        <v>653</v>
      </c>
      <c r="N38" t="s">
        <v>653</v>
      </c>
      <c r="O38" t="s">
        <v>653</v>
      </c>
      <c r="P38" t="s">
        <v>653</v>
      </c>
    </row>
    <row r="39" spans="1:16" x14ac:dyDescent="0.25">
      <c r="A39" t="s">
        <v>344</v>
      </c>
      <c r="B39" t="s">
        <v>345</v>
      </c>
      <c r="D39">
        <v>0</v>
      </c>
      <c r="F39">
        <v>1</v>
      </c>
      <c r="G39">
        <v>0</v>
      </c>
      <c r="H39">
        <v>1078</v>
      </c>
      <c r="I39">
        <v>152</v>
      </c>
      <c r="J39">
        <v>153</v>
      </c>
      <c r="K39">
        <v>153</v>
      </c>
      <c r="L39">
        <v>0.141929499072356</v>
      </c>
      <c r="M39" t="s">
        <v>653</v>
      </c>
      <c r="N39" t="s">
        <v>88</v>
      </c>
      <c r="O39" t="s">
        <v>653</v>
      </c>
      <c r="P39" t="s">
        <v>653</v>
      </c>
    </row>
    <row r="40" spans="1:16" hidden="1" x14ac:dyDescent="0.25">
      <c r="A40" t="s">
        <v>346</v>
      </c>
      <c r="B40" t="s">
        <v>347</v>
      </c>
      <c r="D40">
        <v>0</v>
      </c>
      <c r="F40">
        <v>31</v>
      </c>
      <c r="G40">
        <v>0</v>
      </c>
      <c r="H40">
        <v>13789</v>
      </c>
      <c r="I40">
        <v>2049</v>
      </c>
      <c r="J40">
        <v>2080</v>
      </c>
      <c r="K40">
        <v>2080</v>
      </c>
      <c r="L40">
        <v>0.150844876350714</v>
      </c>
      <c r="M40" t="s">
        <v>653</v>
      </c>
      <c r="N40" t="s">
        <v>653</v>
      </c>
      <c r="O40" t="s">
        <v>653</v>
      </c>
      <c r="P40" t="s">
        <v>653</v>
      </c>
    </row>
    <row r="41" spans="1:16" x14ac:dyDescent="0.25">
      <c r="A41" t="s">
        <v>270</v>
      </c>
      <c r="B41" t="s">
        <v>271</v>
      </c>
      <c r="D41">
        <v>0</v>
      </c>
      <c r="F41">
        <v>0</v>
      </c>
      <c r="G41">
        <v>0</v>
      </c>
      <c r="H41">
        <v>622</v>
      </c>
      <c r="I41">
        <v>61</v>
      </c>
      <c r="J41">
        <v>61</v>
      </c>
      <c r="K41">
        <v>61</v>
      </c>
      <c r="L41">
        <v>9.8070739549839206E-2</v>
      </c>
      <c r="M41" t="s">
        <v>653</v>
      </c>
      <c r="N41" t="s">
        <v>88</v>
      </c>
      <c r="O41" t="s">
        <v>653</v>
      </c>
      <c r="P41" t="s">
        <v>653</v>
      </c>
    </row>
    <row r="42" spans="1:16" x14ac:dyDescent="0.25">
      <c r="A42" t="s">
        <v>348</v>
      </c>
      <c r="B42" t="s">
        <v>349</v>
      </c>
      <c r="D42">
        <v>0</v>
      </c>
      <c r="F42">
        <v>9</v>
      </c>
      <c r="G42">
        <v>0</v>
      </c>
      <c r="H42">
        <v>2043</v>
      </c>
      <c r="I42">
        <v>277</v>
      </c>
      <c r="J42">
        <v>286</v>
      </c>
      <c r="K42">
        <v>286</v>
      </c>
      <c r="L42">
        <v>0.13999021047479199</v>
      </c>
      <c r="M42" t="s">
        <v>653</v>
      </c>
      <c r="N42" t="s">
        <v>88</v>
      </c>
      <c r="O42" t="s">
        <v>653</v>
      </c>
      <c r="P42" t="s">
        <v>653</v>
      </c>
    </row>
    <row r="43" spans="1:16" x14ac:dyDescent="0.25">
      <c r="A43" t="s">
        <v>350</v>
      </c>
      <c r="B43" t="s">
        <v>351</v>
      </c>
      <c r="D43">
        <v>0</v>
      </c>
      <c r="F43">
        <v>0</v>
      </c>
      <c r="G43">
        <v>0</v>
      </c>
      <c r="H43">
        <v>250</v>
      </c>
      <c r="I43">
        <v>9</v>
      </c>
      <c r="J43">
        <v>9</v>
      </c>
      <c r="K43">
        <v>9</v>
      </c>
      <c r="L43">
        <v>3.5999999999999997E-2</v>
      </c>
      <c r="M43" t="s">
        <v>88</v>
      </c>
      <c r="N43" t="s">
        <v>88</v>
      </c>
      <c r="O43" t="s">
        <v>88</v>
      </c>
      <c r="P43" t="s">
        <v>88</v>
      </c>
    </row>
    <row r="44" spans="1:16" hidden="1" x14ac:dyDescent="0.25">
      <c r="A44" t="s">
        <v>352</v>
      </c>
      <c r="B44" t="s">
        <v>1388</v>
      </c>
      <c r="D44">
        <v>0</v>
      </c>
      <c r="F44">
        <v>1</v>
      </c>
      <c r="G44">
        <v>0</v>
      </c>
      <c r="H44">
        <v>206</v>
      </c>
      <c r="I44">
        <v>37</v>
      </c>
      <c r="J44">
        <v>38</v>
      </c>
      <c r="K44">
        <v>38</v>
      </c>
      <c r="L44">
        <v>0.18446601941747601</v>
      </c>
      <c r="M44" t="s">
        <v>653</v>
      </c>
      <c r="N44" t="s">
        <v>653</v>
      </c>
      <c r="O44" t="s">
        <v>653</v>
      </c>
      <c r="P44" t="s">
        <v>653</v>
      </c>
    </row>
    <row r="45" spans="1:16" x14ac:dyDescent="0.25">
      <c r="A45" t="s">
        <v>353</v>
      </c>
      <c r="B45" t="s">
        <v>1389</v>
      </c>
      <c r="D45">
        <v>0</v>
      </c>
      <c r="F45">
        <v>2</v>
      </c>
      <c r="G45">
        <v>0</v>
      </c>
      <c r="H45">
        <v>759</v>
      </c>
      <c r="I45">
        <v>105</v>
      </c>
      <c r="J45">
        <v>107</v>
      </c>
      <c r="K45">
        <v>107</v>
      </c>
      <c r="L45">
        <v>0.140974967061924</v>
      </c>
      <c r="M45" t="s">
        <v>653</v>
      </c>
      <c r="N45" t="s">
        <v>88</v>
      </c>
      <c r="O45" t="s">
        <v>653</v>
      </c>
      <c r="P45" t="s">
        <v>653</v>
      </c>
    </row>
    <row r="46" spans="1:16" hidden="1" x14ac:dyDescent="0.25">
      <c r="A46" t="s">
        <v>354</v>
      </c>
      <c r="B46" t="s">
        <v>355</v>
      </c>
      <c r="D46">
        <v>0</v>
      </c>
      <c r="F46">
        <v>2</v>
      </c>
      <c r="G46">
        <v>0</v>
      </c>
      <c r="H46">
        <v>2012</v>
      </c>
      <c r="I46">
        <v>340</v>
      </c>
      <c r="J46">
        <v>342</v>
      </c>
      <c r="K46">
        <v>342</v>
      </c>
      <c r="L46">
        <v>0.16998011928429399</v>
      </c>
      <c r="M46" t="s">
        <v>653</v>
      </c>
      <c r="N46" t="s">
        <v>653</v>
      </c>
      <c r="O46" t="s">
        <v>653</v>
      </c>
      <c r="P46" t="s">
        <v>653</v>
      </c>
    </row>
    <row r="47" spans="1:16" x14ac:dyDescent="0.25">
      <c r="A47" t="s">
        <v>356</v>
      </c>
      <c r="B47" t="s">
        <v>357</v>
      </c>
      <c r="D47">
        <v>0</v>
      </c>
      <c r="F47">
        <v>1</v>
      </c>
      <c r="G47">
        <v>0</v>
      </c>
      <c r="H47">
        <v>706</v>
      </c>
      <c r="I47">
        <v>97</v>
      </c>
      <c r="J47">
        <v>98</v>
      </c>
      <c r="K47">
        <v>98</v>
      </c>
      <c r="L47">
        <v>0.13881019830028299</v>
      </c>
      <c r="M47" t="s">
        <v>653</v>
      </c>
      <c r="N47" t="s">
        <v>88</v>
      </c>
      <c r="O47" t="s">
        <v>653</v>
      </c>
      <c r="P47" t="s">
        <v>653</v>
      </c>
    </row>
    <row r="48" spans="1:16" x14ac:dyDescent="0.25">
      <c r="A48" t="s">
        <v>111</v>
      </c>
      <c r="B48" t="s">
        <v>112</v>
      </c>
      <c r="D48">
        <v>0</v>
      </c>
      <c r="F48">
        <v>1</v>
      </c>
      <c r="G48">
        <v>0</v>
      </c>
      <c r="H48">
        <v>534</v>
      </c>
      <c r="I48">
        <v>45</v>
      </c>
      <c r="J48">
        <v>46</v>
      </c>
      <c r="K48">
        <v>46</v>
      </c>
      <c r="L48">
        <v>8.6142322097378293E-2</v>
      </c>
      <c r="M48" t="s">
        <v>653</v>
      </c>
      <c r="N48" t="s">
        <v>88</v>
      </c>
      <c r="O48" t="s">
        <v>653</v>
      </c>
      <c r="P48" t="s">
        <v>653</v>
      </c>
    </row>
    <row r="49" spans="1:16" x14ac:dyDescent="0.25">
      <c r="A49" t="s">
        <v>113</v>
      </c>
      <c r="B49" t="s">
        <v>114</v>
      </c>
      <c r="D49">
        <v>0</v>
      </c>
      <c r="F49">
        <v>0</v>
      </c>
      <c r="G49">
        <v>0</v>
      </c>
      <c r="H49">
        <v>315</v>
      </c>
      <c r="I49">
        <v>33</v>
      </c>
      <c r="J49">
        <v>33</v>
      </c>
      <c r="K49">
        <v>33</v>
      </c>
      <c r="L49">
        <v>0.104761904761905</v>
      </c>
      <c r="M49" t="s">
        <v>653</v>
      </c>
      <c r="N49" t="s">
        <v>88</v>
      </c>
      <c r="O49" t="s">
        <v>653</v>
      </c>
      <c r="P49" t="s">
        <v>653</v>
      </c>
    </row>
    <row r="50" spans="1:16" hidden="1" x14ac:dyDescent="0.25">
      <c r="A50" t="s">
        <v>358</v>
      </c>
      <c r="B50" t="s">
        <v>359</v>
      </c>
      <c r="D50">
        <v>0</v>
      </c>
      <c r="F50">
        <v>0</v>
      </c>
      <c r="G50">
        <v>0</v>
      </c>
      <c r="H50">
        <v>248</v>
      </c>
      <c r="I50">
        <v>49</v>
      </c>
      <c r="J50">
        <v>49</v>
      </c>
      <c r="K50">
        <v>49</v>
      </c>
      <c r="L50">
        <v>0.19758064516129001</v>
      </c>
      <c r="M50" t="s">
        <v>653</v>
      </c>
      <c r="N50" t="s">
        <v>653</v>
      </c>
      <c r="O50" t="s">
        <v>653</v>
      </c>
      <c r="P50" t="s">
        <v>653</v>
      </c>
    </row>
    <row r="51" spans="1:16" x14ac:dyDescent="0.25">
      <c r="A51" t="s">
        <v>360</v>
      </c>
      <c r="B51" t="s">
        <v>361</v>
      </c>
      <c r="D51">
        <v>0</v>
      </c>
      <c r="F51">
        <v>0</v>
      </c>
      <c r="G51">
        <v>0</v>
      </c>
      <c r="H51">
        <v>1081</v>
      </c>
      <c r="I51">
        <v>110</v>
      </c>
      <c r="J51">
        <v>110</v>
      </c>
      <c r="K51">
        <v>110</v>
      </c>
      <c r="L51">
        <v>0.10175763182238701</v>
      </c>
      <c r="M51" t="s">
        <v>653</v>
      </c>
      <c r="N51" t="s">
        <v>88</v>
      </c>
      <c r="O51" t="s">
        <v>653</v>
      </c>
      <c r="P51" t="s">
        <v>653</v>
      </c>
    </row>
    <row r="52" spans="1:16" hidden="1" x14ac:dyDescent="0.25">
      <c r="A52" t="s">
        <v>362</v>
      </c>
      <c r="B52" t="s">
        <v>363</v>
      </c>
      <c r="D52">
        <v>0</v>
      </c>
      <c r="F52">
        <v>5</v>
      </c>
      <c r="G52">
        <v>0</v>
      </c>
      <c r="H52">
        <v>342</v>
      </c>
      <c r="I52">
        <v>56</v>
      </c>
      <c r="J52">
        <v>61</v>
      </c>
      <c r="K52">
        <v>61</v>
      </c>
      <c r="L52">
        <v>0.178362573099415</v>
      </c>
      <c r="M52" t="s">
        <v>653</v>
      </c>
      <c r="N52" t="s">
        <v>653</v>
      </c>
      <c r="O52" t="s">
        <v>653</v>
      </c>
      <c r="P52" t="s">
        <v>653</v>
      </c>
    </row>
    <row r="53" spans="1:16" x14ac:dyDescent="0.25">
      <c r="A53" t="s">
        <v>364</v>
      </c>
      <c r="B53" t="s">
        <v>365</v>
      </c>
      <c r="D53">
        <v>0</v>
      </c>
      <c r="F53">
        <v>0</v>
      </c>
      <c r="G53">
        <v>0</v>
      </c>
      <c r="H53">
        <v>114</v>
      </c>
      <c r="I53">
        <v>14</v>
      </c>
      <c r="J53">
        <v>14</v>
      </c>
      <c r="K53">
        <v>14</v>
      </c>
      <c r="L53">
        <v>0.12280701754386</v>
      </c>
      <c r="M53" t="s">
        <v>653</v>
      </c>
      <c r="N53" t="s">
        <v>88</v>
      </c>
      <c r="O53" t="s">
        <v>653</v>
      </c>
      <c r="P53" t="s">
        <v>653</v>
      </c>
    </row>
    <row r="54" spans="1:16" hidden="1" x14ac:dyDescent="0.25">
      <c r="A54" t="s">
        <v>366</v>
      </c>
      <c r="B54" t="s">
        <v>367</v>
      </c>
      <c r="D54">
        <v>0</v>
      </c>
      <c r="F54">
        <v>0</v>
      </c>
      <c r="G54">
        <v>0</v>
      </c>
      <c r="H54">
        <v>165</v>
      </c>
      <c r="I54">
        <v>55</v>
      </c>
      <c r="J54">
        <v>55</v>
      </c>
      <c r="K54">
        <v>55</v>
      </c>
      <c r="L54">
        <v>0.33333333333333298</v>
      </c>
      <c r="M54" t="s">
        <v>653</v>
      </c>
      <c r="N54" t="s">
        <v>653</v>
      </c>
      <c r="O54" t="s">
        <v>653</v>
      </c>
      <c r="P54" t="s">
        <v>653</v>
      </c>
    </row>
    <row r="55" spans="1:16" hidden="1" x14ac:dyDescent="0.25">
      <c r="A55" t="s">
        <v>368</v>
      </c>
      <c r="B55" t="s">
        <v>369</v>
      </c>
      <c r="D55">
        <v>0</v>
      </c>
      <c r="F55">
        <v>5</v>
      </c>
      <c r="G55">
        <v>0</v>
      </c>
      <c r="H55">
        <v>323</v>
      </c>
      <c r="I55">
        <v>73</v>
      </c>
      <c r="J55">
        <v>78</v>
      </c>
      <c r="K55">
        <v>78</v>
      </c>
      <c r="L55">
        <v>0.24148606811145501</v>
      </c>
      <c r="M55" t="s">
        <v>653</v>
      </c>
      <c r="N55" t="s">
        <v>653</v>
      </c>
      <c r="O55" t="s">
        <v>653</v>
      </c>
      <c r="P55" t="s">
        <v>653</v>
      </c>
    </row>
    <row r="56" spans="1:16" x14ac:dyDescent="0.25">
      <c r="A56" t="s">
        <v>115</v>
      </c>
      <c r="B56" t="s">
        <v>116</v>
      </c>
      <c r="D56">
        <v>0</v>
      </c>
      <c r="F56">
        <v>0</v>
      </c>
      <c r="G56">
        <v>0</v>
      </c>
      <c r="H56">
        <v>113</v>
      </c>
      <c r="I56">
        <v>3</v>
      </c>
      <c r="J56">
        <v>3</v>
      </c>
      <c r="K56">
        <v>3</v>
      </c>
      <c r="L56">
        <v>2.6548672566371698E-2</v>
      </c>
      <c r="M56" t="s">
        <v>88</v>
      </c>
      <c r="N56" t="s">
        <v>88</v>
      </c>
      <c r="O56" t="s">
        <v>88</v>
      </c>
      <c r="P56" t="s">
        <v>88</v>
      </c>
    </row>
    <row r="57" spans="1:16" x14ac:dyDescent="0.25">
      <c r="A57" t="s">
        <v>272</v>
      </c>
      <c r="B57" t="s">
        <v>273</v>
      </c>
      <c r="D57">
        <v>0</v>
      </c>
      <c r="F57">
        <v>4</v>
      </c>
      <c r="G57">
        <v>0</v>
      </c>
      <c r="H57">
        <v>506</v>
      </c>
      <c r="I57">
        <v>44</v>
      </c>
      <c r="J57">
        <v>48</v>
      </c>
      <c r="K57">
        <v>48</v>
      </c>
      <c r="L57">
        <v>9.4861660079051405E-2</v>
      </c>
      <c r="M57" t="s">
        <v>653</v>
      </c>
      <c r="N57" t="s">
        <v>88</v>
      </c>
      <c r="O57" t="s">
        <v>653</v>
      </c>
      <c r="P57" t="s">
        <v>653</v>
      </c>
    </row>
    <row r="58" spans="1:16" x14ac:dyDescent="0.25">
      <c r="A58" t="s">
        <v>370</v>
      </c>
      <c r="B58" t="s">
        <v>371</v>
      </c>
      <c r="D58">
        <v>0</v>
      </c>
      <c r="F58">
        <v>1</v>
      </c>
      <c r="G58">
        <v>0</v>
      </c>
      <c r="H58">
        <v>588</v>
      </c>
      <c r="I58">
        <v>81</v>
      </c>
      <c r="J58">
        <v>82</v>
      </c>
      <c r="K58">
        <v>82</v>
      </c>
      <c r="L58">
        <v>0.13945578231292499</v>
      </c>
      <c r="M58" t="s">
        <v>653</v>
      </c>
      <c r="N58" t="s">
        <v>88</v>
      </c>
      <c r="O58" t="s">
        <v>653</v>
      </c>
      <c r="P58" t="s">
        <v>653</v>
      </c>
    </row>
    <row r="59" spans="1:16" hidden="1" x14ac:dyDescent="0.25">
      <c r="A59" t="s">
        <v>372</v>
      </c>
      <c r="B59" t="s">
        <v>373</v>
      </c>
      <c r="D59">
        <v>0</v>
      </c>
      <c r="F59">
        <v>0</v>
      </c>
      <c r="G59">
        <v>0</v>
      </c>
      <c r="H59">
        <v>517</v>
      </c>
      <c r="I59">
        <v>91</v>
      </c>
      <c r="J59">
        <v>91</v>
      </c>
      <c r="K59">
        <v>91</v>
      </c>
      <c r="L59">
        <v>0.17601547388781399</v>
      </c>
      <c r="M59" t="s">
        <v>653</v>
      </c>
      <c r="N59" t="s">
        <v>653</v>
      </c>
      <c r="O59" t="s">
        <v>653</v>
      </c>
      <c r="P59" t="s">
        <v>653</v>
      </c>
    </row>
    <row r="60" spans="1:16" x14ac:dyDescent="0.25">
      <c r="A60" t="s">
        <v>374</v>
      </c>
      <c r="B60" t="s">
        <v>375</v>
      </c>
      <c r="D60">
        <v>0</v>
      </c>
      <c r="F60">
        <v>9</v>
      </c>
      <c r="G60">
        <v>0</v>
      </c>
      <c r="H60">
        <v>2387</v>
      </c>
      <c r="I60">
        <v>226</v>
      </c>
      <c r="J60">
        <v>235</v>
      </c>
      <c r="K60">
        <v>235</v>
      </c>
      <c r="L60">
        <v>9.8449937159614601E-2</v>
      </c>
      <c r="M60" t="s">
        <v>653</v>
      </c>
      <c r="N60" t="s">
        <v>88</v>
      </c>
      <c r="O60" t="s">
        <v>653</v>
      </c>
      <c r="P60" t="s">
        <v>653</v>
      </c>
    </row>
    <row r="61" spans="1:16" x14ac:dyDescent="0.25">
      <c r="A61" t="s">
        <v>274</v>
      </c>
      <c r="B61" t="s">
        <v>275</v>
      </c>
      <c r="D61">
        <v>0</v>
      </c>
      <c r="F61">
        <v>2</v>
      </c>
      <c r="G61">
        <v>0</v>
      </c>
      <c r="H61">
        <v>2293</v>
      </c>
      <c r="I61">
        <v>100</v>
      </c>
      <c r="J61">
        <v>102</v>
      </c>
      <c r="K61">
        <v>102</v>
      </c>
      <c r="L61">
        <v>4.4483209768861803E-2</v>
      </c>
      <c r="M61" t="s">
        <v>653</v>
      </c>
      <c r="N61" t="s">
        <v>88</v>
      </c>
      <c r="O61" t="s">
        <v>88</v>
      </c>
      <c r="P61" t="s">
        <v>88</v>
      </c>
    </row>
    <row r="62" spans="1:16" x14ac:dyDescent="0.25">
      <c r="A62" t="s">
        <v>376</v>
      </c>
      <c r="B62" t="s">
        <v>377</v>
      </c>
      <c r="D62">
        <v>0</v>
      </c>
      <c r="F62">
        <v>0</v>
      </c>
      <c r="G62">
        <v>0</v>
      </c>
      <c r="H62">
        <v>75</v>
      </c>
      <c r="I62">
        <v>6</v>
      </c>
      <c r="J62">
        <v>6</v>
      </c>
      <c r="K62">
        <v>6</v>
      </c>
      <c r="L62">
        <v>0.08</v>
      </c>
      <c r="M62" t="s">
        <v>88</v>
      </c>
      <c r="N62" t="s">
        <v>88</v>
      </c>
      <c r="O62" t="s">
        <v>88</v>
      </c>
      <c r="P62" t="s">
        <v>88</v>
      </c>
    </row>
    <row r="63" spans="1:16" x14ac:dyDescent="0.25">
      <c r="A63" t="s">
        <v>378</v>
      </c>
      <c r="B63" t="s">
        <v>379</v>
      </c>
      <c r="D63">
        <v>0</v>
      </c>
      <c r="F63">
        <v>38</v>
      </c>
      <c r="G63">
        <v>0</v>
      </c>
      <c r="H63">
        <v>4713</v>
      </c>
      <c r="I63">
        <v>574</v>
      </c>
      <c r="J63">
        <v>612</v>
      </c>
      <c r="K63">
        <v>612</v>
      </c>
      <c r="L63">
        <v>0.12985359643539099</v>
      </c>
      <c r="M63" t="s">
        <v>653</v>
      </c>
      <c r="N63" t="s">
        <v>88</v>
      </c>
      <c r="O63" t="s">
        <v>653</v>
      </c>
      <c r="P63" t="s">
        <v>653</v>
      </c>
    </row>
    <row r="64" spans="1:16" x14ac:dyDescent="0.25">
      <c r="A64" t="s">
        <v>380</v>
      </c>
      <c r="B64" t="s">
        <v>381</v>
      </c>
      <c r="D64">
        <v>0</v>
      </c>
      <c r="F64">
        <v>9</v>
      </c>
      <c r="G64">
        <v>0</v>
      </c>
      <c r="H64">
        <v>3558</v>
      </c>
      <c r="I64">
        <v>481</v>
      </c>
      <c r="J64">
        <v>490</v>
      </c>
      <c r="K64">
        <v>490</v>
      </c>
      <c r="L64">
        <v>0.137717818999438</v>
      </c>
      <c r="M64" t="s">
        <v>653</v>
      </c>
      <c r="N64" t="s">
        <v>88</v>
      </c>
      <c r="O64" t="s">
        <v>653</v>
      </c>
      <c r="P64" t="s">
        <v>653</v>
      </c>
    </row>
    <row r="65" spans="1:16" x14ac:dyDescent="0.25">
      <c r="A65" t="s">
        <v>382</v>
      </c>
      <c r="B65" t="s">
        <v>383</v>
      </c>
      <c r="D65">
        <v>0</v>
      </c>
      <c r="F65">
        <v>40</v>
      </c>
      <c r="G65">
        <v>0</v>
      </c>
      <c r="H65">
        <v>6388</v>
      </c>
      <c r="I65">
        <v>863</v>
      </c>
      <c r="J65">
        <v>903</v>
      </c>
      <c r="K65">
        <v>903</v>
      </c>
      <c r="L65">
        <v>0.14135879774577301</v>
      </c>
      <c r="M65" t="s">
        <v>653</v>
      </c>
      <c r="N65" t="s">
        <v>88</v>
      </c>
      <c r="O65" t="s">
        <v>653</v>
      </c>
      <c r="P65" t="s">
        <v>653</v>
      </c>
    </row>
    <row r="66" spans="1:16" x14ac:dyDescent="0.25">
      <c r="A66" t="s">
        <v>117</v>
      </c>
      <c r="B66" t="s">
        <v>118</v>
      </c>
      <c r="D66">
        <v>0</v>
      </c>
      <c r="F66">
        <v>0</v>
      </c>
      <c r="G66">
        <v>0</v>
      </c>
      <c r="H66">
        <v>157</v>
      </c>
      <c r="I66">
        <v>21</v>
      </c>
      <c r="J66">
        <v>21</v>
      </c>
      <c r="K66">
        <v>21</v>
      </c>
      <c r="L66">
        <v>0.13375796178343899</v>
      </c>
      <c r="M66" t="s">
        <v>653</v>
      </c>
      <c r="N66" t="s">
        <v>88</v>
      </c>
      <c r="O66" t="s">
        <v>653</v>
      </c>
      <c r="P66" t="s">
        <v>653</v>
      </c>
    </row>
    <row r="67" spans="1:16" x14ac:dyDescent="0.25">
      <c r="A67" t="s">
        <v>119</v>
      </c>
      <c r="B67" t="s">
        <v>120</v>
      </c>
      <c r="D67">
        <v>0</v>
      </c>
      <c r="F67">
        <v>11</v>
      </c>
      <c r="G67">
        <v>0</v>
      </c>
      <c r="H67">
        <v>2222</v>
      </c>
      <c r="I67">
        <v>150</v>
      </c>
      <c r="J67">
        <v>161</v>
      </c>
      <c r="K67">
        <v>161</v>
      </c>
      <c r="L67">
        <v>7.2457245724572503E-2</v>
      </c>
      <c r="M67" t="s">
        <v>653</v>
      </c>
      <c r="N67" t="s">
        <v>88</v>
      </c>
      <c r="O67" t="s">
        <v>653</v>
      </c>
      <c r="P67" t="s">
        <v>653</v>
      </c>
    </row>
    <row r="68" spans="1:16" x14ac:dyDescent="0.25">
      <c r="A68" t="s">
        <v>121</v>
      </c>
      <c r="B68" t="s">
        <v>122</v>
      </c>
      <c r="D68">
        <v>0</v>
      </c>
      <c r="F68">
        <v>23</v>
      </c>
      <c r="G68">
        <v>0</v>
      </c>
      <c r="H68">
        <v>24425</v>
      </c>
      <c r="I68">
        <v>2342</v>
      </c>
      <c r="J68">
        <v>2365</v>
      </c>
      <c r="K68">
        <v>2365</v>
      </c>
      <c r="L68">
        <v>9.6827021494370502E-2</v>
      </c>
      <c r="M68" t="s">
        <v>653</v>
      </c>
      <c r="N68" t="s">
        <v>88</v>
      </c>
      <c r="O68" t="s">
        <v>653</v>
      </c>
      <c r="P68" t="s">
        <v>653</v>
      </c>
    </row>
    <row r="69" spans="1:16" x14ac:dyDescent="0.25">
      <c r="A69" t="s">
        <v>384</v>
      </c>
      <c r="B69" t="s">
        <v>385</v>
      </c>
      <c r="D69">
        <v>0</v>
      </c>
      <c r="F69">
        <v>19</v>
      </c>
      <c r="G69">
        <v>0</v>
      </c>
      <c r="H69">
        <v>3597</v>
      </c>
      <c r="I69">
        <v>433</v>
      </c>
      <c r="J69">
        <v>452</v>
      </c>
      <c r="K69">
        <v>452</v>
      </c>
      <c r="L69">
        <v>0.12566027244926301</v>
      </c>
      <c r="M69" t="s">
        <v>653</v>
      </c>
      <c r="N69" t="s">
        <v>88</v>
      </c>
      <c r="O69" t="s">
        <v>653</v>
      </c>
      <c r="P69" t="s">
        <v>653</v>
      </c>
    </row>
    <row r="70" spans="1:16" hidden="1" x14ac:dyDescent="0.25">
      <c r="A70" t="s">
        <v>386</v>
      </c>
      <c r="B70" t="s">
        <v>387</v>
      </c>
      <c r="D70">
        <v>0</v>
      </c>
      <c r="F70">
        <v>3</v>
      </c>
      <c r="G70">
        <v>0</v>
      </c>
      <c r="H70">
        <v>1593</v>
      </c>
      <c r="I70">
        <v>241</v>
      </c>
      <c r="J70">
        <v>244</v>
      </c>
      <c r="K70">
        <v>244</v>
      </c>
      <c r="L70">
        <v>0.15317011927181401</v>
      </c>
      <c r="M70" t="s">
        <v>653</v>
      </c>
      <c r="N70" t="s">
        <v>653</v>
      </c>
      <c r="O70" t="s">
        <v>653</v>
      </c>
      <c r="P70" t="s">
        <v>653</v>
      </c>
    </row>
    <row r="71" spans="1:16" hidden="1" x14ac:dyDescent="0.25">
      <c r="A71" t="s">
        <v>388</v>
      </c>
      <c r="B71" t="s">
        <v>389</v>
      </c>
      <c r="D71">
        <v>0</v>
      </c>
      <c r="F71">
        <v>0</v>
      </c>
      <c r="G71">
        <v>0</v>
      </c>
      <c r="H71">
        <v>90</v>
      </c>
      <c r="I71">
        <v>22</v>
      </c>
      <c r="J71">
        <v>22</v>
      </c>
      <c r="K71">
        <v>22</v>
      </c>
      <c r="L71">
        <v>0.24444444444444399</v>
      </c>
      <c r="M71" t="s">
        <v>653</v>
      </c>
      <c r="N71" t="s">
        <v>653</v>
      </c>
      <c r="O71" t="s">
        <v>653</v>
      </c>
      <c r="P71" t="s">
        <v>653</v>
      </c>
    </row>
    <row r="72" spans="1:16" hidden="1" x14ac:dyDescent="0.25">
      <c r="A72" t="s">
        <v>390</v>
      </c>
      <c r="B72" t="s">
        <v>391</v>
      </c>
      <c r="D72">
        <v>0</v>
      </c>
      <c r="F72">
        <v>4</v>
      </c>
      <c r="G72">
        <v>0</v>
      </c>
      <c r="H72">
        <v>409</v>
      </c>
      <c r="I72">
        <v>65</v>
      </c>
      <c r="J72">
        <v>69</v>
      </c>
      <c r="K72">
        <v>69</v>
      </c>
      <c r="L72">
        <v>0.16870415647921799</v>
      </c>
      <c r="M72" t="s">
        <v>653</v>
      </c>
      <c r="N72" t="s">
        <v>653</v>
      </c>
      <c r="O72" t="s">
        <v>653</v>
      </c>
      <c r="P72" t="s">
        <v>653</v>
      </c>
    </row>
    <row r="73" spans="1:16" x14ac:dyDescent="0.25">
      <c r="A73" t="s">
        <v>123</v>
      </c>
      <c r="B73" t="s">
        <v>124</v>
      </c>
      <c r="D73">
        <v>0</v>
      </c>
      <c r="F73">
        <v>19</v>
      </c>
      <c r="G73">
        <v>0</v>
      </c>
      <c r="H73">
        <v>4684</v>
      </c>
      <c r="I73">
        <v>274</v>
      </c>
      <c r="J73">
        <v>293</v>
      </c>
      <c r="K73">
        <v>293</v>
      </c>
      <c r="L73">
        <v>6.2553373185311706E-2</v>
      </c>
      <c r="M73" t="s">
        <v>653</v>
      </c>
      <c r="N73" t="s">
        <v>88</v>
      </c>
      <c r="O73" t="s">
        <v>653</v>
      </c>
      <c r="P73" t="s">
        <v>653</v>
      </c>
    </row>
    <row r="74" spans="1:16" x14ac:dyDescent="0.25">
      <c r="A74" t="s">
        <v>392</v>
      </c>
      <c r="B74" t="s">
        <v>393</v>
      </c>
      <c r="D74">
        <v>0</v>
      </c>
      <c r="F74">
        <v>4</v>
      </c>
      <c r="G74">
        <v>0</v>
      </c>
      <c r="H74">
        <v>2908</v>
      </c>
      <c r="I74">
        <v>427</v>
      </c>
      <c r="J74">
        <v>431</v>
      </c>
      <c r="K74">
        <v>431</v>
      </c>
      <c r="L74">
        <v>0.148211829436039</v>
      </c>
      <c r="M74" t="s">
        <v>653</v>
      </c>
      <c r="N74" t="s">
        <v>88</v>
      </c>
      <c r="O74" t="s">
        <v>653</v>
      </c>
      <c r="P74" t="s">
        <v>653</v>
      </c>
    </row>
    <row r="75" spans="1:16" x14ac:dyDescent="0.25">
      <c r="A75" t="s">
        <v>394</v>
      </c>
      <c r="B75" t="s">
        <v>395</v>
      </c>
      <c r="D75">
        <v>0</v>
      </c>
      <c r="F75">
        <v>0</v>
      </c>
      <c r="G75">
        <v>0</v>
      </c>
      <c r="H75">
        <v>130</v>
      </c>
      <c r="I75">
        <v>16</v>
      </c>
      <c r="J75">
        <v>16</v>
      </c>
      <c r="K75">
        <v>16</v>
      </c>
      <c r="L75">
        <v>0.123076923076923</v>
      </c>
      <c r="M75" t="s">
        <v>653</v>
      </c>
      <c r="N75" t="s">
        <v>88</v>
      </c>
      <c r="O75" t="s">
        <v>653</v>
      </c>
      <c r="P75" t="s">
        <v>653</v>
      </c>
    </row>
    <row r="76" spans="1:16" x14ac:dyDescent="0.25">
      <c r="A76" t="s">
        <v>125</v>
      </c>
      <c r="B76" t="s">
        <v>126</v>
      </c>
      <c r="D76">
        <v>0</v>
      </c>
      <c r="F76">
        <v>33</v>
      </c>
      <c r="G76">
        <v>0</v>
      </c>
      <c r="H76">
        <v>22970</v>
      </c>
      <c r="I76">
        <v>2424</v>
      </c>
      <c r="J76">
        <v>2457</v>
      </c>
      <c r="K76">
        <v>2457</v>
      </c>
      <c r="L76">
        <v>0.106965607313888</v>
      </c>
      <c r="M76" t="s">
        <v>653</v>
      </c>
      <c r="N76" t="s">
        <v>88</v>
      </c>
      <c r="O76" t="s">
        <v>653</v>
      </c>
      <c r="P76" t="s">
        <v>653</v>
      </c>
    </row>
    <row r="77" spans="1:16" x14ac:dyDescent="0.25">
      <c r="A77" t="s">
        <v>276</v>
      </c>
      <c r="B77" t="s">
        <v>277</v>
      </c>
      <c r="D77">
        <v>0</v>
      </c>
      <c r="F77">
        <v>48</v>
      </c>
      <c r="G77">
        <v>0</v>
      </c>
      <c r="H77">
        <v>26847</v>
      </c>
      <c r="I77">
        <v>2584</v>
      </c>
      <c r="J77">
        <v>2632</v>
      </c>
      <c r="K77">
        <v>2632</v>
      </c>
      <c r="L77">
        <v>9.8037024621000501E-2</v>
      </c>
      <c r="M77" t="s">
        <v>653</v>
      </c>
      <c r="N77" t="s">
        <v>88</v>
      </c>
      <c r="O77" t="s">
        <v>653</v>
      </c>
      <c r="P77" t="s">
        <v>653</v>
      </c>
    </row>
    <row r="78" spans="1:16" hidden="1" x14ac:dyDescent="0.25">
      <c r="A78" t="s">
        <v>396</v>
      </c>
      <c r="B78" t="s">
        <v>397</v>
      </c>
      <c r="D78">
        <v>0</v>
      </c>
      <c r="F78">
        <v>0</v>
      </c>
      <c r="G78">
        <v>0</v>
      </c>
      <c r="H78">
        <v>57</v>
      </c>
      <c r="I78">
        <v>17</v>
      </c>
      <c r="J78">
        <v>17</v>
      </c>
      <c r="K78">
        <v>17</v>
      </c>
      <c r="L78">
        <v>0.29824561403508798</v>
      </c>
      <c r="M78" t="s">
        <v>653</v>
      </c>
      <c r="N78" t="s">
        <v>653</v>
      </c>
      <c r="O78" t="s">
        <v>653</v>
      </c>
      <c r="P78" t="s">
        <v>653</v>
      </c>
    </row>
    <row r="79" spans="1:16" hidden="1" x14ac:dyDescent="0.25">
      <c r="A79" t="s">
        <v>398</v>
      </c>
      <c r="B79" t="s">
        <v>399</v>
      </c>
      <c r="D79">
        <v>0</v>
      </c>
      <c r="F79">
        <v>46</v>
      </c>
      <c r="G79">
        <v>0</v>
      </c>
      <c r="H79">
        <v>24174</v>
      </c>
      <c r="I79">
        <v>4191</v>
      </c>
      <c r="J79">
        <v>4237</v>
      </c>
      <c r="K79">
        <v>4237</v>
      </c>
      <c r="L79">
        <v>0.17527095226276199</v>
      </c>
      <c r="M79" t="s">
        <v>653</v>
      </c>
      <c r="N79" t="s">
        <v>653</v>
      </c>
      <c r="O79" t="s">
        <v>653</v>
      </c>
      <c r="P79" t="s">
        <v>653</v>
      </c>
    </row>
    <row r="80" spans="1:16" x14ac:dyDescent="0.25">
      <c r="A80" t="s">
        <v>127</v>
      </c>
      <c r="B80" t="s">
        <v>128</v>
      </c>
      <c r="D80">
        <v>0</v>
      </c>
      <c r="F80">
        <v>21</v>
      </c>
      <c r="G80">
        <v>0</v>
      </c>
      <c r="H80">
        <v>6187</v>
      </c>
      <c r="I80">
        <v>769</v>
      </c>
      <c r="J80">
        <v>790</v>
      </c>
      <c r="K80">
        <v>790</v>
      </c>
      <c r="L80">
        <v>0.12768708582511701</v>
      </c>
      <c r="M80" t="s">
        <v>653</v>
      </c>
      <c r="N80" t="s">
        <v>88</v>
      </c>
      <c r="O80" t="s">
        <v>653</v>
      </c>
      <c r="P80" t="s">
        <v>653</v>
      </c>
    </row>
    <row r="81" spans="1:16" x14ac:dyDescent="0.25">
      <c r="A81" t="s">
        <v>129</v>
      </c>
      <c r="B81" t="s">
        <v>130</v>
      </c>
      <c r="D81">
        <v>0</v>
      </c>
      <c r="F81">
        <v>8</v>
      </c>
      <c r="G81">
        <v>0</v>
      </c>
      <c r="H81">
        <v>4094</v>
      </c>
      <c r="I81">
        <v>386</v>
      </c>
      <c r="J81">
        <v>394</v>
      </c>
      <c r="K81">
        <v>394</v>
      </c>
      <c r="L81">
        <v>9.6238397655105001E-2</v>
      </c>
      <c r="M81" t="s">
        <v>653</v>
      </c>
      <c r="N81" t="s">
        <v>88</v>
      </c>
      <c r="O81" t="s">
        <v>653</v>
      </c>
      <c r="P81" t="s">
        <v>653</v>
      </c>
    </row>
    <row r="82" spans="1:16" x14ac:dyDescent="0.25">
      <c r="A82" t="s">
        <v>400</v>
      </c>
      <c r="B82" t="s">
        <v>401</v>
      </c>
      <c r="D82">
        <v>0</v>
      </c>
      <c r="F82">
        <v>9</v>
      </c>
      <c r="G82">
        <v>0</v>
      </c>
      <c r="H82">
        <v>920</v>
      </c>
      <c r="I82">
        <v>113</v>
      </c>
      <c r="J82">
        <v>122</v>
      </c>
      <c r="K82">
        <v>122</v>
      </c>
      <c r="L82">
        <v>0.13260869565217401</v>
      </c>
      <c r="M82" t="s">
        <v>653</v>
      </c>
      <c r="N82" t="s">
        <v>88</v>
      </c>
      <c r="O82" t="s">
        <v>653</v>
      </c>
      <c r="P82" t="s">
        <v>653</v>
      </c>
    </row>
    <row r="83" spans="1:16" x14ac:dyDescent="0.25">
      <c r="A83" t="s">
        <v>402</v>
      </c>
      <c r="B83" t="s">
        <v>403</v>
      </c>
      <c r="D83">
        <v>0</v>
      </c>
      <c r="F83">
        <v>50</v>
      </c>
      <c r="G83">
        <v>0</v>
      </c>
      <c r="H83">
        <v>9340</v>
      </c>
      <c r="I83">
        <v>1348</v>
      </c>
      <c r="J83">
        <v>1398</v>
      </c>
      <c r="K83">
        <v>1398</v>
      </c>
      <c r="L83">
        <v>0.14967880085653101</v>
      </c>
      <c r="M83" t="s">
        <v>653</v>
      </c>
      <c r="N83" t="s">
        <v>88</v>
      </c>
      <c r="O83" t="s">
        <v>653</v>
      </c>
      <c r="P83" t="s">
        <v>653</v>
      </c>
    </row>
    <row r="84" spans="1:16" x14ac:dyDescent="0.25">
      <c r="A84" t="s">
        <v>131</v>
      </c>
      <c r="B84" t="s">
        <v>132</v>
      </c>
      <c r="D84">
        <v>0</v>
      </c>
      <c r="F84">
        <v>1</v>
      </c>
      <c r="G84">
        <v>0</v>
      </c>
      <c r="H84">
        <v>1001</v>
      </c>
      <c r="I84">
        <v>36</v>
      </c>
      <c r="J84">
        <v>37</v>
      </c>
      <c r="K84">
        <v>37</v>
      </c>
      <c r="L84">
        <v>3.6963036963037002E-2</v>
      </c>
      <c r="M84" t="s">
        <v>653</v>
      </c>
      <c r="N84" t="s">
        <v>88</v>
      </c>
      <c r="O84" t="s">
        <v>88</v>
      </c>
      <c r="P84" t="s">
        <v>88</v>
      </c>
    </row>
    <row r="85" spans="1:16" hidden="1" x14ac:dyDescent="0.25">
      <c r="A85" t="s">
        <v>404</v>
      </c>
      <c r="B85" t="s">
        <v>405</v>
      </c>
      <c r="D85">
        <v>0</v>
      </c>
      <c r="F85">
        <v>0</v>
      </c>
      <c r="G85">
        <v>0</v>
      </c>
      <c r="H85">
        <v>132</v>
      </c>
      <c r="I85">
        <v>33</v>
      </c>
      <c r="J85">
        <v>33</v>
      </c>
      <c r="K85">
        <v>33</v>
      </c>
      <c r="L85">
        <v>0.25</v>
      </c>
      <c r="M85" t="s">
        <v>653</v>
      </c>
      <c r="N85" t="s">
        <v>653</v>
      </c>
      <c r="O85" t="s">
        <v>653</v>
      </c>
      <c r="P85" t="s">
        <v>653</v>
      </c>
    </row>
    <row r="86" spans="1:16" x14ac:dyDescent="0.25">
      <c r="A86" t="s">
        <v>133</v>
      </c>
      <c r="B86" t="s">
        <v>134</v>
      </c>
      <c r="D86">
        <v>0</v>
      </c>
      <c r="F86">
        <v>0</v>
      </c>
      <c r="G86">
        <v>0</v>
      </c>
      <c r="H86">
        <v>62</v>
      </c>
      <c r="I86">
        <v>9</v>
      </c>
      <c r="J86">
        <v>9</v>
      </c>
      <c r="K86">
        <v>9</v>
      </c>
      <c r="L86">
        <v>0.14516129032258099</v>
      </c>
      <c r="M86" t="s">
        <v>88</v>
      </c>
      <c r="N86" t="s">
        <v>88</v>
      </c>
      <c r="O86" t="s">
        <v>88</v>
      </c>
      <c r="P86" t="s">
        <v>88</v>
      </c>
    </row>
    <row r="87" spans="1:16" hidden="1" x14ac:dyDescent="0.25">
      <c r="A87" t="s">
        <v>406</v>
      </c>
      <c r="B87" t="s">
        <v>407</v>
      </c>
      <c r="D87">
        <v>0</v>
      </c>
      <c r="F87">
        <v>4</v>
      </c>
      <c r="G87">
        <v>0</v>
      </c>
      <c r="H87">
        <v>1075</v>
      </c>
      <c r="I87">
        <v>161</v>
      </c>
      <c r="J87">
        <v>165</v>
      </c>
      <c r="K87">
        <v>165</v>
      </c>
      <c r="L87">
        <v>0.15348837209302299</v>
      </c>
      <c r="M87" t="s">
        <v>653</v>
      </c>
      <c r="N87" t="s">
        <v>653</v>
      </c>
      <c r="O87" t="s">
        <v>653</v>
      </c>
      <c r="P87" t="s">
        <v>653</v>
      </c>
    </row>
    <row r="88" spans="1:16" hidden="1" x14ac:dyDescent="0.25">
      <c r="A88" t="s">
        <v>408</v>
      </c>
      <c r="B88" t="s">
        <v>409</v>
      </c>
      <c r="D88">
        <v>0</v>
      </c>
      <c r="F88">
        <v>12</v>
      </c>
      <c r="G88">
        <v>0</v>
      </c>
      <c r="H88">
        <v>672</v>
      </c>
      <c r="I88">
        <v>111</v>
      </c>
      <c r="J88">
        <v>123</v>
      </c>
      <c r="K88">
        <v>123</v>
      </c>
      <c r="L88">
        <v>0.183035714285714</v>
      </c>
      <c r="M88" t="s">
        <v>653</v>
      </c>
      <c r="N88" t="s">
        <v>653</v>
      </c>
      <c r="O88" t="s">
        <v>653</v>
      </c>
      <c r="P88" t="s">
        <v>653</v>
      </c>
    </row>
    <row r="89" spans="1:16" hidden="1" x14ac:dyDescent="0.25">
      <c r="A89" t="s">
        <v>410</v>
      </c>
      <c r="B89" t="s">
        <v>411</v>
      </c>
      <c r="D89">
        <v>0</v>
      </c>
      <c r="F89">
        <v>17</v>
      </c>
      <c r="G89">
        <v>0</v>
      </c>
      <c r="H89">
        <v>3734</v>
      </c>
      <c r="I89">
        <v>806</v>
      </c>
      <c r="J89">
        <v>823</v>
      </c>
      <c r="K89">
        <v>823</v>
      </c>
      <c r="L89">
        <v>0.220407070166042</v>
      </c>
      <c r="M89" t="s">
        <v>653</v>
      </c>
      <c r="N89" t="s">
        <v>653</v>
      </c>
      <c r="O89" t="s">
        <v>653</v>
      </c>
      <c r="P89" t="s">
        <v>653</v>
      </c>
    </row>
    <row r="90" spans="1:16" hidden="1" x14ac:dyDescent="0.25">
      <c r="A90" t="s">
        <v>412</v>
      </c>
      <c r="B90" t="s">
        <v>413</v>
      </c>
      <c r="D90">
        <v>0</v>
      </c>
      <c r="F90">
        <v>3</v>
      </c>
      <c r="G90">
        <v>0</v>
      </c>
      <c r="H90">
        <v>1587</v>
      </c>
      <c r="I90">
        <v>251</v>
      </c>
      <c r="J90">
        <v>254</v>
      </c>
      <c r="K90">
        <v>254</v>
      </c>
      <c r="L90">
        <v>0.16005040957781999</v>
      </c>
      <c r="M90" t="s">
        <v>653</v>
      </c>
      <c r="N90" t="s">
        <v>653</v>
      </c>
      <c r="O90" t="s">
        <v>653</v>
      </c>
      <c r="P90" t="s">
        <v>653</v>
      </c>
    </row>
    <row r="91" spans="1:16" x14ac:dyDescent="0.25">
      <c r="A91" t="s">
        <v>135</v>
      </c>
      <c r="B91" t="s">
        <v>136</v>
      </c>
      <c r="D91">
        <v>0</v>
      </c>
      <c r="F91">
        <v>3</v>
      </c>
      <c r="G91">
        <v>0</v>
      </c>
      <c r="H91">
        <v>2819</v>
      </c>
      <c r="I91">
        <v>180</v>
      </c>
      <c r="J91">
        <v>183</v>
      </c>
      <c r="K91">
        <v>183</v>
      </c>
      <c r="L91">
        <v>6.4916637105356501E-2</v>
      </c>
      <c r="M91" t="s">
        <v>653</v>
      </c>
      <c r="N91" t="s">
        <v>88</v>
      </c>
      <c r="O91" t="s">
        <v>653</v>
      </c>
      <c r="P91" t="s">
        <v>653</v>
      </c>
    </row>
    <row r="92" spans="1:16" x14ac:dyDescent="0.25">
      <c r="A92" t="s">
        <v>414</v>
      </c>
      <c r="B92" t="s">
        <v>415</v>
      </c>
      <c r="D92">
        <v>0</v>
      </c>
      <c r="F92">
        <v>0</v>
      </c>
      <c r="G92">
        <v>0</v>
      </c>
      <c r="H92">
        <v>342</v>
      </c>
      <c r="I92">
        <v>35</v>
      </c>
      <c r="J92">
        <v>35</v>
      </c>
      <c r="K92">
        <v>35</v>
      </c>
      <c r="L92">
        <v>0.10233918128654999</v>
      </c>
      <c r="M92" t="s">
        <v>653</v>
      </c>
      <c r="N92" t="s">
        <v>88</v>
      </c>
      <c r="O92" t="s">
        <v>653</v>
      </c>
      <c r="P92" t="s">
        <v>653</v>
      </c>
    </row>
    <row r="93" spans="1:16" hidden="1" x14ac:dyDescent="0.25">
      <c r="A93" t="s">
        <v>416</v>
      </c>
      <c r="B93" t="s">
        <v>417</v>
      </c>
      <c r="D93">
        <v>0</v>
      </c>
      <c r="F93">
        <v>0</v>
      </c>
      <c r="G93">
        <v>0</v>
      </c>
      <c r="H93">
        <v>188</v>
      </c>
      <c r="I93">
        <v>36</v>
      </c>
      <c r="J93">
        <v>36</v>
      </c>
      <c r="K93">
        <v>36</v>
      </c>
      <c r="L93">
        <v>0.19148936170212799</v>
      </c>
      <c r="M93" t="s">
        <v>653</v>
      </c>
      <c r="N93" t="s">
        <v>653</v>
      </c>
      <c r="O93" t="s">
        <v>653</v>
      </c>
      <c r="P93" t="s">
        <v>653</v>
      </c>
    </row>
    <row r="94" spans="1:16" x14ac:dyDescent="0.25">
      <c r="A94" t="s">
        <v>137</v>
      </c>
      <c r="B94" t="s">
        <v>138</v>
      </c>
      <c r="D94">
        <v>0</v>
      </c>
      <c r="F94">
        <v>0</v>
      </c>
      <c r="G94">
        <v>0</v>
      </c>
      <c r="H94">
        <v>206</v>
      </c>
      <c r="I94">
        <v>12</v>
      </c>
      <c r="J94">
        <v>12</v>
      </c>
      <c r="K94">
        <v>12</v>
      </c>
      <c r="L94">
        <v>5.8252427184466E-2</v>
      </c>
      <c r="M94" t="s">
        <v>653</v>
      </c>
      <c r="N94" t="s">
        <v>88</v>
      </c>
      <c r="O94" t="s">
        <v>653</v>
      </c>
      <c r="P94" t="s">
        <v>653</v>
      </c>
    </row>
    <row r="95" spans="1:16" x14ac:dyDescent="0.25">
      <c r="A95" t="s">
        <v>139</v>
      </c>
      <c r="B95" t="s">
        <v>140</v>
      </c>
      <c r="D95">
        <v>0</v>
      </c>
      <c r="F95">
        <v>3</v>
      </c>
      <c r="G95">
        <v>0</v>
      </c>
      <c r="H95">
        <v>898</v>
      </c>
      <c r="I95">
        <v>44</v>
      </c>
      <c r="J95">
        <v>47</v>
      </c>
      <c r="K95">
        <v>47</v>
      </c>
      <c r="L95">
        <v>5.2338530066815103E-2</v>
      </c>
      <c r="M95" t="s">
        <v>653</v>
      </c>
      <c r="N95" t="s">
        <v>88</v>
      </c>
      <c r="O95" t="s">
        <v>653</v>
      </c>
      <c r="P95" t="s">
        <v>653</v>
      </c>
    </row>
    <row r="96" spans="1:16" hidden="1" x14ac:dyDescent="0.25">
      <c r="A96" t="s">
        <v>418</v>
      </c>
      <c r="B96" t="s">
        <v>419</v>
      </c>
      <c r="D96">
        <v>0</v>
      </c>
      <c r="F96">
        <v>1</v>
      </c>
      <c r="G96">
        <v>0</v>
      </c>
      <c r="H96">
        <v>145</v>
      </c>
      <c r="I96">
        <v>24</v>
      </c>
      <c r="J96">
        <v>25</v>
      </c>
      <c r="K96">
        <v>25</v>
      </c>
      <c r="L96">
        <v>0.17241379310344801</v>
      </c>
      <c r="M96" t="s">
        <v>653</v>
      </c>
      <c r="N96" t="s">
        <v>653</v>
      </c>
      <c r="O96" t="s">
        <v>653</v>
      </c>
      <c r="P96" t="s">
        <v>653</v>
      </c>
    </row>
    <row r="97" spans="1:16" x14ac:dyDescent="0.25">
      <c r="A97" t="s">
        <v>420</v>
      </c>
      <c r="B97" t="s">
        <v>421</v>
      </c>
      <c r="D97">
        <v>0</v>
      </c>
      <c r="F97">
        <v>1</v>
      </c>
      <c r="G97">
        <v>0</v>
      </c>
      <c r="H97">
        <v>1272</v>
      </c>
      <c r="I97">
        <v>142</v>
      </c>
      <c r="J97">
        <v>143</v>
      </c>
      <c r="K97">
        <v>143</v>
      </c>
      <c r="L97">
        <v>0.11242138364779899</v>
      </c>
      <c r="M97" t="s">
        <v>653</v>
      </c>
      <c r="N97" t="s">
        <v>88</v>
      </c>
      <c r="O97" t="s">
        <v>653</v>
      </c>
      <c r="P97" t="s">
        <v>653</v>
      </c>
    </row>
    <row r="98" spans="1:16" hidden="1" x14ac:dyDescent="0.25">
      <c r="A98" t="s">
        <v>57</v>
      </c>
      <c r="B98" t="s">
        <v>17</v>
      </c>
      <c r="C98" t="s">
        <v>57</v>
      </c>
      <c r="D98">
        <v>0</v>
      </c>
      <c r="F98">
        <v>37</v>
      </c>
      <c r="G98">
        <v>0</v>
      </c>
      <c r="H98">
        <v>19648.575757575767</v>
      </c>
      <c r="I98">
        <v>3277.2065620038825</v>
      </c>
      <c r="J98">
        <v>3314.2065620038825</v>
      </c>
      <c r="K98">
        <v>3410</v>
      </c>
      <c r="L98">
        <v>0.16867413714330101</v>
      </c>
      <c r="M98" t="s">
        <v>653</v>
      </c>
      <c r="N98" t="s">
        <v>653</v>
      </c>
      <c r="O98" t="s">
        <v>653</v>
      </c>
      <c r="P98" t="s">
        <v>653</v>
      </c>
    </row>
    <row r="99" spans="1:16" x14ac:dyDescent="0.25">
      <c r="A99" t="s">
        <v>141</v>
      </c>
      <c r="B99" t="s">
        <v>142</v>
      </c>
      <c r="D99">
        <v>0</v>
      </c>
      <c r="F99">
        <v>5</v>
      </c>
      <c r="G99">
        <v>0</v>
      </c>
      <c r="H99">
        <v>2186</v>
      </c>
      <c r="I99">
        <v>105</v>
      </c>
      <c r="J99">
        <v>110</v>
      </c>
      <c r="K99">
        <v>110</v>
      </c>
      <c r="L99">
        <v>5.0320219579139999E-2</v>
      </c>
      <c r="M99" t="s">
        <v>653</v>
      </c>
      <c r="N99" t="s">
        <v>88</v>
      </c>
      <c r="O99" t="s">
        <v>653</v>
      </c>
      <c r="P99" t="s">
        <v>653</v>
      </c>
    </row>
    <row r="100" spans="1:16" hidden="1" x14ac:dyDescent="0.25">
      <c r="A100" t="s">
        <v>422</v>
      </c>
      <c r="B100" t="s">
        <v>423</v>
      </c>
      <c r="D100">
        <v>0</v>
      </c>
      <c r="F100">
        <v>4</v>
      </c>
      <c r="G100">
        <v>0</v>
      </c>
      <c r="H100">
        <v>704</v>
      </c>
      <c r="I100">
        <v>134</v>
      </c>
      <c r="J100">
        <v>138</v>
      </c>
      <c r="K100">
        <v>138</v>
      </c>
      <c r="L100">
        <v>0.19602272727272699</v>
      </c>
      <c r="M100" t="s">
        <v>653</v>
      </c>
      <c r="N100" t="s">
        <v>653</v>
      </c>
      <c r="O100" t="s">
        <v>653</v>
      </c>
      <c r="P100" t="s">
        <v>653</v>
      </c>
    </row>
    <row r="101" spans="1:16" hidden="1" x14ac:dyDescent="0.25">
      <c r="A101" t="s">
        <v>424</v>
      </c>
      <c r="B101" t="s">
        <v>425</v>
      </c>
      <c r="D101">
        <v>0</v>
      </c>
      <c r="F101">
        <v>16</v>
      </c>
      <c r="G101">
        <v>0</v>
      </c>
      <c r="H101">
        <v>1821</v>
      </c>
      <c r="I101">
        <v>377</v>
      </c>
      <c r="J101">
        <v>393</v>
      </c>
      <c r="K101">
        <v>393</v>
      </c>
      <c r="L101">
        <v>0.215815485996705</v>
      </c>
      <c r="M101" t="s">
        <v>653</v>
      </c>
      <c r="N101" t="s">
        <v>653</v>
      </c>
      <c r="O101" t="s">
        <v>653</v>
      </c>
      <c r="P101" t="s">
        <v>653</v>
      </c>
    </row>
    <row r="102" spans="1:16" hidden="1" x14ac:dyDescent="0.25">
      <c r="A102" t="s">
        <v>74</v>
      </c>
      <c r="B102" t="s">
        <v>41</v>
      </c>
      <c r="C102" t="s">
        <v>60</v>
      </c>
      <c r="D102">
        <v>0</v>
      </c>
      <c r="E102">
        <v>0</v>
      </c>
      <c r="F102">
        <v>0</v>
      </c>
      <c r="G102">
        <v>0</v>
      </c>
      <c r="H102">
        <v>408.11653628270955</v>
      </c>
      <c r="I102">
        <v>81.866465484722823</v>
      </c>
      <c r="J102">
        <v>81.866465484722823</v>
      </c>
      <c r="K102">
        <v>0</v>
      </c>
      <c r="L102">
        <v>0.20059580587053799</v>
      </c>
      <c r="M102" t="s">
        <v>653</v>
      </c>
      <c r="N102" t="s">
        <v>653</v>
      </c>
      <c r="O102" t="s">
        <v>653</v>
      </c>
      <c r="P102" t="s">
        <v>653</v>
      </c>
    </row>
    <row r="103" spans="1:16" hidden="1" x14ac:dyDescent="0.25">
      <c r="A103" t="s">
        <v>1421</v>
      </c>
      <c r="B103" t="s">
        <v>1425</v>
      </c>
      <c r="C103" t="s">
        <v>563</v>
      </c>
      <c r="D103">
        <v>0</v>
      </c>
      <c r="E103">
        <v>0</v>
      </c>
      <c r="F103">
        <v>0</v>
      </c>
      <c r="G103">
        <v>0</v>
      </c>
      <c r="H103">
        <v>351.31963746223494</v>
      </c>
      <c r="I103">
        <v>61.950812598878109</v>
      </c>
      <c r="J103">
        <v>61.950812598878109</v>
      </c>
      <c r="K103">
        <v>0</v>
      </c>
      <c r="L103">
        <v>0.176337460229611</v>
      </c>
      <c r="M103" t="s">
        <v>653</v>
      </c>
      <c r="N103" t="s">
        <v>653</v>
      </c>
      <c r="O103" t="s">
        <v>653</v>
      </c>
      <c r="P103" t="s">
        <v>653</v>
      </c>
    </row>
    <row r="104" spans="1:16" hidden="1" x14ac:dyDescent="0.25">
      <c r="A104" t="s">
        <v>75</v>
      </c>
      <c r="B104" t="s">
        <v>45</v>
      </c>
      <c r="C104" t="s">
        <v>60</v>
      </c>
      <c r="D104">
        <v>0</v>
      </c>
      <c r="E104">
        <v>0</v>
      </c>
      <c r="F104">
        <v>0</v>
      </c>
      <c r="G104">
        <v>0</v>
      </c>
      <c r="H104">
        <v>318.76557863501563</v>
      </c>
      <c r="I104">
        <v>60.245944926442846</v>
      </c>
      <c r="J104">
        <v>60.245944926442846</v>
      </c>
      <c r="K104">
        <v>0</v>
      </c>
      <c r="L104">
        <v>0.18899764894447399</v>
      </c>
      <c r="M104" t="s">
        <v>653</v>
      </c>
      <c r="N104" t="s">
        <v>653</v>
      </c>
      <c r="O104" t="s">
        <v>653</v>
      </c>
      <c r="P104" t="s">
        <v>653</v>
      </c>
    </row>
    <row r="105" spans="1:16" x14ac:dyDescent="0.25">
      <c r="A105" t="s">
        <v>79</v>
      </c>
      <c r="B105" t="s">
        <v>1398</v>
      </c>
      <c r="C105" t="s">
        <v>62</v>
      </c>
      <c r="D105">
        <v>0</v>
      </c>
      <c r="E105">
        <v>0</v>
      </c>
      <c r="F105">
        <v>0</v>
      </c>
      <c r="G105">
        <v>0</v>
      </c>
      <c r="H105">
        <v>305.71095799377446</v>
      </c>
      <c r="I105">
        <v>44.858244327876939</v>
      </c>
      <c r="J105">
        <v>44.858244327876939</v>
      </c>
      <c r="K105">
        <v>0</v>
      </c>
      <c r="L105">
        <v>0.14673417211557899</v>
      </c>
      <c r="M105" t="s">
        <v>653</v>
      </c>
      <c r="N105" t="s">
        <v>88</v>
      </c>
      <c r="O105" t="s">
        <v>653</v>
      </c>
      <c r="P105" t="s">
        <v>653</v>
      </c>
    </row>
    <row r="106" spans="1:16" hidden="1" x14ac:dyDescent="0.25">
      <c r="A106" t="s">
        <v>426</v>
      </c>
      <c r="B106" t="s">
        <v>427</v>
      </c>
      <c r="D106">
        <v>0</v>
      </c>
      <c r="F106">
        <v>1</v>
      </c>
      <c r="G106">
        <v>0</v>
      </c>
      <c r="H106">
        <v>198</v>
      </c>
      <c r="I106">
        <v>58</v>
      </c>
      <c r="J106">
        <v>59</v>
      </c>
      <c r="K106">
        <v>59</v>
      </c>
      <c r="L106">
        <v>0.29797979797979801</v>
      </c>
      <c r="M106" t="s">
        <v>653</v>
      </c>
      <c r="N106" t="s">
        <v>653</v>
      </c>
      <c r="O106" t="s">
        <v>653</v>
      </c>
      <c r="P106" t="s">
        <v>653</v>
      </c>
    </row>
    <row r="107" spans="1:16" x14ac:dyDescent="0.25">
      <c r="A107" t="s">
        <v>428</v>
      </c>
      <c r="B107" t="s">
        <v>429</v>
      </c>
      <c r="D107">
        <v>0</v>
      </c>
      <c r="F107">
        <v>0</v>
      </c>
      <c r="G107">
        <v>0</v>
      </c>
      <c r="H107">
        <v>54</v>
      </c>
      <c r="I107">
        <v>5</v>
      </c>
      <c r="J107">
        <v>5</v>
      </c>
      <c r="K107">
        <v>5</v>
      </c>
      <c r="L107">
        <v>9.2592592592592601E-2</v>
      </c>
      <c r="M107" t="s">
        <v>88</v>
      </c>
      <c r="N107" t="s">
        <v>88</v>
      </c>
      <c r="O107" t="s">
        <v>88</v>
      </c>
      <c r="P107" t="s">
        <v>88</v>
      </c>
    </row>
    <row r="108" spans="1:16" x14ac:dyDescent="0.25">
      <c r="A108" t="s">
        <v>143</v>
      </c>
      <c r="B108" t="s">
        <v>144</v>
      </c>
      <c r="D108">
        <v>0</v>
      </c>
      <c r="F108">
        <v>9</v>
      </c>
      <c r="G108">
        <v>0</v>
      </c>
      <c r="H108">
        <v>22819</v>
      </c>
      <c r="I108">
        <v>925</v>
      </c>
      <c r="J108">
        <v>934</v>
      </c>
      <c r="K108">
        <v>934</v>
      </c>
      <c r="L108">
        <v>4.09308032779701E-2</v>
      </c>
      <c r="M108" t="s">
        <v>653</v>
      </c>
      <c r="N108" t="s">
        <v>88</v>
      </c>
      <c r="O108" t="s">
        <v>88</v>
      </c>
      <c r="P108" t="s">
        <v>88</v>
      </c>
    </row>
    <row r="109" spans="1:16" x14ac:dyDescent="0.25">
      <c r="A109" t="s">
        <v>145</v>
      </c>
      <c r="B109" t="s">
        <v>146</v>
      </c>
      <c r="D109">
        <v>0</v>
      </c>
      <c r="F109">
        <v>0</v>
      </c>
      <c r="G109">
        <v>0</v>
      </c>
      <c r="H109">
        <v>60</v>
      </c>
      <c r="I109">
        <v>5</v>
      </c>
      <c r="J109">
        <v>5</v>
      </c>
      <c r="K109">
        <v>5</v>
      </c>
      <c r="L109">
        <v>8.3333333333333301E-2</v>
      </c>
      <c r="M109" t="s">
        <v>88</v>
      </c>
      <c r="N109" t="s">
        <v>88</v>
      </c>
      <c r="O109" t="s">
        <v>88</v>
      </c>
      <c r="P109" t="s">
        <v>88</v>
      </c>
    </row>
    <row r="110" spans="1:16" x14ac:dyDescent="0.25">
      <c r="A110" t="s">
        <v>147</v>
      </c>
      <c r="B110" t="s">
        <v>148</v>
      </c>
      <c r="D110">
        <v>0</v>
      </c>
      <c r="F110">
        <v>3</v>
      </c>
      <c r="G110">
        <v>0</v>
      </c>
      <c r="H110">
        <v>1374</v>
      </c>
      <c r="I110">
        <v>101</v>
      </c>
      <c r="J110">
        <v>104</v>
      </c>
      <c r="K110">
        <v>104</v>
      </c>
      <c r="L110">
        <v>7.5691411935953398E-2</v>
      </c>
      <c r="M110" t="s">
        <v>653</v>
      </c>
      <c r="N110" t="s">
        <v>88</v>
      </c>
      <c r="O110" t="s">
        <v>653</v>
      </c>
      <c r="P110" t="s">
        <v>653</v>
      </c>
    </row>
    <row r="111" spans="1:16" hidden="1" x14ac:dyDescent="0.25">
      <c r="A111" t="s">
        <v>430</v>
      </c>
      <c r="B111" t="s">
        <v>431</v>
      </c>
      <c r="D111">
        <v>0</v>
      </c>
      <c r="F111">
        <v>0</v>
      </c>
      <c r="G111">
        <v>0</v>
      </c>
      <c r="H111">
        <v>108</v>
      </c>
      <c r="I111">
        <v>25</v>
      </c>
      <c r="J111">
        <v>25</v>
      </c>
      <c r="K111">
        <v>25</v>
      </c>
      <c r="L111">
        <v>0.23148148148148101</v>
      </c>
      <c r="M111" t="s">
        <v>653</v>
      </c>
      <c r="N111" t="s">
        <v>653</v>
      </c>
      <c r="O111" t="s">
        <v>653</v>
      </c>
      <c r="P111" t="s">
        <v>653</v>
      </c>
    </row>
    <row r="112" spans="1:16" hidden="1" x14ac:dyDescent="0.25">
      <c r="A112" t="s">
        <v>432</v>
      </c>
      <c r="B112" t="s">
        <v>433</v>
      </c>
      <c r="D112">
        <v>0</v>
      </c>
      <c r="F112">
        <v>29</v>
      </c>
      <c r="G112">
        <v>0</v>
      </c>
      <c r="H112">
        <v>5550</v>
      </c>
      <c r="I112">
        <v>883</v>
      </c>
      <c r="J112">
        <v>912</v>
      </c>
      <c r="K112">
        <v>912</v>
      </c>
      <c r="L112">
        <v>0.16432432432432401</v>
      </c>
      <c r="M112" t="s">
        <v>653</v>
      </c>
      <c r="N112" t="s">
        <v>653</v>
      </c>
      <c r="O112" t="s">
        <v>653</v>
      </c>
      <c r="P112" t="s">
        <v>653</v>
      </c>
    </row>
    <row r="113" spans="1:16" x14ac:dyDescent="0.25">
      <c r="A113" t="s">
        <v>434</v>
      </c>
      <c r="B113" t="s">
        <v>435</v>
      </c>
      <c r="D113">
        <v>0</v>
      </c>
      <c r="F113">
        <v>63</v>
      </c>
      <c r="G113">
        <v>0</v>
      </c>
      <c r="H113">
        <v>20751</v>
      </c>
      <c r="I113">
        <v>2957</v>
      </c>
      <c r="J113">
        <v>3020</v>
      </c>
      <c r="K113">
        <v>3020</v>
      </c>
      <c r="L113">
        <v>0.14553515493229199</v>
      </c>
      <c r="M113" t="s">
        <v>653</v>
      </c>
      <c r="N113" t="s">
        <v>88</v>
      </c>
      <c r="O113" t="s">
        <v>653</v>
      </c>
      <c r="P113" t="s">
        <v>653</v>
      </c>
    </row>
    <row r="114" spans="1:16" x14ac:dyDescent="0.25">
      <c r="A114" t="s">
        <v>436</v>
      </c>
      <c r="B114" t="s">
        <v>437</v>
      </c>
      <c r="D114">
        <v>0</v>
      </c>
      <c r="F114">
        <v>34</v>
      </c>
      <c r="G114">
        <v>0</v>
      </c>
      <c r="H114">
        <v>30128</v>
      </c>
      <c r="I114">
        <v>4397</v>
      </c>
      <c r="J114">
        <v>4431</v>
      </c>
      <c r="K114">
        <v>4431</v>
      </c>
      <c r="L114">
        <v>0.14707249070632</v>
      </c>
      <c r="M114" t="s">
        <v>653</v>
      </c>
      <c r="N114" t="s">
        <v>88</v>
      </c>
      <c r="O114" t="s">
        <v>653</v>
      </c>
      <c r="P114" t="s">
        <v>653</v>
      </c>
    </row>
    <row r="115" spans="1:16" hidden="1" x14ac:dyDescent="0.25">
      <c r="A115" t="s">
        <v>438</v>
      </c>
      <c r="B115" t="s">
        <v>439</v>
      </c>
      <c r="D115">
        <v>0</v>
      </c>
      <c r="F115">
        <v>5</v>
      </c>
      <c r="G115">
        <v>0</v>
      </c>
      <c r="H115">
        <v>947</v>
      </c>
      <c r="I115">
        <v>144</v>
      </c>
      <c r="J115">
        <v>149</v>
      </c>
      <c r="K115">
        <v>149</v>
      </c>
      <c r="L115">
        <v>0.15733896515311499</v>
      </c>
      <c r="M115" t="s">
        <v>653</v>
      </c>
      <c r="N115" t="s">
        <v>653</v>
      </c>
      <c r="O115" t="s">
        <v>653</v>
      </c>
      <c r="P115" t="s">
        <v>653</v>
      </c>
    </row>
    <row r="116" spans="1:16" x14ac:dyDescent="0.25">
      <c r="A116" t="s">
        <v>440</v>
      </c>
      <c r="B116" t="s">
        <v>1390</v>
      </c>
      <c r="D116">
        <v>0</v>
      </c>
      <c r="F116">
        <v>9</v>
      </c>
      <c r="G116">
        <v>0</v>
      </c>
      <c r="H116">
        <v>1759</v>
      </c>
      <c r="I116">
        <v>186</v>
      </c>
      <c r="J116">
        <v>195</v>
      </c>
      <c r="K116">
        <v>195</v>
      </c>
      <c r="L116">
        <v>0.11085844229675999</v>
      </c>
      <c r="M116" t="s">
        <v>653</v>
      </c>
      <c r="N116" t="s">
        <v>88</v>
      </c>
      <c r="O116" t="s">
        <v>653</v>
      </c>
      <c r="P116" t="s">
        <v>653</v>
      </c>
    </row>
    <row r="117" spans="1:16" x14ac:dyDescent="0.25">
      <c r="A117" t="s">
        <v>278</v>
      </c>
      <c r="B117" t="s">
        <v>279</v>
      </c>
      <c r="D117">
        <v>0</v>
      </c>
      <c r="F117">
        <v>1</v>
      </c>
      <c r="G117">
        <v>0</v>
      </c>
      <c r="H117">
        <v>747</v>
      </c>
      <c r="I117">
        <v>69</v>
      </c>
      <c r="J117">
        <v>70</v>
      </c>
      <c r="K117">
        <v>70</v>
      </c>
      <c r="L117">
        <v>9.3708165997322596E-2</v>
      </c>
      <c r="M117" t="s">
        <v>653</v>
      </c>
      <c r="N117" t="s">
        <v>88</v>
      </c>
      <c r="O117" t="s">
        <v>653</v>
      </c>
      <c r="P117" t="s">
        <v>653</v>
      </c>
    </row>
    <row r="118" spans="1:16" x14ac:dyDescent="0.25">
      <c r="A118" t="s">
        <v>441</v>
      </c>
      <c r="B118" t="s">
        <v>442</v>
      </c>
      <c r="D118">
        <v>0</v>
      </c>
      <c r="F118">
        <v>1</v>
      </c>
      <c r="G118">
        <v>0</v>
      </c>
      <c r="H118">
        <v>82</v>
      </c>
      <c r="I118">
        <v>4</v>
      </c>
      <c r="J118">
        <v>5</v>
      </c>
      <c r="K118">
        <v>5</v>
      </c>
      <c r="L118">
        <v>6.0975609756097601E-2</v>
      </c>
      <c r="M118" t="s">
        <v>88</v>
      </c>
      <c r="N118" t="s">
        <v>88</v>
      </c>
      <c r="O118" t="s">
        <v>88</v>
      </c>
      <c r="P118" t="s">
        <v>88</v>
      </c>
    </row>
    <row r="119" spans="1:16" x14ac:dyDescent="0.25">
      <c r="A119" t="s">
        <v>149</v>
      </c>
      <c r="B119" t="s">
        <v>150</v>
      </c>
      <c r="D119">
        <v>0</v>
      </c>
      <c r="F119">
        <v>28</v>
      </c>
      <c r="G119">
        <v>0</v>
      </c>
      <c r="H119">
        <v>1941</v>
      </c>
      <c r="I119">
        <v>80</v>
      </c>
      <c r="J119">
        <v>108</v>
      </c>
      <c r="K119">
        <v>108</v>
      </c>
      <c r="L119">
        <v>5.5641421947449803E-2</v>
      </c>
      <c r="M119" t="s">
        <v>653</v>
      </c>
      <c r="N119" t="s">
        <v>88</v>
      </c>
      <c r="O119" t="s">
        <v>653</v>
      </c>
      <c r="P119" t="s">
        <v>653</v>
      </c>
    </row>
    <row r="120" spans="1:16" x14ac:dyDescent="0.25">
      <c r="A120" t="s">
        <v>280</v>
      </c>
      <c r="B120" t="s">
        <v>281</v>
      </c>
      <c r="D120">
        <v>0</v>
      </c>
      <c r="F120">
        <v>2</v>
      </c>
      <c r="G120">
        <v>0</v>
      </c>
      <c r="H120">
        <v>586</v>
      </c>
      <c r="I120">
        <v>57</v>
      </c>
      <c r="J120">
        <v>59</v>
      </c>
      <c r="K120">
        <v>59</v>
      </c>
      <c r="L120">
        <v>0.100682593856655</v>
      </c>
      <c r="M120" t="s">
        <v>653</v>
      </c>
      <c r="N120" t="s">
        <v>88</v>
      </c>
      <c r="O120" t="s">
        <v>653</v>
      </c>
      <c r="P120" t="s">
        <v>653</v>
      </c>
    </row>
    <row r="121" spans="1:16" hidden="1" x14ac:dyDescent="0.25">
      <c r="A121" t="s">
        <v>443</v>
      </c>
      <c r="B121" t="s">
        <v>444</v>
      </c>
      <c r="D121">
        <v>0</v>
      </c>
      <c r="F121">
        <v>0</v>
      </c>
      <c r="G121">
        <v>0</v>
      </c>
      <c r="H121">
        <v>90</v>
      </c>
      <c r="I121">
        <v>17</v>
      </c>
      <c r="J121">
        <v>17</v>
      </c>
      <c r="K121">
        <v>17</v>
      </c>
      <c r="L121">
        <v>0.18888888888888899</v>
      </c>
      <c r="M121" t="s">
        <v>653</v>
      </c>
      <c r="N121" t="s">
        <v>653</v>
      </c>
      <c r="O121" t="s">
        <v>653</v>
      </c>
      <c r="P121" t="s">
        <v>653</v>
      </c>
    </row>
    <row r="122" spans="1:16" x14ac:dyDescent="0.25">
      <c r="A122" t="s">
        <v>282</v>
      </c>
      <c r="B122" t="s">
        <v>283</v>
      </c>
      <c r="D122">
        <v>0</v>
      </c>
      <c r="F122">
        <v>0</v>
      </c>
      <c r="G122">
        <v>0</v>
      </c>
      <c r="H122">
        <v>1245</v>
      </c>
      <c r="I122">
        <v>167</v>
      </c>
      <c r="J122">
        <v>167</v>
      </c>
      <c r="K122">
        <v>167</v>
      </c>
      <c r="L122">
        <v>0.134136546184739</v>
      </c>
      <c r="M122" t="s">
        <v>653</v>
      </c>
      <c r="N122" t="s">
        <v>88</v>
      </c>
      <c r="O122" t="s">
        <v>653</v>
      </c>
      <c r="P122" t="s">
        <v>653</v>
      </c>
    </row>
    <row r="123" spans="1:16" hidden="1" x14ac:dyDescent="0.25">
      <c r="A123" t="s">
        <v>445</v>
      </c>
      <c r="B123" t="s">
        <v>446</v>
      </c>
      <c r="D123">
        <v>0</v>
      </c>
      <c r="F123">
        <v>0</v>
      </c>
      <c r="G123">
        <v>0</v>
      </c>
      <c r="H123">
        <v>175</v>
      </c>
      <c r="I123">
        <v>29</v>
      </c>
      <c r="J123">
        <v>29</v>
      </c>
      <c r="K123">
        <v>29</v>
      </c>
      <c r="L123">
        <v>0.16571428571428601</v>
      </c>
      <c r="M123" t="s">
        <v>653</v>
      </c>
      <c r="N123" t="s">
        <v>653</v>
      </c>
      <c r="O123" t="s">
        <v>653</v>
      </c>
      <c r="P123" t="s">
        <v>653</v>
      </c>
    </row>
    <row r="124" spans="1:16" x14ac:dyDescent="0.25">
      <c r="A124" t="s">
        <v>151</v>
      </c>
      <c r="B124" t="s">
        <v>152</v>
      </c>
      <c r="D124">
        <v>0</v>
      </c>
      <c r="F124">
        <v>15</v>
      </c>
      <c r="G124">
        <v>0</v>
      </c>
      <c r="H124">
        <v>10332</v>
      </c>
      <c r="I124">
        <v>667</v>
      </c>
      <c r="J124">
        <v>682</v>
      </c>
      <c r="K124">
        <v>682</v>
      </c>
      <c r="L124">
        <v>6.6008517228029404E-2</v>
      </c>
      <c r="M124" t="s">
        <v>653</v>
      </c>
      <c r="N124" t="s">
        <v>88</v>
      </c>
      <c r="O124" t="s">
        <v>653</v>
      </c>
      <c r="P124" t="s">
        <v>653</v>
      </c>
    </row>
    <row r="125" spans="1:16" x14ac:dyDescent="0.25">
      <c r="A125" t="s">
        <v>153</v>
      </c>
      <c r="B125" t="s">
        <v>154</v>
      </c>
      <c r="D125">
        <v>0</v>
      </c>
      <c r="F125">
        <v>26</v>
      </c>
      <c r="G125">
        <v>0</v>
      </c>
      <c r="H125">
        <v>35771</v>
      </c>
      <c r="I125">
        <v>1440</v>
      </c>
      <c r="J125">
        <v>1466</v>
      </c>
      <c r="K125">
        <v>1466</v>
      </c>
      <c r="L125">
        <v>4.0982919124430403E-2</v>
      </c>
      <c r="M125" t="s">
        <v>653</v>
      </c>
      <c r="N125" t="s">
        <v>88</v>
      </c>
      <c r="O125" t="s">
        <v>88</v>
      </c>
      <c r="P125" t="s">
        <v>88</v>
      </c>
    </row>
    <row r="126" spans="1:16" x14ac:dyDescent="0.25">
      <c r="A126" t="s">
        <v>155</v>
      </c>
      <c r="B126" t="s">
        <v>156</v>
      </c>
      <c r="D126">
        <v>0</v>
      </c>
      <c r="F126">
        <v>6</v>
      </c>
      <c r="G126">
        <v>0</v>
      </c>
      <c r="H126">
        <v>2662</v>
      </c>
      <c r="I126">
        <v>333</v>
      </c>
      <c r="J126">
        <v>339</v>
      </c>
      <c r="K126">
        <v>339</v>
      </c>
      <c r="L126">
        <v>0.12734785875281701</v>
      </c>
      <c r="M126" t="s">
        <v>653</v>
      </c>
      <c r="N126" t="s">
        <v>88</v>
      </c>
      <c r="O126" t="s">
        <v>653</v>
      </c>
      <c r="P126" t="s">
        <v>653</v>
      </c>
    </row>
    <row r="127" spans="1:16" hidden="1" x14ac:dyDescent="0.25">
      <c r="A127" t="s">
        <v>157</v>
      </c>
      <c r="B127" t="s">
        <v>158</v>
      </c>
      <c r="D127">
        <v>0</v>
      </c>
      <c r="F127">
        <v>0</v>
      </c>
      <c r="G127">
        <v>0</v>
      </c>
      <c r="H127">
        <v>28</v>
      </c>
      <c r="I127">
        <v>10</v>
      </c>
      <c r="J127">
        <v>10</v>
      </c>
      <c r="K127">
        <v>10</v>
      </c>
      <c r="L127">
        <v>0.35714285714285698</v>
      </c>
      <c r="M127" t="s">
        <v>653</v>
      </c>
      <c r="N127" t="s">
        <v>653</v>
      </c>
      <c r="O127" t="s">
        <v>653</v>
      </c>
      <c r="P127" t="s">
        <v>653</v>
      </c>
    </row>
    <row r="128" spans="1:16" x14ac:dyDescent="0.25">
      <c r="A128" t="s">
        <v>159</v>
      </c>
      <c r="B128" t="s">
        <v>160</v>
      </c>
      <c r="D128">
        <v>0</v>
      </c>
      <c r="F128">
        <v>0</v>
      </c>
      <c r="G128">
        <v>0</v>
      </c>
      <c r="H128">
        <v>833</v>
      </c>
      <c r="I128">
        <v>35</v>
      </c>
      <c r="J128">
        <v>35</v>
      </c>
      <c r="K128">
        <v>35</v>
      </c>
      <c r="L128">
        <v>4.20168067226891E-2</v>
      </c>
      <c r="M128" t="s">
        <v>653</v>
      </c>
      <c r="N128" t="s">
        <v>88</v>
      </c>
      <c r="O128" t="s">
        <v>88</v>
      </c>
      <c r="P128" t="s">
        <v>88</v>
      </c>
    </row>
    <row r="129" spans="1:16" hidden="1" x14ac:dyDescent="0.25">
      <c r="A129" t="s">
        <v>447</v>
      </c>
      <c r="B129" t="s">
        <v>448</v>
      </c>
      <c r="D129">
        <v>0</v>
      </c>
      <c r="F129">
        <v>0</v>
      </c>
      <c r="G129">
        <v>0</v>
      </c>
      <c r="H129">
        <v>301</v>
      </c>
      <c r="I129">
        <v>50</v>
      </c>
      <c r="J129">
        <v>50</v>
      </c>
      <c r="K129">
        <v>50</v>
      </c>
      <c r="L129">
        <v>0.16611295681063101</v>
      </c>
      <c r="M129" t="s">
        <v>653</v>
      </c>
      <c r="N129" t="s">
        <v>653</v>
      </c>
      <c r="O129" t="s">
        <v>653</v>
      </c>
      <c r="P129" t="s">
        <v>653</v>
      </c>
    </row>
    <row r="130" spans="1:16" hidden="1" x14ac:dyDescent="0.25">
      <c r="A130" t="s">
        <v>449</v>
      </c>
      <c r="B130" t="s">
        <v>450</v>
      </c>
      <c r="D130">
        <v>0</v>
      </c>
      <c r="F130">
        <v>37</v>
      </c>
      <c r="G130">
        <v>0</v>
      </c>
      <c r="H130">
        <v>7321</v>
      </c>
      <c r="I130">
        <v>1332</v>
      </c>
      <c r="J130">
        <v>1369</v>
      </c>
      <c r="K130">
        <v>1369</v>
      </c>
      <c r="L130">
        <v>0.18699631197923799</v>
      </c>
      <c r="M130" t="s">
        <v>653</v>
      </c>
      <c r="N130" t="s">
        <v>653</v>
      </c>
      <c r="O130" t="s">
        <v>653</v>
      </c>
      <c r="P130" t="s">
        <v>653</v>
      </c>
    </row>
    <row r="131" spans="1:16" hidden="1" x14ac:dyDescent="0.25">
      <c r="A131" t="s">
        <v>451</v>
      </c>
      <c r="B131" t="s">
        <v>452</v>
      </c>
      <c r="D131">
        <v>0</v>
      </c>
      <c r="F131">
        <v>7</v>
      </c>
      <c r="G131">
        <v>0</v>
      </c>
      <c r="H131">
        <v>257</v>
      </c>
      <c r="I131">
        <v>52</v>
      </c>
      <c r="J131">
        <v>59</v>
      </c>
      <c r="K131">
        <v>59</v>
      </c>
      <c r="L131">
        <v>0.22957198443579799</v>
      </c>
      <c r="M131" t="s">
        <v>653</v>
      </c>
      <c r="N131" t="s">
        <v>653</v>
      </c>
      <c r="O131" t="s">
        <v>653</v>
      </c>
      <c r="P131" t="s">
        <v>653</v>
      </c>
    </row>
    <row r="132" spans="1:16" hidden="1" x14ac:dyDescent="0.25">
      <c r="A132" t="s">
        <v>453</v>
      </c>
      <c r="B132" t="s">
        <v>454</v>
      </c>
      <c r="D132">
        <v>0</v>
      </c>
      <c r="F132">
        <v>0</v>
      </c>
      <c r="G132">
        <v>0</v>
      </c>
      <c r="H132">
        <v>280</v>
      </c>
      <c r="I132">
        <v>48</v>
      </c>
      <c r="J132">
        <v>48</v>
      </c>
      <c r="K132">
        <v>48</v>
      </c>
      <c r="L132">
        <v>0.17142857142857101</v>
      </c>
      <c r="M132" t="s">
        <v>653</v>
      </c>
      <c r="N132" t="s">
        <v>653</v>
      </c>
      <c r="O132" t="s">
        <v>653</v>
      </c>
      <c r="P132" t="s">
        <v>653</v>
      </c>
    </row>
    <row r="133" spans="1:16" x14ac:dyDescent="0.25">
      <c r="A133" t="s">
        <v>76</v>
      </c>
      <c r="B133" t="s">
        <v>30</v>
      </c>
      <c r="C133" t="s">
        <v>61</v>
      </c>
      <c r="D133">
        <v>0</v>
      </c>
      <c r="E133">
        <v>0</v>
      </c>
      <c r="F133">
        <v>0</v>
      </c>
      <c r="G133">
        <v>0</v>
      </c>
      <c r="H133">
        <v>38.412876298146564</v>
      </c>
      <c r="I133">
        <v>7.8056390108620333</v>
      </c>
      <c r="J133">
        <v>7.8056390108620333</v>
      </c>
      <c r="K133">
        <v>0</v>
      </c>
      <c r="L133">
        <v>0.20320371091916001</v>
      </c>
      <c r="M133" t="s">
        <v>88</v>
      </c>
      <c r="N133" t="s">
        <v>88</v>
      </c>
      <c r="O133" t="s">
        <v>88</v>
      </c>
      <c r="P133" t="s">
        <v>88</v>
      </c>
    </row>
    <row r="134" spans="1:16" hidden="1" x14ac:dyDescent="0.25">
      <c r="A134" t="s">
        <v>455</v>
      </c>
      <c r="B134" t="s">
        <v>456</v>
      </c>
      <c r="D134">
        <v>0</v>
      </c>
      <c r="F134">
        <v>0</v>
      </c>
      <c r="G134">
        <v>0</v>
      </c>
      <c r="H134">
        <v>418</v>
      </c>
      <c r="I134">
        <v>90</v>
      </c>
      <c r="J134">
        <v>90</v>
      </c>
      <c r="K134">
        <v>90</v>
      </c>
      <c r="L134">
        <v>0.21531100478468901</v>
      </c>
      <c r="M134" t="s">
        <v>653</v>
      </c>
      <c r="N134" t="s">
        <v>653</v>
      </c>
      <c r="O134" t="s">
        <v>653</v>
      </c>
      <c r="P134" t="s">
        <v>653</v>
      </c>
    </row>
    <row r="135" spans="1:16" x14ac:dyDescent="0.25">
      <c r="A135" t="s">
        <v>161</v>
      </c>
      <c r="B135" t="s">
        <v>162</v>
      </c>
      <c r="D135">
        <v>0</v>
      </c>
      <c r="F135">
        <v>4</v>
      </c>
      <c r="G135">
        <v>0</v>
      </c>
      <c r="H135">
        <v>4363</v>
      </c>
      <c r="I135">
        <v>346</v>
      </c>
      <c r="J135">
        <v>350</v>
      </c>
      <c r="K135">
        <v>350</v>
      </c>
      <c r="L135">
        <v>8.0220032088012802E-2</v>
      </c>
      <c r="M135" t="s">
        <v>653</v>
      </c>
      <c r="N135" t="s">
        <v>88</v>
      </c>
      <c r="O135" t="s">
        <v>653</v>
      </c>
      <c r="P135" t="s">
        <v>653</v>
      </c>
    </row>
    <row r="136" spans="1:16" hidden="1" x14ac:dyDescent="0.25">
      <c r="A136" t="s">
        <v>457</v>
      </c>
      <c r="B136" t="s">
        <v>458</v>
      </c>
      <c r="D136">
        <v>0</v>
      </c>
      <c r="F136">
        <v>0</v>
      </c>
      <c r="G136">
        <v>0</v>
      </c>
      <c r="H136">
        <v>770</v>
      </c>
      <c r="I136">
        <v>120</v>
      </c>
      <c r="J136">
        <v>120</v>
      </c>
      <c r="K136">
        <v>120</v>
      </c>
      <c r="L136">
        <v>0.15584415584415601</v>
      </c>
      <c r="M136" t="s">
        <v>653</v>
      </c>
      <c r="N136" t="s">
        <v>653</v>
      </c>
      <c r="O136" t="s">
        <v>653</v>
      </c>
      <c r="P136" t="s">
        <v>653</v>
      </c>
    </row>
    <row r="137" spans="1:16" x14ac:dyDescent="0.25">
      <c r="A137" t="s">
        <v>459</v>
      </c>
      <c r="B137" t="s">
        <v>460</v>
      </c>
      <c r="D137">
        <v>0</v>
      </c>
      <c r="F137">
        <v>0</v>
      </c>
      <c r="G137">
        <v>0</v>
      </c>
      <c r="H137">
        <v>86</v>
      </c>
      <c r="I137">
        <v>11</v>
      </c>
      <c r="J137">
        <v>11</v>
      </c>
      <c r="K137">
        <v>11</v>
      </c>
      <c r="L137">
        <v>0.127906976744186</v>
      </c>
      <c r="M137" t="s">
        <v>653</v>
      </c>
      <c r="N137" t="s">
        <v>88</v>
      </c>
      <c r="O137" t="s">
        <v>653</v>
      </c>
      <c r="P137" t="s">
        <v>653</v>
      </c>
    </row>
    <row r="138" spans="1:16" hidden="1" x14ac:dyDescent="0.25">
      <c r="A138" t="s">
        <v>284</v>
      </c>
      <c r="B138" t="s">
        <v>285</v>
      </c>
      <c r="D138">
        <v>0</v>
      </c>
      <c r="F138">
        <v>0</v>
      </c>
      <c r="G138">
        <v>0</v>
      </c>
      <c r="H138">
        <v>614</v>
      </c>
      <c r="I138">
        <v>103</v>
      </c>
      <c r="J138">
        <v>103</v>
      </c>
      <c r="K138">
        <v>103</v>
      </c>
      <c r="L138">
        <v>0.167752442996743</v>
      </c>
      <c r="M138" t="s">
        <v>653</v>
      </c>
      <c r="N138" t="s">
        <v>653</v>
      </c>
      <c r="O138" t="s">
        <v>653</v>
      </c>
      <c r="P138" t="s">
        <v>653</v>
      </c>
    </row>
    <row r="139" spans="1:16" x14ac:dyDescent="0.25">
      <c r="A139" t="s">
        <v>461</v>
      </c>
      <c r="B139" t="s">
        <v>462</v>
      </c>
      <c r="D139">
        <v>0</v>
      </c>
      <c r="F139">
        <v>0</v>
      </c>
      <c r="G139">
        <v>0</v>
      </c>
      <c r="H139">
        <v>208</v>
      </c>
      <c r="I139">
        <v>25</v>
      </c>
      <c r="J139">
        <v>25</v>
      </c>
      <c r="K139">
        <v>25</v>
      </c>
      <c r="L139">
        <v>0.120192307692308</v>
      </c>
      <c r="M139" t="s">
        <v>653</v>
      </c>
      <c r="N139" t="s">
        <v>88</v>
      </c>
      <c r="O139" t="s">
        <v>653</v>
      </c>
      <c r="P139" t="s">
        <v>653</v>
      </c>
    </row>
    <row r="140" spans="1:16" hidden="1" x14ac:dyDescent="0.25">
      <c r="A140" t="s">
        <v>463</v>
      </c>
      <c r="B140" t="s">
        <v>464</v>
      </c>
      <c r="D140">
        <v>0</v>
      </c>
      <c r="F140">
        <v>0</v>
      </c>
      <c r="G140">
        <v>0</v>
      </c>
      <c r="H140">
        <v>644</v>
      </c>
      <c r="I140">
        <v>116</v>
      </c>
      <c r="J140">
        <v>116</v>
      </c>
      <c r="K140">
        <v>116</v>
      </c>
      <c r="L140">
        <v>0.18012422360248401</v>
      </c>
      <c r="M140" t="s">
        <v>653</v>
      </c>
      <c r="N140" t="s">
        <v>653</v>
      </c>
      <c r="O140" t="s">
        <v>653</v>
      </c>
      <c r="P140" t="s">
        <v>653</v>
      </c>
    </row>
    <row r="141" spans="1:16" x14ac:dyDescent="0.25">
      <c r="A141" t="s">
        <v>163</v>
      </c>
      <c r="B141" t="s">
        <v>164</v>
      </c>
      <c r="D141">
        <v>0</v>
      </c>
      <c r="F141">
        <v>36</v>
      </c>
      <c r="G141">
        <v>0</v>
      </c>
      <c r="H141">
        <v>12636</v>
      </c>
      <c r="I141">
        <v>1407</v>
      </c>
      <c r="J141">
        <v>1443</v>
      </c>
      <c r="K141">
        <v>1443</v>
      </c>
      <c r="L141">
        <v>0.114197530864198</v>
      </c>
      <c r="M141" t="s">
        <v>653</v>
      </c>
      <c r="N141" t="s">
        <v>88</v>
      </c>
      <c r="O141" t="s">
        <v>653</v>
      </c>
      <c r="P141" t="s">
        <v>653</v>
      </c>
    </row>
    <row r="142" spans="1:16" x14ac:dyDescent="0.25">
      <c r="A142" t="s">
        <v>465</v>
      </c>
      <c r="B142" t="s">
        <v>466</v>
      </c>
      <c r="D142">
        <v>0</v>
      </c>
      <c r="F142">
        <v>3</v>
      </c>
      <c r="G142">
        <v>0</v>
      </c>
      <c r="H142">
        <v>573</v>
      </c>
      <c r="I142">
        <v>44</v>
      </c>
      <c r="J142">
        <v>47</v>
      </c>
      <c r="K142">
        <v>47</v>
      </c>
      <c r="L142">
        <v>8.2024432809773104E-2</v>
      </c>
      <c r="M142" t="s">
        <v>653</v>
      </c>
      <c r="N142" t="s">
        <v>88</v>
      </c>
      <c r="O142" t="s">
        <v>653</v>
      </c>
      <c r="P142" t="s">
        <v>653</v>
      </c>
    </row>
    <row r="143" spans="1:16" x14ac:dyDescent="0.25">
      <c r="A143" t="s">
        <v>165</v>
      </c>
      <c r="B143" t="s">
        <v>166</v>
      </c>
      <c r="D143">
        <v>0</v>
      </c>
      <c r="F143">
        <v>32</v>
      </c>
      <c r="G143">
        <v>0</v>
      </c>
      <c r="H143">
        <v>12104</v>
      </c>
      <c r="I143">
        <v>868</v>
      </c>
      <c r="J143">
        <v>900</v>
      </c>
      <c r="K143">
        <v>900</v>
      </c>
      <c r="L143">
        <v>7.4355584930601404E-2</v>
      </c>
      <c r="M143" t="s">
        <v>653</v>
      </c>
      <c r="N143" t="s">
        <v>88</v>
      </c>
      <c r="O143" t="s">
        <v>653</v>
      </c>
      <c r="P143" t="s">
        <v>653</v>
      </c>
    </row>
    <row r="144" spans="1:16" x14ac:dyDescent="0.25">
      <c r="A144" t="s">
        <v>167</v>
      </c>
      <c r="B144" t="s">
        <v>168</v>
      </c>
      <c r="D144">
        <v>0</v>
      </c>
      <c r="F144">
        <v>2</v>
      </c>
      <c r="G144">
        <v>0</v>
      </c>
      <c r="H144">
        <v>1814</v>
      </c>
      <c r="I144">
        <v>168</v>
      </c>
      <c r="J144">
        <v>170</v>
      </c>
      <c r="K144">
        <v>170</v>
      </c>
      <c r="L144">
        <v>9.3715545755236995E-2</v>
      </c>
      <c r="M144" t="s">
        <v>653</v>
      </c>
      <c r="N144" t="s">
        <v>88</v>
      </c>
      <c r="O144" t="s">
        <v>653</v>
      </c>
      <c r="P144" t="s">
        <v>653</v>
      </c>
    </row>
    <row r="145" spans="1:16" x14ac:dyDescent="0.25">
      <c r="A145" t="s">
        <v>169</v>
      </c>
      <c r="B145" t="s">
        <v>170</v>
      </c>
      <c r="D145">
        <v>0</v>
      </c>
      <c r="F145">
        <v>0</v>
      </c>
      <c r="G145">
        <v>0</v>
      </c>
      <c r="H145">
        <v>4900</v>
      </c>
      <c r="I145">
        <v>150</v>
      </c>
      <c r="J145">
        <v>150</v>
      </c>
      <c r="K145">
        <v>150</v>
      </c>
      <c r="L145">
        <v>3.06122448979592E-2</v>
      </c>
      <c r="M145" t="s">
        <v>653</v>
      </c>
      <c r="N145" t="s">
        <v>88</v>
      </c>
      <c r="O145" t="s">
        <v>88</v>
      </c>
      <c r="P145" t="s">
        <v>88</v>
      </c>
    </row>
    <row r="146" spans="1:16" x14ac:dyDescent="0.25">
      <c r="A146" t="s">
        <v>171</v>
      </c>
      <c r="B146" t="s">
        <v>172</v>
      </c>
      <c r="D146">
        <v>0</v>
      </c>
      <c r="F146">
        <v>4</v>
      </c>
      <c r="G146">
        <v>0</v>
      </c>
      <c r="H146">
        <v>1709</v>
      </c>
      <c r="I146">
        <v>213</v>
      </c>
      <c r="J146">
        <v>217</v>
      </c>
      <c r="K146">
        <v>217</v>
      </c>
      <c r="L146">
        <v>0.12697483908718499</v>
      </c>
      <c r="M146" t="s">
        <v>653</v>
      </c>
      <c r="N146" t="s">
        <v>88</v>
      </c>
      <c r="O146" t="s">
        <v>653</v>
      </c>
      <c r="P146" t="s">
        <v>653</v>
      </c>
    </row>
    <row r="147" spans="1:16" hidden="1" x14ac:dyDescent="0.25">
      <c r="A147" t="s">
        <v>467</v>
      </c>
      <c r="B147" t="s">
        <v>468</v>
      </c>
      <c r="D147">
        <v>0</v>
      </c>
      <c r="F147">
        <v>0</v>
      </c>
      <c r="G147">
        <v>0</v>
      </c>
      <c r="H147">
        <v>837</v>
      </c>
      <c r="I147">
        <v>129</v>
      </c>
      <c r="J147">
        <v>129</v>
      </c>
      <c r="K147">
        <v>129</v>
      </c>
      <c r="L147">
        <v>0.154121863799283</v>
      </c>
      <c r="M147" t="s">
        <v>653</v>
      </c>
      <c r="N147" t="s">
        <v>653</v>
      </c>
      <c r="O147" t="s">
        <v>653</v>
      </c>
      <c r="P147" t="s">
        <v>653</v>
      </c>
    </row>
    <row r="148" spans="1:16" hidden="1" x14ac:dyDescent="0.25">
      <c r="A148" t="s">
        <v>469</v>
      </c>
      <c r="B148" t="s">
        <v>470</v>
      </c>
      <c r="D148">
        <v>0</v>
      </c>
      <c r="F148">
        <v>0</v>
      </c>
      <c r="G148">
        <v>0</v>
      </c>
      <c r="H148">
        <v>73</v>
      </c>
      <c r="I148">
        <v>13</v>
      </c>
      <c r="J148">
        <v>13</v>
      </c>
      <c r="K148">
        <v>13</v>
      </c>
      <c r="L148">
        <v>0.17808219178082199</v>
      </c>
      <c r="M148" t="s">
        <v>653</v>
      </c>
      <c r="N148" t="s">
        <v>653</v>
      </c>
      <c r="O148" t="s">
        <v>653</v>
      </c>
      <c r="P148" t="s">
        <v>653</v>
      </c>
    </row>
    <row r="149" spans="1:16" x14ac:dyDescent="0.25">
      <c r="A149" t="s">
        <v>173</v>
      </c>
      <c r="B149" t="s">
        <v>174</v>
      </c>
      <c r="D149">
        <v>0</v>
      </c>
      <c r="F149">
        <v>5</v>
      </c>
      <c r="G149">
        <v>0</v>
      </c>
      <c r="H149">
        <v>6696</v>
      </c>
      <c r="I149">
        <v>453</v>
      </c>
      <c r="J149">
        <v>458</v>
      </c>
      <c r="K149">
        <v>458</v>
      </c>
      <c r="L149">
        <v>6.8399044205495793E-2</v>
      </c>
      <c r="M149" t="s">
        <v>653</v>
      </c>
      <c r="N149" t="s">
        <v>88</v>
      </c>
      <c r="O149" t="s">
        <v>653</v>
      </c>
      <c r="P149" t="s">
        <v>653</v>
      </c>
    </row>
    <row r="150" spans="1:16" x14ac:dyDescent="0.25">
      <c r="A150" t="s">
        <v>471</v>
      </c>
      <c r="B150" t="s">
        <v>472</v>
      </c>
      <c r="D150">
        <v>0</v>
      </c>
      <c r="F150">
        <v>7</v>
      </c>
      <c r="G150">
        <v>0</v>
      </c>
      <c r="H150">
        <v>1337</v>
      </c>
      <c r="I150">
        <v>120</v>
      </c>
      <c r="J150">
        <v>127</v>
      </c>
      <c r="K150">
        <v>127</v>
      </c>
      <c r="L150">
        <v>9.4988780852655205E-2</v>
      </c>
      <c r="M150" t="s">
        <v>653</v>
      </c>
      <c r="N150" t="s">
        <v>88</v>
      </c>
      <c r="O150" t="s">
        <v>653</v>
      </c>
      <c r="P150" t="s">
        <v>653</v>
      </c>
    </row>
    <row r="151" spans="1:16" x14ac:dyDescent="0.25">
      <c r="A151" t="s">
        <v>473</v>
      </c>
      <c r="B151" t="s">
        <v>474</v>
      </c>
      <c r="D151">
        <v>0</v>
      </c>
      <c r="F151">
        <v>0</v>
      </c>
      <c r="G151">
        <v>0</v>
      </c>
      <c r="H151">
        <v>337</v>
      </c>
      <c r="I151">
        <v>42</v>
      </c>
      <c r="J151">
        <v>42</v>
      </c>
      <c r="K151">
        <v>42</v>
      </c>
      <c r="L151">
        <v>0.124629080118694</v>
      </c>
      <c r="M151" t="s">
        <v>653</v>
      </c>
      <c r="N151" t="s">
        <v>88</v>
      </c>
      <c r="O151" t="s">
        <v>653</v>
      </c>
      <c r="P151" t="s">
        <v>653</v>
      </c>
    </row>
    <row r="152" spans="1:16" hidden="1" x14ac:dyDescent="0.25">
      <c r="A152" t="s">
        <v>475</v>
      </c>
      <c r="B152" t="s">
        <v>476</v>
      </c>
      <c r="D152">
        <v>0</v>
      </c>
      <c r="F152">
        <v>37</v>
      </c>
      <c r="G152">
        <v>0</v>
      </c>
      <c r="H152">
        <v>9768</v>
      </c>
      <c r="I152">
        <v>1580</v>
      </c>
      <c r="J152">
        <v>1617</v>
      </c>
      <c r="K152">
        <v>1617</v>
      </c>
      <c r="L152">
        <v>0.16554054054054099</v>
      </c>
      <c r="M152" t="s">
        <v>653</v>
      </c>
      <c r="N152" t="s">
        <v>653</v>
      </c>
      <c r="O152" t="s">
        <v>653</v>
      </c>
      <c r="P152" t="s">
        <v>653</v>
      </c>
    </row>
    <row r="153" spans="1:16" x14ac:dyDescent="0.25">
      <c r="A153" t="s">
        <v>477</v>
      </c>
      <c r="B153" t="s">
        <v>478</v>
      </c>
      <c r="D153">
        <v>0</v>
      </c>
      <c r="F153">
        <v>0</v>
      </c>
      <c r="G153">
        <v>0</v>
      </c>
      <c r="H153">
        <v>708</v>
      </c>
      <c r="I153">
        <v>68</v>
      </c>
      <c r="J153">
        <v>68</v>
      </c>
      <c r="K153">
        <v>68</v>
      </c>
      <c r="L153">
        <v>9.6045197740112997E-2</v>
      </c>
      <c r="M153" t="s">
        <v>653</v>
      </c>
      <c r="N153" t="s">
        <v>88</v>
      </c>
      <c r="O153" t="s">
        <v>653</v>
      </c>
      <c r="P153" t="s">
        <v>653</v>
      </c>
    </row>
    <row r="154" spans="1:16" x14ac:dyDescent="0.25">
      <c r="A154" t="s">
        <v>479</v>
      </c>
      <c r="B154" t="s">
        <v>480</v>
      </c>
      <c r="D154">
        <v>0</v>
      </c>
      <c r="F154">
        <v>7</v>
      </c>
      <c r="G154">
        <v>0</v>
      </c>
      <c r="H154">
        <v>998</v>
      </c>
      <c r="I154">
        <v>124</v>
      </c>
      <c r="J154">
        <v>131</v>
      </c>
      <c r="K154">
        <v>131</v>
      </c>
      <c r="L154">
        <v>0.1312625250501</v>
      </c>
      <c r="M154" t="s">
        <v>653</v>
      </c>
      <c r="N154" t="s">
        <v>88</v>
      </c>
      <c r="O154" t="s">
        <v>653</v>
      </c>
      <c r="P154" t="s">
        <v>653</v>
      </c>
    </row>
    <row r="155" spans="1:16" x14ac:dyDescent="0.25">
      <c r="A155" t="s">
        <v>481</v>
      </c>
      <c r="B155" t="s">
        <v>482</v>
      </c>
      <c r="D155">
        <v>0</v>
      </c>
      <c r="F155">
        <v>6</v>
      </c>
      <c r="G155">
        <v>0</v>
      </c>
      <c r="H155">
        <v>2441</v>
      </c>
      <c r="I155">
        <v>267</v>
      </c>
      <c r="J155">
        <v>273</v>
      </c>
      <c r="K155">
        <v>273</v>
      </c>
      <c r="L155">
        <v>0.111839410077837</v>
      </c>
      <c r="M155" t="s">
        <v>653</v>
      </c>
      <c r="N155" t="s">
        <v>88</v>
      </c>
      <c r="O155" t="s">
        <v>653</v>
      </c>
      <c r="P155" t="s">
        <v>653</v>
      </c>
    </row>
    <row r="156" spans="1:16" x14ac:dyDescent="0.25">
      <c r="A156" t="s">
        <v>175</v>
      </c>
      <c r="B156" t="s">
        <v>176</v>
      </c>
      <c r="D156">
        <v>0</v>
      </c>
      <c r="F156">
        <v>0</v>
      </c>
      <c r="G156">
        <v>0</v>
      </c>
      <c r="H156">
        <v>41</v>
      </c>
      <c r="I156">
        <v>2</v>
      </c>
      <c r="J156">
        <v>2</v>
      </c>
      <c r="K156">
        <v>2</v>
      </c>
      <c r="L156">
        <v>4.8780487804878002E-2</v>
      </c>
      <c r="M156" t="s">
        <v>88</v>
      </c>
      <c r="N156" t="s">
        <v>88</v>
      </c>
      <c r="O156" t="s">
        <v>88</v>
      </c>
      <c r="P156" t="s">
        <v>88</v>
      </c>
    </row>
    <row r="157" spans="1:16" x14ac:dyDescent="0.25">
      <c r="A157" t="s">
        <v>483</v>
      </c>
      <c r="B157" t="s">
        <v>484</v>
      </c>
      <c r="D157">
        <v>0</v>
      </c>
      <c r="F157">
        <v>15</v>
      </c>
      <c r="G157">
        <v>0</v>
      </c>
      <c r="H157">
        <v>6740</v>
      </c>
      <c r="I157">
        <v>891</v>
      </c>
      <c r="J157">
        <v>906</v>
      </c>
      <c r="K157">
        <v>906</v>
      </c>
      <c r="L157">
        <v>0.13442136498516299</v>
      </c>
      <c r="M157" t="s">
        <v>653</v>
      </c>
      <c r="N157" t="s">
        <v>88</v>
      </c>
      <c r="O157" t="s">
        <v>653</v>
      </c>
      <c r="P157" t="s">
        <v>653</v>
      </c>
    </row>
    <row r="158" spans="1:16" x14ac:dyDescent="0.25">
      <c r="A158" t="s">
        <v>286</v>
      </c>
      <c r="B158" t="s">
        <v>287</v>
      </c>
      <c r="D158">
        <v>0</v>
      </c>
      <c r="F158">
        <v>11</v>
      </c>
      <c r="G158">
        <v>0</v>
      </c>
      <c r="H158">
        <v>17058</v>
      </c>
      <c r="I158">
        <v>2448</v>
      </c>
      <c r="J158">
        <v>2459</v>
      </c>
      <c r="K158">
        <v>2459</v>
      </c>
      <c r="L158">
        <v>0.144155235080314</v>
      </c>
      <c r="M158" t="s">
        <v>653</v>
      </c>
      <c r="N158" t="s">
        <v>88</v>
      </c>
      <c r="O158" t="s">
        <v>653</v>
      </c>
      <c r="P158" t="s">
        <v>653</v>
      </c>
    </row>
    <row r="159" spans="1:16" x14ac:dyDescent="0.25">
      <c r="A159" t="s">
        <v>485</v>
      </c>
      <c r="B159" t="s">
        <v>486</v>
      </c>
      <c r="D159">
        <v>0</v>
      </c>
      <c r="F159">
        <v>1</v>
      </c>
      <c r="G159">
        <v>0</v>
      </c>
      <c r="H159">
        <v>1614</v>
      </c>
      <c r="I159">
        <v>173</v>
      </c>
      <c r="J159">
        <v>174</v>
      </c>
      <c r="K159">
        <v>174</v>
      </c>
      <c r="L159">
        <v>0.107806691449814</v>
      </c>
      <c r="M159" t="s">
        <v>653</v>
      </c>
      <c r="N159" t="s">
        <v>88</v>
      </c>
      <c r="O159" t="s">
        <v>653</v>
      </c>
      <c r="P159" t="s">
        <v>653</v>
      </c>
    </row>
    <row r="160" spans="1:16" x14ac:dyDescent="0.25">
      <c r="A160" t="s">
        <v>487</v>
      </c>
      <c r="B160" t="s">
        <v>488</v>
      </c>
      <c r="D160">
        <v>0</v>
      </c>
      <c r="F160">
        <v>0</v>
      </c>
      <c r="G160">
        <v>0</v>
      </c>
      <c r="H160">
        <v>785</v>
      </c>
      <c r="I160">
        <v>82</v>
      </c>
      <c r="J160">
        <v>82</v>
      </c>
      <c r="K160">
        <v>82</v>
      </c>
      <c r="L160">
        <v>0.104458598726115</v>
      </c>
      <c r="M160" t="s">
        <v>653</v>
      </c>
      <c r="N160" t="s">
        <v>88</v>
      </c>
      <c r="O160" t="s">
        <v>653</v>
      </c>
      <c r="P160" t="s">
        <v>653</v>
      </c>
    </row>
    <row r="161" spans="1:16" x14ac:dyDescent="0.25">
      <c r="A161" t="s">
        <v>489</v>
      </c>
      <c r="B161" t="s">
        <v>490</v>
      </c>
      <c r="D161">
        <v>0</v>
      </c>
      <c r="F161">
        <v>1</v>
      </c>
      <c r="G161">
        <v>0</v>
      </c>
      <c r="H161">
        <v>335</v>
      </c>
      <c r="I161">
        <v>39</v>
      </c>
      <c r="J161">
        <v>40</v>
      </c>
      <c r="K161">
        <v>40</v>
      </c>
      <c r="L161">
        <v>0.119402985074627</v>
      </c>
      <c r="M161" t="s">
        <v>653</v>
      </c>
      <c r="N161" t="s">
        <v>88</v>
      </c>
      <c r="O161" t="s">
        <v>653</v>
      </c>
      <c r="P161" t="s">
        <v>653</v>
      </c>
    </row>
    <row r="162" spans="1:16" hidden="1" x14ac:dyDescent="0.25">
      <c r="A162" t="s">
        <v>491</v>
      </c>
      <c r="B162" t="s">
        <v>492</v>
      </c>
      <c r="D162">
        <v>0</v>
      </c>
      <c r="F162">
        <v>0</v>
      </c>
      <c r="G162">
        <v>0</v>
      </c>
      <c r="H162">
        <v>246</v>
      </c>
      <c r="I162">
        <v>70</v>
      </c>
      <c r="J162">
        <v>70</v>
      </c>
      <c r="K162">
        <v>70</v>
      </c>
      <c r="L162">
        <v>0.284552845528455</v>
      </c>
      <c r="M162" t="s">
        <v>653</v>
      </c>
      <c r="N162" t="s">
        <v>653</v>
      </c>
      <c r="O162" t="s">
        <v>653</v>
      </c>
      <c r="P162" t="s">
        <v>653</v>
      </c>
    </row>
    <row r="163" spans="1:16" hidden="1" x14ac:dyDescent="0.25">
      <c r="A163" t="s">
        <v>493</v>
      </c>
      <c r="B163" t="s">
        <v>494</v>
      </c>
      <c r="D163">
        <v>0</v>
      </c>
      <c r="F163">
        <v>5</v>
      </c>
      <c r="G163">
        <v>0</v>
      </c>
      <c r="H163">
        <v>1430</v>
      </c>
      <c r="I163">
        <v>268</v>
      </c>
      <c r="J163">
        <v>273</v>
      </c>
      <c r="K163">
        <v>273</v>
      </c>
      <c r="L163">
        <v>0.190909090909091</v>
      </c>
      <c r="M163" t="s">
        <v>653</v>
      </c>
      <c r="N163" t="s">
        <v>653</v>
      </c>
      <c r="O163" t="s">
        <v>653</v>
      </c>
      <c r="P163" t="s">
        <v>653</v>
      </c>
    </row>
    <row r="164" spans="1:16" x14ac:dyDescent="0.25">
      <c r="A164" t="s">
        <v>495</v>
      </c>
      <c r="B164" t="s">
        <v>496</v>
      </c>
      <c r="D164">
        <v>0</v>
      </c>
      <c r="F164">
        <v>0</v>
      </c>
      <c r="G164">
        <v>0</v>
      </c>
      <c r="H164">
        <v>1574</v>
      </c>
      <c r="I164">
        <v>115</v>
      </c>
      <c r="J164">
        <v>115</v>
      </c>
      <c r="K164">
        <v>115</v>
      </c>
      <c r="L164">
        <v>7.3062261753494298E-2</v>
      </c>
      <c r="M164" t="s">
        <v>653</v>
      </c>
      <c r="N164" t="s">
        <v>88</v>
      </c>
      <c r="O164" t="s">
        <v>653</v>
      </c>
      <c r="P164" t="s">
        <v>653</v>
      </c>
    </row>
    <row r="165" spans="1:16" x14ac:dyDescent="0.25">
      <c r="A165" t="s">
        <v>177</v>
      </c>
      <c r="B165" t="s">
        <v>178</v>
      </c>
      <c r="D165">
        <v>0</v>
      </c>
      <c r="F165">
        <v>8</v>
      </c>
      <c r="G165">
        <v>0</v>
      </c>
      <c r="H165">
        <v>2216</v>
      </c>
      <c r="I165">
        <v>242</v>
      </c>
      <c r="J165">
        <v>250</v>
      </c>
      <c r="K165">
        <v>250</v>
      </c>
      <c r="L165">
        <v>0.112815884476534</v>
      </c>
      <c r="M165" t="s">
        <v>653</v>
      </c>
      <c r="N165" t="s">
        <v>88</v>
      </c>
      <c r="O165" t="s">
        <v>653</v>
      </c>
      <c r="P165" t="s">
        <v>653</v>
      </c>
    </row>
    <row r="166" spans="1:16" hidden="1" x14ac:dyDescent="0.25">
      <c r="A166" t="s">
        <v>497</v>
      </c>
      <c r="B166" t="s">
        <v>498</v>
      </c>
      <c r="D166">
        <v>0</v>
      </c>
      <c r="F166">
        <v>3</v>
      </c>
      <c r="G166">
        <v>0</v>
      </c>
      <c r="H166">
        <v>705</v>
      </c>
      <c r="I166">
        <v>126</v>
      </c>
      <c r="J166">
        <v>129</v>
      </c>
      <c r="K166">
        <v>129</v>
      </c>
      <c r="L166">
        <v>0.182978723404255</v>
      </c>
      <c r="M166" t="s">
        <v>653</v>
      </c>
      <c r="N166" t="s">
        <v>653</v>
      </c>
      <c r="O166" t="s">
        <v>653</v>
      </c>
      <c r="P166" t="s">
        <v>653</v>
      </c>
    </row>
    <row r="167" spans="1:16" x14ac:dyDescent="0.25">
      <c r="A167" t="s">
        <v>499</v>
      </c>
      <c r="B167" t="s">
        <v>500</v>
      </c>
      <c r="D167">
        <v>0</v>
      </c>
      <c r="F167">
        <v>0</v>
      </c>
      <c r="G167">
        <v>0</v>
      </c>
      <c r="H167">
        <v>2208</v>
      </c>
      <c r="I167">
        <v>198</v>
      </c>
      <c r="J167">
        <v>198</v>
      </c>
      <c r="K167">
        <v>198</v>
      </c>
      <c r="L167">
        <v>8.9673913043478201E-2</v>
      </c>
      <c r="M167" t="s">
        <v>653</v>
      </c>
      <c r="N167" t="s">
        <v>88</v>
      </c>
      <c r="O167" t="s">
        <v>653</v>
      </c>
      <c r="P167" t="s">
        <v>653</v>
      </c>
    </row>
    <row r="168" spans="1:16" x14ac:dyDescent="0.25">
      <c r="A168" t="s">
        <v>179</v>
      </c>
      <c r="B168" t="s">
        <v>180</v>
      </c>
      <c r="D168">
        <v>0</v>
      </c>
      <c r="F168">
        <v>24</v>
      </c>
      <c r="G168">
        <v>0</v>
      </c>
      <c r="H168">
        <v>7160</v>
      </c>
      <c r="I168">
        <v>475</v>
      </c>
      <c r="J168">
        <v>499</v>
      </c>
      <c r="K168">
        <v>499</v>
      </c>
      <c r="L168">
        <v>6.9692737430167601E-2</v>
      </c>
      <c r="M168" t="s">
        <v>653</v>
      </c>
      <c r="N168" t="s">
        <v>88</v>
      </c>
      <c r="O168" t="s">
        <v>653</v>
      </c>
      <c r="P168" t="s">
        <v>653</v>
      </c>
    </row>
    <row r="169" spans="1:16" hidden="1" x14ac:dyDescent="0.25">
      <c r="A169" t="s">
        <v>501</v>
      </c>
      <c r="B169" t="s">
        <v>502</v>
      </c>
      <c r="D169">
        <v>0</v>
      </c>
      <c r="F169">
        <v>4</v>
      </c>
      <c r="G169">
        <v>0</v>
      </c>
      <c r="H169">
        <v>2476</v>
      </c>
      <c r="I169">
        <v>368</v>
      </c>
      <c r="J169">
        <v>372</v>
      </c>
      <c r="K169">
        <v>372</v>
      </c>
      <c r="L169">
        <v>0.150242326332795</v>
      </c>
      <c r="M169" t="s">
        <v>653</v>
      </c>
      <c r="N169" t="s">
        <v>653</v>
      </c>
      <c r="O169" t="s">
        <v>653</v>
      </c>
      <c r="P169" t="s">
        <v>653</v>
      </c>
    </row>
    <row r="170" spans="1:16" hidden="1" x14ac:dyDescent="0.25">
      <c r="A170" t="s">
        <v>503</v>
      </c>
      <c r="B170" t="s">
        <v>504</v>
      </c>
      <c r="D170">
        <v>0</v>
      </c>
      <c r="F170">
        <v>0</v>
      </c>
      <c r="G170">
        <v>0</v>
      </c>
      <c r="H170">
        <v>51</v>
      </c>
      <c r="I170">
        <v>10</v>
      </c>
      <c r="J170">
        <v>10</v>
      </c>
      <c r="K170">
        <v>10</v>
      </c>
      <c r="L170">
        <v>0.19607843137254899</v>
      </c>
      <c r="M170" t="s">
        <v>653</v>
      </c>
      <c r="N170" t="s">
        <v>653</v>
      </c>
      <c r="O170" t="s">
        <v>653</v>
      </c>
      <c r="P170" t="s">
        <v>653</v>
      </c>
    </row>
    <row r="171" spans="1:16" x14ac:dyDescent="0.25">
      <c r="A171" t="s">
        <v>181</v>
      </c>
      <c r="B171" t="s">
        <v>182</v>
      </c>
      <c r="D171">
        <v>0</v>
      </c>
      <c r="F171">
        <v>48</v>
      </c>
      <c r="G171">
        <v>0</v>
      </c>
      <c r="H171">
        <v>17029</v>
      </c>
      <c r="I171">
        <v>1575</v>
      </c>
      <c r="J171">
        <v>1623</v>
      </c>
      <c r="K171">
        <v>1623</v>
      </c>
      <c r="L171">
        <v>9.5308003993188103E-2</v>
      </c>
      <c r="M171" t="s">
        <v>653</v>
      </c>
      <c r="N171" t="s">
        <v>88</v>
      </c>
      <c r="O171" t="s">
        <v>653</v>
      </c>
      <c r="P171" t="s">
        <v>653</v>
      </c>
    </row>
    <row r="172" spans="1:16" hidden="1" x14ac:dyDescent="0.25">
      <c r="A172" t="s">
        <v>505</v>
      </c>
      <c r="B172" t="s">
        <v>506</v>
      </c>
      <c r="D172">
        <v>0</v>
      </c>
      <c r="F172">
        <v>0</v>
      </c>
      <c r="G172">
        <v>0</v>
      </c>
      <c r="H172">
        <v>227</v>
      </c>
      <c r="I172">
        <v>44</v>
      </c>
      <c r="J172">
        <v>44</v>
      </c>
      <c r="K172">
        <v>44</v>
      </c>
      <c r="L172">
        <v>0.19383259911894299</v>
      </c>
      <c r="M172" t="s">
        <v>653</v>
      </c>
      <c r="N172" t="s">
        <v>653</v>
      </c>
      <c r="O172" t="s">
        <v>653</v>
      </c>
      <c r="P172" t="s">
        <v>653</v>
      </c>
    </row>
    <row r="173" spans="1:16" x14ac:dyDescent="0.25">
      <c r="A173" t="s">
        <v>183</v>
      </c>
      <c r="B173" t="s">
        <v>184</v>
      </c>
      <c r="D173">
        <v>0</v>
      </c>
      <c r="F173">
        <v>40</v>
      </c>
      <c r="G173">
        <v>0</v>
      </c>
      <c r="H173">
        <v>26389</v>
      </c>
      <c r="I173">
        <v>1033</v>
      </c>
      <c r="J173">
        <v>1073</v>
      </c>
      <c r="K173">
        <v>1073</v>
      </c>
      <c r="L173">
        <v>4.0660881427867702E-2</v>
      </c>
      <c r="M173" t="s">
        <v>653</v>
      </c>
      <c r="N173" t="s">
        <v>88</v>
      </c>
      <c r="O173" t="s">
        <v>88</v>
      </c>
      <c r="P173" t="s">
        <v>88</v>
      </c>
    </row>
    <row r="174" spans="1:16" x14ac:dyDescent="0.25">
      <c r="A174" t="s">
        <v>185</v>
      </c>
      <c r="B174" t="s">
        <v>186</v>
      </c>
      <c r="D174">
        <v>0</v>
      </c>
      <c r="F174">
        <v>5</v>
      </c>
      <c r="G174">
        <v>0</v>
      </c>
      <c r="H174">
        <v>5955</v>
      </c>
      <c r="I174">
        <v>569</v>
      </c>
      <c r="J174">
        <v>574</v>
      </c>
      <c r="K174">
        <v>574</v>
      </c>
      <c r="L174">
        <v>9.6389588581024394E-2</v>
      </c>
      <c r="M174" t="s">
        <v>653</v>
      </c>
      <c r="N174" t="s">
        <v>88</v>
      </c>
      <c r="O174" t="s">
        <v>653</v>
      </c>
      <c r="P174" t="s">
        <v>653</v>
      </c>
    </row>
    <row r="175" spans="1:16" x14ac:dyDescent="0.25">
      <c r="A175" t="s">
        <v>187</v>
      </c>
      <c r="B175" t="s">
        <v>188</v>
      </c>
      <c r="D175">
        <v>0</v>
      </c>
      <c r="F175">
        <v>0</v>
      </c>
      <c r="G175">
        <v>0</v>
      </c>
      <c r="H175">
        <v>131</v>
      </c>
      <c r="I175">
        <v>9</v>
      </c>
      <c r="J175">
        <v>9</v>
      </c>
      <c r="K175">
        <v>9</v>
      </c>
      <c r="L175">
        <v>6.8702290076335895E-2</v>
      </c>
      <c r="M175" t="s">
        <v>88</v>
      </c>
      <c r="N175" t="s">
        <v>88</v>
      </c>
      <c r="O175" t="s">
        <v>88</v>
      </c>
      <c r="P175" t="s">
        <v>88</v>
      </c>
    </row>
    <row r="176" spans="1:16" x14ac:dyDescent="0.25">
      <c r="A176" t="s">
        <v>507</v>
      </c>
      <c r="B176" t="s">
        <v>508</v>
      </c>
      <c r="D176">
        <v>0</v>
      </c>
      <c r="F176">
        <v>4</v>
      </c>
      <c r="G176">
        <v>0</v>
      </c>
      <c r="H176">
        <v>452</v>
      </c>
      <c r="I176">
        <v>62</v>
      </c>
      <c r="J176">
        <v>66</v>
      </c>
      <c r="K176">
        <v>66</v>
      </c>
      <c r="L176">
        <v>0.146017699115044</v>
      </c>
      <c r="M176" t="s">
        <v>653</v>
      </c>
      <c r="N176" t="s">
        <v>88</v>
      </c>
      <c r="O176" t="s">
        <v>653</v>
      </c>
      <c r="P176" t="s">
        <v>653</v>
      </c>
    </row>
    <row r="177" spans="1:16" hidden="1" x14ac:dyDescent="0.25">
      <c r="A177" t="s">
        <v>509</v>
      </c>
      <c r="B177" t="s">
        <v>510</v>
      </c>
      <c r="D177">
        <v>0</v>
      </c>
      <c r="F177">
        <v>4</v>
      </c>
      <c r="G177">
        <v>0</v>
      </c>
      <c r="H177">
        <v>1023</v>
      </c>
      <c r="I177">
        <v>189</v>
      </c>
      <c r="J177">
        <v>193</v>
      </c>
      <c r="K177">
        <v>193</v>
      </c>
      <c r="L177">
        <v>0.18866080156402701</v>
      </c>
      <c r="M177" t="s">
        <v>653</v>
      </c>
      <c r="N177" t="s">
        <v>653</v>
      </c>
      <c r="O177" t="s">
        <v>653</v>
      </c>
      <c r="P177" t="s">
        <v>653</v>
      </c>
    </row>
    <row r="178" spans="1:16" hidden="1" x14ac:dyDescent="0.25">
      <c r="A178" t="s">
        <v>511</v>
      </c>
      <c r="B178" t="s">
        <v>512</v>
      </c>
      <c r="D178">
        <v>0</v>
      </c>
      <c r="F178">
        <v>2</v>
      </c>
      <c r="G178">
        <v>0</v>
      </c>
      <c r="H178">
        <v>660</v>
      </c>
      <c r="I178">
        <v>138</v>
      </c>
      <c r="J178">
        <v>140</v>
      </c>
      <c r="K178">
        <v>140</v>
      </c>
      <c r="L178">
        <v>0.21212121212121199</v>
      </c>
      <c r="M178" t="s">
        <v>653</v>
      </c>
      <c r="N178" t="s">
        <v>653</v>
      </c>
      <c r="O178" t="s">
        <v>653</v>
      </c>
      <c r="P178" t="s">
        <v>653</v>
      </c>
    </row>
    <row r="179" spans="1:16" x14ac:dyDescent="0.25">
      <c r="A179" t="s">
        <v>288</v>
      </c>
      <c r="B179" t="s">
        <v>289</v>
      </c>
      <c r="D179">
        <v>0</v>
      </c>
      <c r="F179">
        <v>0</v>
      </c>
      <c r="G179">
        <v>0</v>
      </c>
      <c r="H179">
        <v>308</v>
      </c>
      <c r="I179">
        <v>45</v>
      </c>
      <c r="J179">
        <v>45</v>
      </c>
      <c r="K179">
        <v>45</v>
      </c>
      <c r="L179">
        <v>0.14610389610389601</v>
      </c>
      <c r="M179" t="s">
        <v>653</v>
      </c>
      <c r="N179" t="s">
        <v>88</v>
      </c>
      <c r="O179" t="s">
        <v>653</v>
      </c>
      <c r="P179" t="s">
        <v>653</v>
      </c>
    </row>
    <row r="180" spans="1:16" hidden="1" x14ac:dyDescent="0.25">
      <c r="A180" t="s">
        <v>513</v>
      </c>
      <c r="B180" t="s">
        <v>514</v>
      </c>
      <c r="D180">
        <v>0</v>
      </c>
      <c r="F180">
        <v>2</v>
      </c>
      <c r="G180">
        <v>0</v>
      </c>
      <c r="H180">
        <v>958</v>
      </c>
      <c r="I180">
        <v>151</v>
      </c>
      <c r="J180">
        <v>153</v>
      </c>
      <c r="K180">
        <v>153</v>
      </c>
      <c r="L180">
        <v>0.15970772442588699</v>
      </c>
      <c r="M180" t="s">
        <v>653</v>
      </c>
      <c r="N180" t="s">
        <v>653</v>
      </c>
      <c r="O180" t="s">
        <v>653</v>
      </c>
      <c r="P180" t="s">
        <v>653</v>
      </c>
    </row>
    <row r="181" spans="1:16" x14ac:dyDescent="0.25">
      <c r="A181" t="s">
        <v>189</v>
      </c>
      <c r="B181" t="s">
        <v>190</v>
      </c>
      <c r="D181">
        <v>0</v>
      </c>
      <c r="F181">
        <v>21</v>
      </c>
      <c r="G181">
        <v>0</v>
      </c>
      <c r="H181">
        <v>10404</v>
      </c>
      <c r="I181">
        <v>868</v>
      </c>
      <c r="J181">
        <v>889</v>
      </c>
      <c r="K181">
        <v>889</v>
      </c>
      <c r="L181">
        <v>8.54479046520569E-2</v>
      </c>
      <c r="M181" t="s">
        <v>653</v>
      </c>
      <c r="N181" t="s">
        <v>88</v>
      </c>
      <c r="O181" t="s">
        <v>653</v>
      </c>
      <c r="P181" t="s">
        <v>653</v>
      </c>
    </row>
    <row r="182" spans="1:16" hidden="1" x14ac:dyDescent="0.25">
      <c r="A182" t="s">
        <v>515</v>
      </c>
      <c r="B182" t="s">
        <v>516</v>
      </c>
      <c r="D182">
        <v>0</v>
      </c>
      <c r="F182">
        <v>12</v>
      </c>
      <c r="G182">
        <v>0</v>
      </c>
      <c r="H182">
        <v>1880</v>
      </c>
      <c r="I182">
        <v>384</v>
      </c>
      <c r="J182">
        <v>396</v>
      </c>
      <c r="K182">
        <v>396</v>
      </c>
      <c r="L182">
        <v>0.21063829787234001</v>
      </c>
      <c r="M182" t="s">
        <v>653</v>
      </c>
      <c r="N182" t="s">
        <v>653</v>
      </c>
      <c r="O182" t="s">
        <v>653</v>
      </c>
      <c r="P182" t="s">
        <v>653</v>
      </c>
    </row>
    <row r="183" spans="1:16" x14ac:dyDescent="0.25">
      <c r="A183" t="s">
        <v>517</v>
      </c>
      <c r="B183" t="s">
        <v>518</v>
      </c>
      <c r="D183">
        <v>0</v>
      </c>
      <c r="F183">
        <v>2</v>
      </c>
      <c r="G183">
        <v>0</v>
      </c>
      <c r="H183">
        <v>946</v>
      </c>
      <c r="I183">
        <v>102</v>
      </c>
      <c r="J183">
        <v>104</v>
      </c>
      <c r="K183">
        <v>104</v>
      </c>
      <c r="L183">
        <v>0.10993657505285399</v>
      </c>
      <c r="M183" t="s">
        <v>653</v>
      </c>
      <c r="N183" t="s">
        <v>88</v>
      </c>
      <c r="O183" t="s">
        <v>653</v>
      </c>
      <c r="P183" t="s">
        <v>653</v>
      </c>
    </row>
    <row r="184" spans="1:16" hidden="1" x14ac:dyDescent="0.25">
      <c r="A184" t="s">
        <v>519</v>
      </c>
      <c r="B184" t="s">
        <v>520</v>
      </c>
      <c r="D184">
        <v>0</v>
      </c>
      <c r="F184">
        <v>0</v>
      </c>
      <c r="G184">
        <v>0</v>
      </c>
      <c r="H184">
        <v>63</v>
      </c>
      <c r="I184">
        <v>24</v>
      </c>
      <c r="J184">
        <v>24</v>
      </c>
      <c r="K184">
        <v>24</v>
      </c>
      <c r="L184">
        <v>0.38095238095238099</v>
      </c>
      <c r="M184" t="s">
        <v>653</v>
      </c>
      <c r="N184" t="s">
        <v>653</v>
      </c>
      <c r="O184" t="s">
        <v>653</v>
      </c>
      <c r="P184" t="s">
        <v>653</v>
      </c>
    </row>
    <row r="185" spans="1:16" x14ac:dyDescent="0.25">
      <c r="A185" t="s">
        <v>521</v>
      </c>
      <c r="B185" t="s">
        <v>522</v>
      </c>
      <c r="D185">
        <v>0</v>
      </c>
      <c r="F185">
        <v>0</v>
      </c>
      <c r="G185">
        <v>0</v>
      </c>
      <c r="H185">
        <v>573</v>
      </c>
      <c r="I185">
        <v>84</v>
      </c>
      <c r="J185">
        <v>84</v>
      </c>
      <c r="K185">
        <v>84</v>
      </c>
      <c r="L185">
        <v>0.146596858638743</v>
      </c>
      <c r="M185" t="s">
        <v>653</v>
      </c>
      <c r="N185" t="s">
        <v>88</v>
      </c>
      <c r="O185" t="s">
        <v>653</v>
      </c>
      <c r="P185" t="s">
        <v>653</v>
      </c>
    </row>
    <row r="186" spans="1:16" x14ac:dyDescent="0.25">
      <c r="A186" t="s">
        <v>290</v>
      </c>
      <c r="B186" t="s">
        <v>291</v>
      </c>
      <c r="D186">
        <v>0</v>
      </c>
      <c r="F186">
        <v>0</v>
      </c>
      <c r="G186">
        <v>0</v>
      </c>
      <c r="H186">
        <v>178</v>
      </c>
      <c r="I186">
        <v>16</v>
      </c>
      <c r="J186">
        <v>16</v>
      </c>
      <c r="K186">
        <v>16</v>
      </c>
      <c r="L186">
        <v>8.98876404494382E-2</v>
      </c>
      <c r="M186" t="s">
        <v>653</v>
      </c>
      <c r="N186" t="s">
        <v>88</v>
      </c>
      <c r="O186" t="s">
        <v>653</v>
      </c>
      <c r="P186" t="s">
        <v>653</v>
      </c>
    </row>
    <row r="187" spans="1:16" hidden="1" x14ac:dyDescent="0.25">
      <c r="A187" t="s">
        <v>523</v>
      </c>
      <c r="B187" t="s">
        <v>524</v>
      </c>
      <c r="D187">
        <v>0</v>
      </c>
      <c r="F187">
        <v>0</v>
      </c>
      <c r="G187">
        <v>0</v>
      </c>
      <c r="H187">
        <v>130</v>
      </c>
      <c r="I187">
        <v>45</v>
      </c>
      <c r="J187">
        <v>45</v>
      </c>
      <c r="K187">
        <v>45</v>
      </c>
      <c r="L187">
        <v>0.34615384615384598</v>
      </c>
      <c r="M187" t="s">
        <v>653</v>
      </c>
      <c r="N187" t="s">
        <v>653</v>
      </c>
      <c r="O187" t="s">
        <v>653</v>
      </c>
      <c r="P187" t="s">
        <v>653</v>
      </c>
    </row>
    <row r="188" spans="1:16" x14ac:dyDescent="0.25">
      <c r="A188" t="s">
        <v>525</v>
      </c>
      <c r="B188" t="s">
        <v>526</v>
      </c>
      <c r="D188">
        <v>0</v>
      </c>
      <c r="F188">
        <v>0</v>
      </c>
      <c r="G188">
        <v>0</v>
      </c>
      <c r="H188">
        <v>264</v>
      </c>
      <c r="I188">
        <v>19</v>
      </c>
      <c r="J188">
        <v>19</v>
      </c>
      <c r="K188">
        <v>19</v>
      </c>
      <c r="L188">
        <v>7.1969696969697003E-2</v>
      </c>
      <c r="M188" t="s">
        <v>653</v>
      </c>
      <c r="N188" t="s">
        <v>88</v>
      </c>
      <c r="O188" t="s">
        <v>653</v>
      </c>
      <c r="P188" t="s">
        <v>653</v>
      </c>
    </row>
    <row r="189" spans="1:16" hidden="1" x14ac:dyDescent="0.25">
      <c r="A189" t="s">
        <v>527</v>
      </c>
      <c r="B189" t="s">
        <v>528</v>
      </c>
      <c r="D189">
        <v>0</v>
      </c>
      <c r="F189">
        <v>4</v>
      </c>
      <c r="G189">
        <v>0</v>
      </c>
      <c r="H189">
        <v>692</v>
      </c>
      <c r="I189">
        <v>145</v>
      </c>
      <c r="J189">
        <v>149</v>
      </c>
      <c r="K189">
        <v>149</v>
      </c>
      <c r="L189">
        <v>0.215317919075144</v>
      </c>
      <c r="M189" t="s">
        <v>653</v>
      </c>
      <c r="N189" t="s">
        <v>653</v>
      </c>
      <c r="O189" t="s">
        <v>653</v>
      </c>
      <c r="P189" t="s">
        <v>653</v>
      </c>
    </row>
    <row r="190" spans="1:16" x14ac:dyDescent="0.25">
      <c r="A190" t="s">
        <v>292</v>
      </c>
      <c r="B190" t="s">
        <v>293</v>
      </c>
      <c r="D190">
        <v>0</v>
      </c>
      <c r="F190">
        <v>5</v>
      </c>
      <c r="G190">
        <v>0</v>
      </c>
      <c r="H190">
        <v>3274</v>
      </c>
      <c r="I190">
        <v>159</v>
      </c>
      <c r="J190">
        <v>164</v>
      </c>
      <c r="K190">
        <v>164</v>
      </c>
      <c r="L190">
        <v>5.0091631032376301E-2</v>
      </c>
      <c r="M190" t="s">
        <v>653</v>
      </c>
      <c r="N190" t="s">
        <v>88</v>
      </c>
      <c r="O190" t="s">
        <v>653</v>
      </c>
      <c r="P190" t="s">
        <v>653</v>
      </c>
    </row>
    <row r="191" spans="1:16" hidden="1" x14ac:dyDescent="0.25">
      <c r="A191" t="s">
        <v>529</v>
      </c>
      <c r="B191" t="s">
        <v>530</v>
      </c>
      <c r="D191">
        <v>0</v>
      </c>
      <c r="F191">
        <v>10</v>
      </c>
      <c r="G191">
        <v>0</v>
      </c>
      <c r="H191">
        <v>4536</v>
      </c>
      <c r="I191">
        <v>895</v>
      </c>
      <c r="J191">
        <v>905</v>
      </c>
      <c r="K191">
        <v>905</v>
      </c>
      <c r="L191">
        <v>0.199514991181658</v>
      </c>
      <c r="M191" t="s">
        <v>653</v>
      </c>
      <c r="N191" t="s">
        <v>653</v>
      </c>
      <c r="O191" t="s">
        <v>653</v>
      </c>
      <c r="P191" t="s">
        <v>653</v>
      </c>
    </row>
    <row r="192" spans="1:16" x14ac:dyDescent="0.25">
      <c r="A192" t="s">
        <v>531</v>
      </c>
      <c r="B192" t="s">
        <v>532</v>
      </c>
      <c r="D192">
        <v>0</v>
      </c>
      <c r="F192">
        <v>0</v>
      </c>
      <c r="G192">
        <v>0</v>
      </c>
      <c r="H192">
        <v>47</v>
      </c>
      <c r="I192">
        <v>5</v>
      </c>
      <c r="J192">
        <v>5</v>
      </c>
      <c r="K192">
        <v>5</v>
      </c>
      <c r="L192">
        <v>0.10638297872340401</v>
      </c>
      <c r="M192" t="s">
        <v>88</v>
      </c>
      <c r="N192" t="s">
        <v>88</v>
      </c>
      <c r="O192" t="s">
        <v>88</v>
      </c>
      <c r="P192" t="s">
        <v>88</v>
      </c>
    </row>
    <row r="193" spans="1:16" x14ac:dyDescent="0.25">
      <c r="A193" t="s">
        <v>533</v>
      </c>
      <c r="B193" t="s">
        <v>534</v>
      </c>
      <c r="D193">
        <v>0</v>
      </c>
      <c r="F193">
        <v>0</v>
      </c>
      <c r="G193">
        <v>0</v>
      </c>
      <c r="H193">
        <v>247</v>
      </c>
      <c r="I193">
        <v>12</v>
      </c>
      <c r="J193">
        <v>12</v>
      </c>
      <c r="K193">
        <v>12</v>
      </c>
      <c r="L193">
        <v>4.8582995951416998E-2</v>
      </c>
      <c r="M193" t="s">
        <v>653</v>
      </c>
      <c r="N193" t="s">
        <v>88</v>
      </c>
      <c r="O193" t="s">
        <v>88</v>
      </c>
      <c r="P193" t="s">
        <v>88</v>
      </c>
    </row>
    <row r="194" spans="1:16" hidden="1" x14ac:dyDescent="0.25">
      <c r="A194" t="s">
        <v>651</v>
      </c>
      <c r="B194" t="s">
        <v>652</v>
      </c>
      <c r="D194">
        <v>0</v>
      </c>
      <c r="E194">
        <v>783</v>
      </c>
      <c r="F194">
        <v>0</v>
      </c>
      <c r="G194">
        <v>0</v>
      </c>
      <c r="H194">
        <v>783</v>
      </c>
      <c r="I194">
        <v>0</v>
      </c>
      <c r="J194">
        <v>783</v>
      </c>
      <c r="K194">
        <v>783</v>
      </c>
      <c r="L194">
        <v>1</v>
      </c>
      <c r="M194" t="s">
        <v>653</v>
      </c>
      <c r="N194" t="s">
        <v>653</v>
      </c>
      <c r="O194" t="s">
        <v>653</v>
      </c>
      <c r="P194" t="s">
        <v>653</v>
      </c>
    </row>
    <row r="195" spans="1:16" hidden="1" x14ac:dyDescent="0.25">
      <c r="A195" t="s">
        <v>535</v>
      </c>
      <c r="B195" t="s">
        <v>536</v>
      </c>
      <c r="D195">
        <v>0</v>
      </c>
      <c r="F195">
        <v>42</v>
      </c>
      <c r="G195">
        <v>0</v>
      </c>
      <c r="H195">
        <v>20387</v>
      </c>
      <c r="I195">
        <v>3147</v>
      </c>
      <c r="J195">
        <v>3189</v>
      </c>
      <c r="K195">
        <v>3189</v>
      </c>
      <c r="L195">
        <v>0.15642321086967201</v>
      </c>
      <c r="M195" t="s">
        <v>653</v>
      </c>
      <c r="N195" t="s">
        <v>653</v>
      </c>
      <c r="O195" t="s">
        <v>653</v>
      </c>
      <c r="P195" t="s">
        <v>653</v>
      </c>
    </row>
    <row r="196" spans="1:16" hidden="1" x14ac:dyDescent="0.25">
      <c r="A196" t="s">
        <v>537</v>
      </c>
      <c r="B196" t="s">
        <v>538</v>
      </c>
      <c r="D196">
        <v>0</v>
      </c>
      <c r="F196">
        <v>5</v>
      </c>
      <c r="G196">
        <v>0</v>
      </c>
      <c r="H196">
        <v>287</v>
      </c>
      <c r="I196">
        <v>41</v>
      </c>
      <c r="J196">
        <v>46</v>
      </c>
      <c r="K196">
        <v>46</v>
      </c>
      <c r="L196">
        <v>0.16027874564459901</v>
      </c>
      <c r="M196" t="s">
        <v>653</v>
      </c>
      <c r="N196" t="s">
        <v>653</v>
      </c>
      <c r="O196" t="s">
        <v>653</v>
      </c>
      <c r="P196" t="s">
        <v>653</v>
      </c>
    </row>
    <row r="197" spans="1:16" x14ac:dyDescent="0.25">
      <c r="A197" t="s">
        <v>191</v>
      </c>
      <c r="B197" t="s">
        <v>192</v>
      </c>
      <c r="D197">
        <v>0</v>
      </c>
      <c r="F197">
        <v>0</v>
      </c>
      <c r="G197">
        <v>0</v>
      </c>
      <c r="H197">
        <v>89</v>
      </c>
      <c r="I197">
        <v>4</v>
      </c>
      <c r="J197">
        <v>4</v>
      </c>
      <c r="K197">
        <v>4</v>
      </c>
      <c r="L197">
        <v>4.49438202247191E-2</v>
      </c>
      <c r="M197" t="s">
        <v>88</v>
      </c>
      <c r="N197" t="s">
        <v>88</v>
      </c>
      <c r="O197" t="s">
        <v>88</v>
      </c>
      <c r="P197" t="s">
        <v>88</v>
      </c>
    </row>
    <row r="198" spans="1:16" x14ac:dyDescent="0.25">
      <c r="A198" t="s">
        <v>294</v>
      </c>
      <c r="B198" t="s">
        <v>295</v>
      </c>
      <c r="D198">
        <v>0</v>
      </c>
      <c r="F198">
        <v>0</v>
      </c>
      <c r="G198">
        <v>0</v>
      </c>
      <c r="H198">
        <v>252</v>
      </c>
      <c r="I198">
        <v>23</v>
      </c>
      <c r="J198">
        <v>23</v>
      </c>
      <c r="K198">
        <v>23</v>
      </c>
      <c r="L198">
        <v>9.1269841269841306E-2</v>
      </c>
      <c r="M198" t="s">
        <v>653</v>
      </c>
      <c r="N198" t="s">
        <v>88</v>
      </c>
      <c r="O198" t="s">
        <v>653</v>
      </c>
      <c r="P198" t="s">
        <v>653</v>
      </c>
    </row>
    <row r="199" spans="1:16" x14ac:dyDescent="0.25">
      <c r="A199" t="s">
        <v>193</v>
      </c>
      <c r="B199" t="s">
        <v>194</v>
      </c>
      <c r="D199">
        <v>0</v>
      </c>
      <c r="F199">
        <v>17</v>
      </c>
      <c r="G199">
        <v>0</v>
      </c>
      <c r="H199">
        <v>11776</v>
      </c>
      <c r="I199">
        <v>504</v>
      </c>
      <c r="J199">
        <v>521</v>
      </c>
      <c r="K199">
        <v>521</v>
      </c>
      <c r="L199">
        <v>4.4242527173912999E-2</v>
      </c>
      <c r="M199" t="s">
        <v>653</v>
      </c>
      <c r="N199" t="s">
        <v>88</v>
      </c>
      <c r="O199" t="s">
        <v>88</v>
      </c>
      <c r="P199" t="s">
        <v>88</v>
      </c>
    </row>
    <row r="200" spans="1:16" x14ac:dyDescent="0.25">
      <c r="A200" t="s">
        <v>83</v>
      </c>
      <c r="B200" t="s">
        <v>1399</v>
      </c>
      <c r="C200" t="s">
        <v>64</v>
      </c>
      <c r="D200">
        <v>0</v>
      </c>
      <c r="E200">
        <v>0</v>
      </c>
      <c r="F200">
        <v>0</v>
      </c>
      <c r="G200">
        <v>0</v>
      </c>
      <c r="H200">
        <v>265.59900990099027</v>
      </c>
      <c r="I200">
        <v>23.551658315437798</v>
      </c>
      <c r="J200">
        <v>23.551658315437798</v>
      </c>
      <c r="K200">
        <v>0</v>
      </c>
      <c r="L200">
        <v>8.8673742888640106E-2</v>
      </c>
      <c r="M200" t="s">
        <v>653</v>
      </c>
      <c r="N200" t="s">
        <v>88</v>
      </c>
      <c r="O200" t="s">
        <v>653</v>
      </c>
      <c r="P200" t="s">
        <v>653</v>
      </c>
    </row>
    <row r="201" spans="1:16" x14ac:dyDescent="0.25">
      <c r="A201" t="s">
        <v>539</v>
      </c>
      <c r="B201" t="s">
        <v>540</v>
      </c>
      <c r="D201">
        <v>0</v>
      </c>
      <c r="F201">
        <v>15</v>
      </c>
      <c r="G201">
        <v>0</v>
      </c>
      <c r="H201">
        <v>1512</v>
      </c>
      <c r="I201">
        <v>158</v>
      </c>
      <c r="J201">
        <v>173</v>
      </c>
      <c r="K201">
        <v>173</v>
      </c>
      <c r="L201">
        <v>0.114417989417989</v>
      </c>
      <c r="M201" t="s">
        <v>653</v>
      </c>
      <c r="N201" t="s">
        <v>88</v>
      </c>
      <c r="O201" t="s">
        <v>653</v>
      </c>
      <c r="P201" t="s">
        <v>653</v>
      </c>
    </row>
    <row r="202" spans="1:16" hidden="1" x14ac:dyDescent="0.25">
      <c r="A202" t="s">
        <v>541</v>
      </c>
      <c r="B202" t="s">
        <v>542</v>
      </c>
      <c r="D202">
        <v>0</v>
      </c>
      <c r="F202">
        <v>0</v>
      </c>
      <c r="G202">
        <v>0</v>
      </c>
      <c r="H202">
        <v>363</v>
      </c>
      <c r="I202">
        <v>59</v>
      </c>
      <c r="J202">
        <v>59</v>
      </c>
      <c r="K202">
        <v>59</v>
      </c>
      <c r="L202">
        <v>0.16253443526170799</v>
      </c>
      <c r="M202" t="s">
        <v>653</v>
      </c>
      <c r="N202" t="s">
        <v>653</v>
      </c>
      <c r="O202" t="s">
        <v>653</v>
      </c>
      <c r="P202" t="s">
        <v>653</v>
      </c>
    </row>
    <row r="203" spans="1:16" x14ac:dyDescent="0.25">
      <c r="A203" t="s">
        <v>543</v>
      </c>
      <c r="B203" t="s">
        <v>544</v>
      </c>
      <c r="D203">
        <v>0</v>
      </c>
      <c r="F203">
        <v>29</v>
      </c>
      <c r="G203">
        <v>0</v>
      </c>
      <c r="H203">
        <v>4253</v>
      </c>
      <c r="I203">
        <v>576</v>
      </c>
      <c r="J203">
        <v>605</v>
      </c>
      <c r="K203">
        <v>605</v>
      </c>
      <c r="L203">
        <v>0.142252527627557</v>
      </c>
      <c r="M203" t="s">
        <v>653</v>
      </c>
      <c r="N203" t="s">
        <v>88</v>
      </c>
      <c r="O203" t="s">
        <v>653</v>
      </c>
      <c r="P203" t="s">
        <v>653</v>
      </c>
    </row>
    <row r="204" spans="1:16" hidden="1" x14ac:dyDescent="0.25">
      <c r="A204" t="s">
        <v>545</v>
      </c>
      <c r="B204" t="s">
        <v>546</v>
      </c>
      <c r="D204">
        <v>0</v>
      </c>
      <c r="F204">
        <v>5</v>
      </c>
      <c r="G204">
        <v>0</v>
      </c>
      <c r="H204">
        <v>1305</v>
      </c>
      <c r="I204">
        <v>221</v>
      </c>
      <c r="J204">
        <v>226</v>
      </c>
      <c r="K204">
        <v>226</v>
      </c>
      <c r="L204">
        <v>0.173180076628352</v>
      </c>
      <c r="M204" t="s">
        <v>653</v>
      </c>
      <c r="N204" t="s">
        <v>653</v>
      </c>
      <c r="O204" t="s">
        <v>653</v>
      </c>
      <c r="P204" t="s">
        <v>653</v>
      </c>
    </row>
    <row r="205" spans="1:16" hidden="1" x14ac:dyDescent="0.25">
      <c r="A205" t="s">
        <v>547</v>
      </c>
      <c r="B205" t="s">
        <v>548</v>
      </c>
      <c r="D205">
        <v>0</v>
      </c>
      <c r="F205">
        <v>0</v>
      </c>
      <c r="G205">
        <v>0</v>
      </c>
      <c r="H205">
        <v>346</v>
      </c>
      <c r="I205">
        <v>66</v>
      </c>
      <c r="J205">
        <v>66</v>
      </c>
      <c r="K205">
        <v>66</v>
      </c>
      <c r="L205">
        <v>0.190751445086705</v>
      </c>
      <c r="M205" t="s">
        <v>653</v>
      </c>
      <c r="N205" t="s">
        <v>653</v>
      </c>
      <c r="O205" t="s">
        <v>653</v>
      </c>
      <c r="P205" t="s">
        <v>653</v>
      </c>
    </row>
    <row r="206" spans="1:16" x14ac:dyDescent="0.25">
      <c r="A206" t="s">
        <v>77</v>
      </c>
      <c r="B206" t="s">
        <v>34</v>
      </c>
      <c r="C206" t="s">
        <v>61</v>
      </c>
      <c r="D206">
        <v>0</v>
      </c>
      <c r="E206">
        <v>0</v>
      </c>
      <c r="F206">
        <v>0</v>
      </c>
      <c r="G206">
        <v>0</v>
      </c>
      <c r="H206">
        <v>273.54624030498218</v>
      </c>
      <c r="I206">
        <v>24.810781141668599</v>
      </c>
      <c r="J206">
        <v>24.810781141668599</v>
      </c>
      <c r="K206">
        <v>0</v>
      </c>
      <c r="L206">
        <v>9.0700501363157299E-2</v>
      </c>
      <c r="M206" t="s">
        <v>653</v>
      </c>
      <c r="N206" t="s">
        <v>88</v>
      </c>
      <c r="O206" t="s">
        <v>653</v>
      </c>
      <c r="P206" t="s">
        <v>653</v>
      </c>
    </row>
    <row r="207" spans="1:16" x14ac:dyDescent="0.25">
      <c r="A207" t="s">
        <v>549</v>
      </c>
      <c r="B207" t="s">
        <v>550</v>
      </c>
      <c r="D207">
        <v>0</v>
      </c>
      <c r="F207">
        <v>5</v>
      </c>
      <c r="G207">
        <v>0</v>
      </c>
      <c r="H207">
        <v>2951</v>
      </c>
      <c r="I207">
        <v>353</v>
      </c>
      <c r="J207">
        <v>358</v>
      </c>
      <c r="K207">
        <v>358</v>
      </c>
      <c r="L207">
        <v>0.121314808539478</v>
      </c>
      <c r="M207" t="s">
        <v>653</v>
      </c>
      <c r="N207" t="s">
        <v>88</v>
      </c>
      <c r="O207" t="s">
        <v>653</v>
      </c>
      <c r="P207" t="s">
        <v>653</v>
      </c>
    </row>
    <row r="208" spans="1:16" x14ac:dyDescent="0.25">
      <c r="A208" t="s">
        <v>58</v>
      </c>
      <c r="B208" t="s">
        <v>1426</v>
      </c>
      <c r="D208">
        <v>0</v>
      </c>
      <c r="F208">
        <v>5</v>
      </c>
      <c r="G208">
        <v>0</v>
      </c>
      <c r="H208">
        <v>3369</v>
      </c>
      <c r="I208">
        <v>413</v>
      </c>
      <c r="J208">
        <v>418</v>
      </c>
      <c r="K208">
        <v>418</v>
      </c>
      <c r="L208">
        <v>0.124072425051944</v>
      </c>
      <c r="M208" t="s">
        <v>653</v>
      </c>
      <c r="N208" t="s">
        <v>88</v>
      </c>
      <c r="O208" t="s">
        <v>653</v>
      </c>
      <c r="P208" t="s">
        <v>653</v>
      </c>
    </row>
    <row r="209" spans="1:16" x14ac:dyDescent="0.25">
      <c r="A209" t="s">
        <v>195</v>
      </c>
      <c r="B209" t="s">
        <v>196</v>
      </c>
      <c r="D209">
        <v>0</v>
      </c>
      <c r="F209">
        <v>47</v>
      </c>
      <c r="G209">
        <v>0</v>
      </c>
      <c r="H209">
        <v>25752</v>
      </c>
      <c r="I209">
        <v>2044</v>
      </c>
      <c r="J209">
        <v>2091</v>
      </c>
      <c r="K209">
        <v>2091</v>
      </c>
      <c r="L209">
        <v>8.1197576887232101E-2</v>
      </c>
      <c r="M209" t="s">
        <v>653</v>
      </c>
      <c r="N209" t="s">
        <v>88</v>
      </c>
      <c r="O209" t="s">
        <v>653</v>
      </c>
      <c r="P209" t="s">
        <v>653</v>
      </c>
    </row>
    <row r="210" spans="1:16" x14ac:dyDescent="0.25">
      <c r="A210" t="s">
        <v>551</v>
      </c>
      <c r="B210" t="s">
        <v>552</v>
      </c>
      <c r="D210">
        <v>0</v>
      </c>
      <c r="F210">
        <v>0</v>
      </c>
      <c r="G210">
        <v>0</v>
      </c>
      <c r="H210">
        <v>31</v>
      </c>
      <c r="I210">
        <v>9</v>
      </c>
      <c r="J210">
        <v>9</v>
      </c>
      <c r="K210">
        <v>9</v>
      </c>
      <c r="L210">
        <v>0.29032258064516098</v>
      </c>
      <c r="M210" t="s">
        <v>88</v>
      </c>
      <c r="N210" t="s">
        <v>88</v>
      </c>
      <c r="O210" t="s">
        <v>88</v>
      </c>
      <c r="P210" t="s">
        <v>88</v>
      </c>
    </row>
    <row r="211" spans="1:16" hidden="1" x14ac:dyDescent="0.25">
      <c r="A211" t="s">
        <v>553</v>
      </c>
      <c r="B211" t="s">
        <v>554</v>
      </c>
      <c r="D211">
        <v>0</v>
      </c>
      <c r="F211">
        <v>0</v>
      </c>
      <c r="G211">
        <v>0</v>
      </c>
      <c r="H211">
        <v>193</v>
      </c>
      <c r="I211">
        <v>31</v>
      </c>
      <c r="J211">
        <v>31</v>
      </c>
      <c r="K211">
        <v>31</v>
      </c>
      <c r="L211">
        <v>0.16062176165803099</v>
      </c>
      <c r="M211" t="s">
        <v>653</v>
      </c>
      <c r="N211" t="s">
        <v>653</v>
      </c>
      <c r="O211" t="s">
        <v>653</v>
      </c>
      <c r="P211" t="s">
        <v>653</v>
      </c>
    </row>
    <row r="212" spans="1:16" hidden="1" x14ac:dyDescent="0.25">
      <c r="A212" t="s">
        <v>555</v>
      </c>
      <c r="B212" t="s">
        <v>556</v>
      </c>
      <c r="D212">
        <v>0</v>
      </c>
      <c r="F212">
        <v>0</v>
      </c>
      <c r="G212">
        <v>0</v>
      </c>
      <c r="H212">
        <v>1162</v>
      </c>
      <c r="I212">
        <v>207</v>
      </c>
      <c r="J212">
        <v>207</v>
      </c>
      <c r="K212">
        <v>207</v>
      </c>
      <c r="L212">
        <v>0.17814113597246101</v>
      </c>
      <c r="M212" t="s">
        <v>653</v>
      </c>
      <c r="N212" t="s">
        <v>653</v>
      </c>
      <c r="O212" t="s">
        <v>653</v>
      </c>
      <c r="P212" t="s">
        <v>653</v>
      </c>
    </row>
    <row r="213" spans="1:16" x14ac:dyDescent="0.25">
      <c r="A213" t="s">
        <v>557</v>
      </c>
      <c r="B213" t="s">
        <v>558</v>
      </c>
      <c r="D213">
        <v>0</v>
      </c>
      <c r="F213">
        <v>7</v>
      </c>
      <c r="G213">
        <v>0</v>
      </c>
      <c r="H213">
        <v>3141</v>
      </c>
      <c r="I213">
        <v>436</v>
      </c>
      <c r="J213">
        <v>443</v>
      </c>
      <c r="K213">
        <v>443</v>
      </c>
      <c r="L213">
        <v>0.14103788602355899</v>
      </c>
      <c r="M213" t="s">
        <v>653</v>
      </c>
      <c r="N213" t="s">
        <v>88</v>
      </c>
      <c r="O213" t="s">
        <v>653</v>
      </c>
      <c r="P213" t="s">
        <v>653</v>
      </c>
    </row>
    <row r="214" spans="1:16" hidden="1" x14ac:dyDescent="0.25">
      <c r="A214" t="s">
        <v>69</v>
      </c>
      <c r="B214" t="s">
        <v>16</v>
      </c>
      <c r="C214" t="s">
        <v>57</v>
      </c>
      <c r="D214">
        <v>0</v>
      </c>
      <c r="E214">
        <v>0</v>
      </c>
      <c r="F214">
        <v>0</v>
      </c>
      <c r="G214">
        <v>0</v>
      </c>
      <c r="H214">
        <v>399.09090909090963</v>
      </c>
      <c r="I214">
        <v>68.721379431998514</v>
      </c>
      <c r="J214">
        <v>68.721379431998514</v>
      </c>
      <c r="K214">
        <v>0</v>
      </c>
      <c r="L214">
        <v>0.172194800399085</v>
      </c>
      <c r="M214" t="s">
        <v>653</v>
      </c>
      <c r="N214" t="s">
        <v>653</v>
      </c>
      <c r="O214" t="s">
        <v>653</v>
      </c>
      <c r="P214" t="s">
        <v>653</v>
      </c>
    </row>
    <row r="215" spans="1:16" x14ac:dyDescent="0.25">
      <c r="A215" t="s">
        <v>197</v>
      </c>
      <c r="B215" t="s">
        <v>198</v>
      </c>
      <c r="D215">
        <v>0</v>
      </c>
      <c r="F215">
        <v>6</v>
      </c>
      <c r="G215">
        <v>0</v>
      </c>
      <c r="H215">
        <v>1026</v>
      </c>
      <c r="I215">
        <v>83</v>
      </c>
      <c r="J215">
        <v>89</v>
      </c>
      <c r="K215">
        <v>89</v>
      </c>
      <c r="L215">
        <v>8.6744639376218305E-2</v>
      </c>
      <c r="M215" t="s">
        <v>653</v>
      </c>
      <c r="N215" t="s">
        <v>88</v>
      </c>
      <c r="O215" t="s">
        <v>653</v>
      </c>
      <c r="P215" t="s">
        <v>653</v>
      </c>
    </row>
    <row r="216" spans="1:16" x14ac:dyDescent="0.25">
      <c r="A216" t="s">
        <v>71</v>
      </c>
      <c r="B216" t="s">
        <v>22</v>
      </c>
      <c r="C216" t="s">
        <v>59</v>
      </c>
      <c r="D216">
        <v>0</v>
      </c>
      <c r="E216">
        <v>0</v>
      </c>
      <c r="F216">
        <v>0</v>
      </c>
      <c r="G216">
        <v>0</v>
      </c>
      <c r="H216">
        <v>169.25219741754833</v>
      </c>
      <c r="I216">
        <v>24.339716902581181</v>
      </c>
      <c r="J216">
        <v>24.339716902581181</v>
      </c>
      <c r="K216">
        <v>0</v>
      </c>
      <c r="L216">
        <v>0.14380739082834301</v>
      </c>
      <c r="M216" t="s">
        <v>653</v>
      </c>
      <c r="N216" t="s">
        <v>88</v>
      </c>
      <c r="O216" t="s">
        <v>653</v>
      </c>
      <c r="P216" t="s">
        <v>653</v>
      </c>
    </row>
    <row r="217" spans="1:16" hidden="1" x14ac:dyDescent="0.25">
      <c r="A217" t="s">
        <v>559</v>
      </c>
      <c r="B217" t="s">
        <v>560</v>
      </c>
      <c r="D217">
        <v>0</v>
      </c>
      <c r="F217">
        <v>5</v>
      </c>
      <c r="G217">
        <v>0</v>
      </c>
      <c r="H217">
        <v>615</v>
      </c>
      <c r="I217">
        <v>116</v>
      </c>
      <c r="J217">
        <v>121</v>
      </c>
      <c r="K217">
        <v>121</v>
      </c>
      <c r="L217">
        <v>0.19674796747967499</v>
      </c>
      <c r="M217" t="s">
        <v>653</v>
      </c>
      <c r="N217" t="s">
        <v>653</v>
      </c>
      <c r="O217" t="s">
        <v>653</v>
      </c>
      <c r="P217" t="s">
        <v>653</v>
      </c>
    </row>
    <row r="218" spans="1:16" x14ac:dyDescent="0.25">
      <c r="A218" t="s">
        <v>561</v>
      </c>
      <c r="B218" t="s">
        <v>562</v>
      </c>
      <c r="D218">
        <v>0</v>
      </c>
      <c r="F218">
        <v>4</v>
      </c>
      <c r="G218">
        <v>0</v>
      </c>
      <c r="H218">
        <v>1000</v>
      </c>
      <c r="I218">
        <v>77</v>
      </c>
      <c r="J218">
        <v>81</v>
      </c>
      <c r="K218">
        <v>81</v>
      </c>
      <c r="L218">
        <v>8.1000000000000003E-2</v>
      </c>
      <c r="M218" t="s">
        <v>653</v>
      </c>
      <c r="N218" t="s">
        <v>88</v>
      </c>
      <c r="O218" t="s">
        <v>653</v>
      </c>
      <c r="P218" t="s">
        <v>653</v>
      </c>
    </row>
    <row r="219" spans="1:16" x14ac:dyDescent="0.25">
      <c r="A219" t="s">
        <v>563</v>
      </c>
      <c r="B219" t="s">
        <v>1427</v>
      </c>
      <c r="C219" t="s">
        <v>563</v>
      </c>
      <c r="D219">
        <v>0</v>
      </c>
      <c r="F219">
        <v>60</v>
      </c>
      <c r="G219">
        <v>0</v>
      </c>
      <c r="H219">
        <v>17447.680362537772</v>
      </c>
      <c r="I219">
        <v>2279.0491874011223</v>
      </c>
      <c r="J219">
        <v>2339.0491874011223</v>
      </c>
      <c r="K219">
        <v>2401</v>
      </c>
      <c r="L219">
        <v>0.13406075414032301</v>
      </c>
      <c r="M219" t="s">
        <v>653</v>
      </c>
      <c r="N219" t="s">
        <v>88</v>
      </c>
      <c r="O219" t="s">
        <v>653</v>
      </c>
      <c r="P219" t="s">
        <v>653</v>
      </c>
    </row>
    <row r="220" spans="1:16" hidden="1" x14ac:dyDescent="0.25">
      <c r="A220" t="s">
        <v>564</v>
      </c>
      <c r="B220" t="s">
        <v>565</v>
      </c>
      <c r="D220">
        <v>0</v>
      </c>
      <c r="F220">
        <v>0</v>
      </c>
      <c r="G220">
        <v>0</v>
      </c>
      <c r="H220">
        <v>375</v>
      </c>
      <c r="I220">
        <v>90</v>
      </c>
      <c r="J220">
        <v>90</v>
      </c>
      <c r="K220">
        <v>90</v>
      </c>
      <c r="L220">
        <v>0.24</v>
      </c>
      <c r="M220" t="s">
        <v>653</v>
      </c>
      <c r="N220" t="s">
        <v>653</v>
      </c>
      <c r="O220" t="s">
        <v>653</v>
      </c>
      <c r="P220" t="s">
        <v>653</v>
      </c>
    </row>
    <row r="221" spans="1:16" x14ac:dyDescent="0.25">
      <c r="A221" t="s">
        <v>199</v>
      </c>
      <c r="B221" t="s">
        <v>200</v>
      </c>
      <c r="D221">
        <v>0</v>
      </c>
      <c r="F221">
        <v>32</v>
      </c>
      <c r="G221">
        <v>0</v>
      </c>
      <c r="H221">
        <v>15751</v>
      </c>
      <c r="I221">
        <v>1468</v>
      </c>
      <c r="J221">
        <v>1500</v>
      </c>
      <c r="K221">
        <v>1500</v>
      </c>
      <c r="L221">
        <v>9.5232048758809001E-2</v>
      </c>
      <c r="M221" t="s">
        <v>653</v>
      </c>
      <c r="N221" t="s">
        <v>88</v>
      </c>
      <c r="O221" t="s">
        <v>653</v>
      </c>
      <c r="P221" t="s">
        <v>653</v>
      </c>
    </row>
    <row r="222" spans="1:16" x14ac:dyDescent="0.25">
      <c r="A222" t="s">
        <v>201</v>
      </c>
      <c r="B222" t="s">
        <v>202</v>
      </c>
      <c r="D222">
        <v>0</v>
      </c>
      <c r="F222">
        <v>19</v>
      </c>
      <c r="G222">
        <v>0</v>
      </c>
      <c r="H222">
        <v>4165</v>
      </c>
      <c r="I222">
        <v>157</v>
      </c>
      <c r="J222">
        <v>176</v>
      </c>
      <c r="K222">
        <v>176</v>
      </c>
      <c r="L222">
        <v>4.2256902761104401E-2</v>
      </c>
      <c r="M222" t="s">
        <v>653</v>
      </c>
      <c r="N222" t="s">
        <v>88</v>
      </c>
      <c r="O222" t="s">
        <v>88</v>
      </c>
      <c r="P222" t="s">
        <v>88</v>
      </c>
    </row>
    <row r="223" spans="1:16" x14ac:dyDescent="0.25">
      <c r="A223" t="s">
        <v>203</v>
      </c>
      <c r="B223" t="s">
        <v>204</v>
      </c>
      <c r="D223">
        <v>0</v>
      </c>
      <c r="F223">
        <v>1</v>
      </c>
      <c r="G223">
        <v>0</v>
      </c>
      <c r="H223">
        <v>414</v>
      </c>
      <c r="I223">
        <v>47</v>
      </c>
      <c r="J223">
        <v>48</v>
      </c>
      <c r="K223">
        <v>48</v>
      </c>
      <c r="L223">
        <v>0.115942028985507</v>
      </c>
      <c r="M223" t="s">
        <v>653</v>
      </c>
      <c r="N223" t="s">
        <v>88</v>
      </c>
      <c r="O223" t="s">
        <v>653</v>
      </c>
      <c r="P223" t="s">
        <v>653</v>
      </c>
    </row>
    <row r="224" spans="1:16" x14ac:dyDescent="0.25">
      <c r="A224" t="s">
        <v>296</v>
      </c>
      <c r="B224" t="s">
        <v>297</v>
      </c>
      <c r="D224">
        <v>0</v>
      </c>
      <c r="F224">
        <v>26</v>
      </c>
      <c r="G224">
        <v>0</v>
      </c>
      <c r="H224">
        <v>2057</v>
      </c>
      <c r="I224">
        <v>227</v>
      </c>
      <c r="J224">
        <v>253</v>
      </c>
      <c r="K224">
        <v>253</v>
      </c>
      <c r="L224">
        <v>0.12299465240641699</v>
      </c>
      <c r="M224" t="s">
        <v>653</v>
      </c>
      <c r="N224" t="s">
        <v>88</v>
      </c>
      <c r="O224" t="s">
        <v>653</v>
      </c>
      <c r="P224" t="s">
        <v>653</v>
      </c>
    </row>
    <row r="225" spans="1:16" x14ac:dyDescent="0.25">
      <c r="A225" t="s">
        <v>205</v>
      </c>
      <c r="B225" t="s">
        <v>206</v>
      </c>
      <c r="D225">
        <v>0</v>
      </c>
      <c r="F225">
        <v>1</v>
      </c>
      <c r="G225">
        <v>0</v>
      </c>
      <c r="H225">
        <v>3824</v>
      </c>
      <c r="I225">
        <v>127</v>
      </c>
      <c r="J225">
        <v>128</v>
      </c>
      <c r="K225">
        <v>128</v>
      </c>
      <c r="L225">
        <v>3.3472803347280297E-2</v>
      </c>
      <c r="M225" t="s">
        <v>653</v>
      </c>
      <c r="N225" t="s">
        <v>88</v>
      </c>
      <c r="O225" t="s">
        <v>88</v>
      </c>
      <c r="P225" t="s">
        <v>88</v>
      </c>
    </row>
    <row r="226" spans="1:16" x14ac:dyDescent="0.25">
      <c r="A226" t="s">
        <v>566</v>
      </c>
      <c r="B226" t="s">
        <v>567</v>
      </c>
      <c r="D226">
        <v>0</v>
      </c>
      <c r="F226">
        <v>13</v>
      </c>
      <c r="G226">
        <v>0</v>
      </c>
      <c r="H226">
        <v>2480</v>
      </c>
      <c r="I226">
        <v>241</v>
      </c>
      <c r="J226">
        <v>254</v>
      </c>
      <c r="K226">
        <v>254</v>
      </c>
      <c r="L226">
        <v>0.10241935483870999</v>
      </c>
      <c r="M226" t="s">
        <v>653</v>
      </c>
      <c r="N226" t="s">
        <v>88</v>
      </c>
      <c r="O226" t="s">
        <v>653</v>
      </c>
      <c r="P226" t="s">
        <v>653</v>
      </c>
    </row>
    <row r="227" spans="1:16" x14ac:dyDescent="0.25">
      <c r="A227" t="s">
        <v>298</v>
      </c>
      <c r="B227" t="s">
        <v>299</v>
      </c>
      <c r="D227">
        <v>0</v>
      </c>
      <c r="F227">
        <v>0</v>
      </c>
      <c r="G227">
        <v>0</v>
      </c>
      <c r="H227">
        <v>43</v>
      </c>
      <c r="I227">
        <v>4</v>
      </c>
      <c r="J227">
        <v>4</v>
      </c>
      <c r="K227">
        <v>4</v>
      </c>
      <c r="L227">
        <v>9.3023255813953501E-2</v>
      </c>
      <c r="M227" t="s">
        <v>88</v>
      </c>
      <c r="N227" t="s">
        <v>88</v>
      </c>
      <c r="O227" t="s">
        <v>88</v>
      </c>
      <c r="P227" t="s">
        <v>88</v>
      </c>
    </row>
    <row r="228" spans="1:16" x14ac:dyDescent="0.25">
      <c r="A228" t="s">
        <v>1423</v>
      </c>
      <c r="B228" t="s">
        <v>1428</v>
      </c>
      <c r="C228" t="s">
        <v>63</v>
      </c>
      <c r="D228">
        <v>0</v>
      </c>
      <c r="E228">
        <v>0</v>
      </c>
      <c r="F228">
        <v>0</v>
      </c>
      <c r="G228">
        <v>0</v>
      </c>
      <c r="H228">
        <v>118.24819494584837</v>
      </c>
      <c r="I228">
        <v>16.635272727272721</v>
      </c>
      <c r="J228">
        <v>16.635272727272721</v>
      </c>
      <c r="K228">
        <v>0</v>
      </c>
      <c r="L228">
        <v>0.14068098658834399</v>
      </c>
      <c r="M228" t="s">
        <v>653</v>
      </c>
      <c r="N228" t="s">
        <v>88</v>
      </c>
      <c r="O228" t="s">
        <v>653</v>
      </c>
      <c r="P228" t="s">
        <v>653</v>
      </c>
    </row>
    <row r="229" spans="1:16" hidden="1" x14ac:dyDescent="0.25">
      <c r="A229" t="s">
        <v>568</v>
      </c>
      <c r="B229" t="s">
        <v>569</v>
      </c>
      <c r="D229">
        <v>0</v>
      </c>
      <c r="F229">
        <v>0</v>
      </c>
      <c r="G229">
        <v>0</v>
      </c>
      <c r="H229">
        <v>247</v>
      </c>
      <c r="I229">
        <v>47</v>
      </c>
      <c r="J229">
        <v>47</v>
      </c>
      <c r="K229">
        <v>47</v>
      </c>
      <c r="L229">
        <v>0.19028340080971701</v>
      </c>
      <c r="M229" t="s">
        <v>653</v>
      </c>
      <c r="N229" t="s">
        <v>653</v>
      </c>
      <c r="O229" t="s">
        <v>653</v>
      </c>
      <c r="P229" t="s">
        <v>653</v>
      </c>
    </row>
    <row r="230" spans="1:16" x14ac:dyDescent="0.25">
      <c r="A230" t="s">
        <v>570</v>
      </c>
      <c r="B230" t="s">
        <v>571</v>
      </c>
      <c r="D230">
        <v>0</v>
      </c>
      <c r="F230">
        <v>0</v>
      </c>
      <c r="G230">
        <v>0</v>
      </c>
      <c r="H230">
        <v>1647</v>
      </c>
      <c r="I230">
        <v>230</v>
      </c>
      <c r="J230">
        <v>230</v>
      </c>
      <c r="K230">
        <v>230</v>
      </c>
      <c r="L230">
        <v>0.13964784456587701</v>
      </c>
      <c r="M230" t="s">
        <v>653</v>
      </c>
      <c r="N230" t="s">
        <v>88</v>
      </c>
      <c r="O230" t="s">
        <v>653</v>
      </c>
      <c r="P230" t="s">
        <v>653</v>
      </c>
    </row>
    <row r="231" spans="1:16" x14ac:dyDescent="0.25">
      <c r="A231" t="s">
        <v>207</v>
      </c>
      <c r="B231" t="s">
        <v>208</v>
      </c>
      <c r="D231">
        <v>0</v>
      </c>
      <c r="F231">
        <v>1</v>
      </c>
      <c r="G231">
        <v>0</v>
      </c>
      <c r="H231">
        <v>870</v>
      </c>
      <c r="I231">
        <v>86</v>
      </c>
      <c r="J231">
        <v>87</v>
      </c>
      <c r="K231">
        <v>87</v>
      </c>
      <c r="L231">
        <v>0.1</v>
      </c>
      <c r="M231" t="s">
        <v>653</v>
      </c>
      <c r="N231" t="s">
        <v>88</v>
      </c>
      <c r="O231" t="s">
        <v>653</v>
      </c>
      <c r="P231" t="s">
        <v>653</v>
      </c>
    </row>
    <row r="232" spans="1:16" x14ac:dyDescent="0.25">
      <c r="A232" t="s">
        <v>572</v>
      </c>
      <c r="B232" t="s">
        <v>573</v>
      </c>
      <c r="D232">
        <v>0</v>
      </c>
      <c r="F232">
        <v>0</v>
      </c>
      <c r="G232">
        <v>0</v>
      </c>
      <c r="H232">
        <v>110</v>
      </c>
      <c r="I232">
        <v>15</v>
      </c>
      <c r="J232">
        <v>15</v>
      </c>
      <c r="K232">
        <v>15</v>
      </c>
      <c r="L232">
        <v>0.13636363636363599</v>
      </c>
      <c r="M232" t="s">
        <v>653</v>
      </c>
      <c r="N232" t="s">
        <v>88</v>
      </c>
      <c r="O232" t="s">
        <v>653</v>
      </c>
      <c r="P232" t="s">
        <v>653</v>
      </c>
    </row>
    <row r="233" spans="1:16" x14ac:dyDescent="0.25">
      <c r="A233" t="s">
        <v>82</v>
      </c>
      <c r="B233" t="s">
        <v>51</v>
      </c>
      <c r="C233" t="s">
        <v>63</v>
      </c>
      <c r="D233">
        <v>0</v>
      </c>
      <c r="E233">
        <v>0</v>
      </c>
      <c r="F233">
        <v>0</v>
      </c>
      <c r="G233">
        <v>0</v>
      </c>
      <c r="H233">
        <v>144.15018050541525</v>
      </c>
      <c r="I233">
        <v>20.01054545454544</v>
      </c>
      <c r="J233">
        <v>20.01054545454544</v>
      </c>
      <c r="K233">
        <v>0</v>
      </c>
      <c r="L233">
        <v>0.13881734580133701</v>
      </c>
      <c r="M233" t="s">
        <v>653</v>
      </c>
      <c r="N233" t="s">
        <v>88</v>
      </c>
      <c r="O233" t="s">
        <v>653</v>
      </c>
      <c r="P233" t="s">
        <v>653</v>
      </c>
    </row>
    <row r="234" spans="1:16" x14ac:dyDescent="0.25">
      <c r="A234" t="s">
        <v>81</v>
      </c>
      <c r="B234" t="s">
        <v>47</v>
      </c>
      <c r="C234" t="s">
        <v>63</v>
      </c>
      <c r="D234">
        <v>0</v>
      </c>
      <c r="E234">
        <v>0</v>
      </c>
      <c r="F234">
        <v>0</v>
      </c>
      <c r="G234">
        <v>0</v>
      </c>
      <c r="H234">
        <v>56.308664259927895</v>
      </c>
      <c r="I234">
        <v>3.8574545454545333</v>
      </c>
      <c r="J234">
        <v>3.8574545454545333</v>
      </c>
      <c r="K234">
        <v>0</v>
      </c>
      <c r="L234">
        <v>6.8505523903888699E-2</v>
      </c>
      <c r="M234" t="s">
        <v>88</v>
      </c>
      <c r="N234" t="s">
        <v>88</v>
      </c>
      <c r="O234" t="s">
        <v>88</v>
      </c>
      <c r="P234" t="s">
        <v>88</v>
      </c>
    </row>
    <row r="235" spans="1:16" hidden="1" x14ac:dyDescent="0.25">
      <c r="A235" t="s">
        <v>59</v>
      </c>
      <c r="B235" t="s">
        <v>23</v>
      </c>
      <c r="C235" t="s">
        <v>59</v>
      </c>
      <c r="D235">
        <v>0</v>
      </c>
      <c r="F235">
        <v>252</v>
      </c>
      <c r="G235">
        <v>0</v>
      </c>
      <c r="H235">
        <v>68398.198020379583</v>
      </c>
      <c r="I235">
        <v>6390.8542880932537</v>
      </c>
      <c r="J235">
        <v>6642.8542880932537</v>
      </c>
      <c r="K235">
        <v>6804</v>
      </c>
      <c r="L235">
        <v>9.7120311358407194E-2</v>
      </c>
      <c r="M235" t="s">
        <v>653</v>
      </c>
      <c r="N235" t="s">
        <v>653</v>
      </c>
      <c r="O235" t="s">
        <v>653</v>
      </c>
      <c r="P235" t="s">
        <v>653</v>
      </c>
    </row>
    <row r="236" spans="1:16" x14ac:dyDescent="0.25">
      <c r="A236" t="s">
        <v>300</v>
      </c>
      <c r="B236" t="s">
        <v>301</v>
      </c>
      <c r="D236">
        <v>0</v>
      </c>
      <c r="F236">
        <v>8</v>
      </c>
      <c r="G236">
        <v>0</v>
      </c>
      <c r="H236">
        <v>5072</v>
      </c>
      <c r="I236">
        <v>557</v>
      </c>
      <c r="J236">
        <v>565</v>
      </c>
      <c r="K236">
        <v>565</v>
      </c>
      <c r="L236">
        <v>0.111395899053628</v>
      </c>
      <c r="M236" t="s">
        <v>653</v>
      </c>
      <c r="N236" t="s">
        <v>88</v>
      </c>
      <c r="O236" t="s">
        <v>653</v>
      </c>
      <c r="P236" t="s">
        <v>653</v>
      </c>
    </row>
    <row r="237" spans="1:16" x14ac:dyDescent="0.25">
      <c r="A237" t="s">
        <v>574</v>
      </c>
      <c r="B237" t="s">
        <v>575</v>
      </c>
      <c r="D237">
        <v>0</v>
      </c>
      <c r="F237">
        <v>9</v>
      </c>
      <c r="G237">
        <v>0</v>
      </c>
      <c r="H237">
        <v>4178</v>
      </c>
      <c r="I237">
        <v>499</v>
      </c>
      <c r="J237">
        <v>508</v>
      </c>
      <c r="K237">
        <v>508</v>
      </c>
      <c r="L237">
        <v>0.121589277166108</v>
      </c>
      <c r="M237" t="s">
        <v>653</v>
      </c>
      <c r="N237" t="s">
        <v>88</v>
      </c>
      <c r="O237" t="s">
        <v>653</v>
      </c>
      <c r="P237" t="s">
        <v>653</v>
      </c>
    </row>
    <row r="238" spans="1:16" hidden="1" x14ac:dyDescent="0.25">
      <c r="A238" t="s">
        <v>576</v>
      </c>
      <c r="B238" t="s">
        <v>577</v>
      </c>
      <c r="D238">
        <v>0</v>
      </c>
      <c r="F238">
        <v>0</v>
      </c>
      <c r="G238">
        <v>0</v>
      </c>
      <c r="H238">
        <v>320</v>
      </c>
      <c r="I238">
        <v>83</v>
      </c>
      <c r="J238">
        <v>83</v>
      </c>
      <c r="K238">
        <v>83</v>
      </c>
      <c r="L238">
        <v>0.25937500000000002</v>
      </c>
      <c r="M238" t="s">
        <v>653</v>
      </c>
      <c r="N238" t="s">
        <v>653</v>
      </c>
      <c r="O238" t="s">
        <v>653</v>
      </c>
      <c r="P238" t="s">
        <v>653</v>
      </c>
    </row>
    <row r="239" spans="1:16" x14ac:dyDescent="0.25">
      <c r="A239" t="s">
        <v>578</v>
      </c>
      <c r="B239" t="s">
        <v>579</v>
      </c>
      <c r="D239">
        <v>0</v>
      </c>
      <c r="F239">
        <v>4</v>
      </c>
      <c r="G239">
        <v>0</v>
      </c>
      <c r="H239">
        <v>3126</v>
      </c>
      <c r="I239">
        <v>458</v>
      </c>
      <c r="J239">
        <v>462</v>
      </c>
      <c r="K239">
        <v>462</v>
      </c>
      <c r="L239">
        <v>0.14779270633397301</v>
      </c>
      <c r="M239" t="s">
        <v>653</v>
      </c>
      <c r="N239" t="s">
        <v>88</v>
      </c>
      <c r="O239" t="s">
        <v>653</v>
      </c>
      <c r="P239" t="s">
        <v>653</v>
      </c>
    </row>
    <row r="240" spans="1:16" x14ac:dyDescent="0.25">
      <c r="A240" t="s">
        <v>209</v>
      </c>
      <c r="B240" t="s">
        <v>210</v>
      </c>
      <c r="D240">
        <v>0</v>
      </c>
      <c r="F240">
        <v>0</v>
      </c>
      <c r="G240">
        <v>0</v>
      </c>
      <c r="H240">
        <v>22</v>
      </c>
      <c r="I240">
        <v>4</v>
      </c>
      <c r="J240">
        <v>4</v>
      </c>
      <c r="K240">
        <v>4</v>
      </c>
      <c r="L240">
        <v>0.18181818181818199</v>
      </c>
      <c r="M240" t="s">
        <v>88</v>
      </c>
      <c r="N240" t="s">
        <v>88</v>
      </c>
      <c r="O240" t="s">
        <v>88</v>
      </c>
      <c r="P240" t="s">
        <v>88</v>
      </c>
    </row>
    <row r="241" spans="1:16" hidden="1" x14ac:dyDescent="0.25">
      <c r="A241" t="s">
        <v>580</v>
      </c>
      <c r="B241" t="s">
        <v>581</v>
      </c>
      <c r="D241">
        <v>0</v>
      </c>
      <c r="F241">
        <v>26</v>
      </c>
      <c r="G241">
        <v>0</v>
      </c>
      <c r="H241">
        <v>4178</v>
      </c>
      <c r="I241">
        <v>726</v>
      </c>
      <c r="J241">
        <v>752</v>
      </c>
      <c r="K241">
        <v>752</v>
      </c>
      <c r="L241">
        <v>0.17999042604116799</v>
      </c>
      <c r="M241" t="s">
        <v>653</v>
      </c>
      <c r="N241" t="s">
        <v>653</v>
      </c>
      <c r="O241" t="s">
        <v>653</v>
      </c>
      <c r="P241" t="s">
        <v>653</v>
      </c>
    </row>
    <row r="242" spans="1:16" x14ac:dyDescent="0.25">
      <c r="A242" t="s">
        <v>211</v>
      </c>
      <c r="B242" t="s">
        <v>212</v>
      </c>
      <c r="D242">
        <v>0</v>
      </c>
      <c r="F242">
        <v>12</v>
      </c>
      <c r="G242">
        <v>0</v>
      </c>
      <c r="H242">
        <v>10363</v>
      </c>
      <c r="I242">
        <v>668</v>
      </c>
      <c r="J242">
        <v>680</v>
      </c>
      <c r="K242">
        <v>680</v>
      </c>
      <c r="L242">
        <v>6.5618064267104106E-2</v>
      </c>
      <c r="M242" t="s">
        <v>653</v>
      </c>
      <c r="N242" t="s">
        <v>88</v>
      </c>
      <c r="O242" t="s">
        <v>653</v>
      </c>
      <c r="P242" t="s">
        <v>653</v>
      </c>
    </row>
    <row r="243" spans="1:16" x14ac:dyDescent="0.25">
      <c r="A243" t="s">
        <v>302</v>
      </c>
      <c r="B243" t="s">
        <v>303</v>
      </c>
      <c r="D243">
        <v>0</v>
      </c>
      <c r="F243">
        <v>0</v>
      </c>
      <c r="G243">
        <v>0</v>
      </c>
      <c r="H243">
        <v>126</v>
      </c>
      <c r="I243">
        <v>16</v>
      </c>
      <c r="J243">
        <v>16</v>
      </c>
      <c r="K243">
        <v>16</v>
      </c>
      <c r="L243">
        <v>0.126984126984127</v>
      </c>
      <c r="M243" t="s">
        <v>653</v>
      </c>
      <c r="N243" t="s">
        <v>88</v>
      </c>
      <c r="O243" t="s">
        <v>653</v>
      </c>
      <c r="P243" t="s">
        <v>653</v>
      </c>
    </row>
    <row r="244" spans="1:16" x14ac:dyDescent="0.25">
      <c r="A244" t="s">
        <v>213</v>
      </c>
      <c r="B244" t="s">
        <v>214</v>
      </c>
      <c r="D244">
        <v>0</v>
      </c>
      <c r="F244">
        <v>0</v>
      </c>
      <c r="G244">
        <v>0</v>
      </c>
      <c r="H244">
        <v>68</v>
      </c>
      <c r="I244">
        <v>5</v>
      </c>
      <c r="J244">
        <v>5</v>
      </c>
      <c r="K244">
        <v>5</v>
      </c>
      <c r="L244">
        <v>7.3529411764705899E-2</v>
      </c>
      <c r="M244" t="s">
        <v>88</v>
      </c>
      <c r="N244" t="s">
        <v>88</v>
      </c>
      <c r="O244" t="s">
        <v>88</v>
      </c>
      <c r="P244" t="s">
        <v>88</v>
      </c>
    </row>
    <row r="245" spans="1:16" x14ac:dyDescent="0.25">
      <c r="A245" t="s">
        <v>215</v>
      </c>
      <c r="B245" t="s">
        <v>216</v>
      </c>
      <c r="D245">
        <v>0</v>
      </c>
      <c r="F245">
        <v>13</v>
      </c>
      <c r="G245">
        <v>0</v>
      </c>
      <c r="H245">
        <v>10791</v>
      </c>
      <c r="I245">
        <v>556</v>
      </c>
      <c r="J245">
        <v>569</v>
      </c>
      <c r="K245">
        <v>569</v>
      </c>
      <c r="L245">
        <v>5.2729126123621503E-2</v>
      </c>
      <c r="M245" t="s">
        <v>653</v>
      </c>
      <c r="N245" t="s">
        <v>88</v>
      </c>
      <c r="O245" t="s">
        <v>653</v>
      </c>
      <c r="P245" t="s">
        <v>653</v>
      </c>
    </row>
    <row r="246" spans="1:16" x14ac:dyDescent="0.25">
      <c r="A246" t="s">
        <v>217</v>
      </c>
      <c r="B246" t="s">
        <v>218</v>
      </c>
      <c r="D246">
        <v>0</v>
      </c>
      <c r="F246">
        <v>13</v>
      </c>
      <c r="G246">
        <v>0</v>
      </c>
      <c r="H246">
        <v>7767</v>
      </c>
      <c r="I246">
        <v>238</v>
      </c>
      <c r="J246">
        <v>251</v>
      </c>
      <c r="K246">
        <v>251</v>
      </c>
      <c r="L246">
        <v>3.2316209604738001E-2</v>
      </c>
      <c r="M246" t="s">
        <v>653</v>
      </c>
      <c r="N246" t="s">
        <v>88</v>
      </c>
      <c r="O246" t="s">
        <v>88</v>
      </c>
      <c r="P246" t="s">
        <v>88</v>
      </c>
    </row>
    <row r="247" spans="1:16" hidden="1" x14ac:dyDescent="0.25">
      <c r="A247" t="s">
        <v>582</v>
      </c>
      <c r="B247" t="s">
        <v>583</v>
      </c>
      <c r="D247">
        <v>0</v>
      </c>
      <c r="F247">
        <v>0</v>
      </c>
      <c r="G247">
        <v>0</v>
      </c>
      <c r="H247">
        <v>610</v>
      </c>
      <c r="I247">
        <v>204</v>
      </c>
      <c r="J247">
        <v>204</v>
      </c>
      <c r="K247">
        <v>204</v>
      </c>
      <c r="L247">
        <v>0.334426229508197</v>
      </c>
      <c r="M247" t="s">
        <v>653</v>
      </c>
      <c r="N247" t="s">
        <v>653</v>
      </c>
      <c r="O247" t="s">
        <v>653</v>
      </c>
      <c r="P247" t="s">
        <v>653</v>
      </c>
    </row>
    <row r="248" spans="1:16" hidden="1" x14ac:dyDescent="0.25">
      <c r="A248" t="s">
        <v>584</v>
      </c>
      <c r="B248" t="s">
        <v>585</v>
      </c>
      <c r="D248">
        <v>0</v>
      </c>
      <c r="F248">
        <v>0</v>
      </c>
      <c r="G248">
        <v>0</v>
      </c>
      <c r="H248">
        <v>375</v>
      </c>
      <c r="I248">
        <v>64</v>
      </c>
      <c r="J248">
        <v>64</v>
      </c>
      <c r="K248">
        <v>64</v>
      </c>
      <c r="L248">
        <v>0.17066666666666699</v>
      </c>
      <c r="M248" t="s">
        <v>653</v>
      </c>
      <c r="N248" t="s">
        <v>653</v>
      </c>
      <c r="O248" t="s">
        <v>653</v>
      </c>
      <c r="P248" t="s">
        <v>653</v>
      </c>
    </row>
    <row r="249" spans="1:16" x14ac:dyDescent="0.25">
      <c r="A249" t="s">
        <v>219</v>
      </c>
      <c r="B249" t="s">
        <v>220</v>
      </c>
      <c r="D249">
        <v>0</v>
      </c>
      <c r="F249">
        <v>30</v>
      </c>
      <c r="G249">
        <v>0</v>
      </c>
      <c r="H249">
        <v>11661</v>
      </c>
      <c r="I249">
        <v>966</v>
      </c>
      <c r="J249">
        <v>996</v>
      </c>
      <c r="K249">
        <v>996</v>
      </c>
      <c r="L249">
        <v>8.5412914844352997E-2</v>
      </c>
      <c r="M249" t="s">
        <v>653</v>
      </c>
      <c r="N249" t="s">
        <v>88</v>
      </c>
      <c r="O249" t="s">
        <v>653</v>
      </c>
      <c r="P249" t="s">
        <v>653</v>
      </c>
    </row>
    <row r="250" spans="1:16" x14ac:dyDescent="0.25">
      <c r="A250" t="s">
        <v>221</v>
      </c>
      <c r="B250" t="s">
        <v>222</v>
      </c>
      <c r="D250">
        <v>0</v>
      </c>
      <c r="F250">
        <v>4</v>
      </c>
      <c r="G250">
        <v>0</v>
      </c>
      <c r="H250">
        <v>1742</v>
      </c>
      <c r="I250">
        <v>144</v>
      </c>
      <c r="J250">
        <v>148</v>
      </c>
      <c r="K250">
        <v>148</v>
      </c>
      <c r="L250">
        <v>8.49598163030999E-2</v>
      </c>
      <c r="M250" t="s">
        <v>653</v>
      </c>
      <c r="N250" t="s">
        <v>88</v>
      </c>
      <c r="O250" t="s">
        <v>653</v>
      </c>
      <c r="P250" t="s">
        <v>653</v>
      </c>
    </row>
    <row r="251" spans="1:16" hidden="1" x14ac:dyDescent="0.25">
      <c r="A251" t="s">
        <v>586</v>
      </c>
      <c r="B251" t="s">
        <v>587</v>
      </c>
      <c r="D251">
        <v>0</v>
      </c>
      <c r="F251">
        <v>4</v>
      </c>
      <c r="G251">
        <v>0</v>
      </c>
      <c r="H251">
        <v>357</v>
      </c>
      <c r="I251">
        <v>65</v>
      </c>
      <c r="J251">
        <v>69</v>
      </c>
      <c r="K251">
        <v>69</v>
      </c>
      <c r="L251">
        <v>0.19327731092437</v>
      </c>
      <c r="M251" t="s">
        <v>653</v>
      </c>
      <c r="N251" t="s">
        <v>653</v>
      </c>
      <c r="O251" t="s">
        <v>653</v>
      </c>
      <c r="P251" t="s">
        <v>653</v>
      </c>
    </row>
    <row r="252" spans="1:16" x14ac:dyDescent="0.25">
      <c r="A252" t="s">
        <v>61</v>
      </c>
      <c r="B252" t="s">
        <v>31</v>
      </c>
      <c r="C252" t="s">
        <v>61</v>
      </c>
      <c r="D252">
        <v>0</v>
      </c>
      <c r="F252">
        <v>143</v>
      </c>
      <c r="G252">
        <v>0</v>
      </c>
      <c r="H252">
        <v>34137.406763507308</v>
      </c>
      <c r="I252">
        <v>4697.0432747862251</v>
      </c>
      <c r="J252">
        <v>4840.0432747862251</v>
      </c>
      <c r="K252">
        <v>4968</v>
      </c>
      <c r="L252">
        <v>0.141781222818606</v>
      </c>
      <c r="M252" t="s">
        <v>653</v>
      </c>
      <c r="N252" t="s">
        <v>88</v>
      </c>
      <c r="O252" t="s">
        <v>653</v>
      </c>
      <c r="P252" t="s">
        <v>653</v>
      </c>
    </row>
    <row r="253" spans="1:16" x14ac:dyDescent="0.25">
      <c r="A253" t="s">
        <v>78</v>
      </c>
      <c r="B253" t="s">
        <v>36</v>
      </c>
      <c r="C253" t="s">
        <v>61</v>
      </c>
      <c r="D253">
        <v>0</v>
      </c>
      <c r="E253">
        <v>0</v>
      </c>
      <c r="F253">
        <v>0</v>
      </c>
      <c r="G253">
        <v>0</v>
      </c>
      <c r="H253">
        <v>969.63411988957421</v>
      </c>
      <c r="I253">
        <v>95.340305061243185</v>
      </c>
      <c r="J253">
        <v>95.340305061243185</v>
      </c>
      <c r="K253">
        <v>0</v>
      </c>
      <c r="L253">
        <v>9.8326062486436605E-2</v>
      </c>
      <c r="M253" t="s">
        <v>653</v>
      </c>
      <c r="N253" t="s">
        <v>88</v>
      </c>
      <c r="O253" t="s">
        <v>653</v>
      </c>
      <c r="P253" t="s">
        <v>653</v>
      </c>
    </row>
    <row r="254" spans="1:16" hidden="1" x14ac:dyDescent="0.25">
      <c r="A254" t="s">
        <v>588</v>
      </c>
      <c r="B254" t="s">
        <v>589</v>
      </c>
      <c r="D254">
        <v>0</v>
      </c>
      <c r="F254">
        <v>0</v>
      </c>
      <c r="G254">
        <v>0</v>
      </c>
      <c r="H254">
        <v>129</v>
      </c>
      <c r="I254">
        <v>20</v>
      </c>
      <c r="J254">
        <v>20</v>
      </c>
      <c r="K254">
        <v>20</v>
      </c>
      <c r="L254">
        <v>0.15503875968992201</v>
      </c>
      <c r="M254" t="s">
        <v>653</v>
      </c>
      <c r="N254" t="s">
        <v>653</v>
      </c>
      <c r="O254" t="s">
        <v>653</v>
      </c>
      <c r="P254" t="s">
        <v>653</v>
      </c>
    </row>
    <row r="255" spans="1:16" x14ac:dyDescent="0.25">
      <c r="A255" t="s">
        <v>590</v>
      </c>
      <c r="B255" t="s">
        <v>591</v>
      </c>
      <c r="D255">
        <v>0</v>
      </c>
      <c r="F255">
        <v>0</v>
      </c>
      <c r="G255">
        <v>0</v>
      </c>
      <c r="H255">
        <v>162</v>
      </c>
      <c r="I255">
        <v>17</v>
      </c>
      <c r="J255">
        <v>17</v>
      </c>
      <c r="K255">
        <v>17</v>
      </c>
      <c r="L255">
        <v>0.104938271604938</v>
      </c>
      <c r="M255" t="s">
        <v>653</v>
      </c>
      <c r="N255" t="s">
        <v>88</v>
      </c>
      <c r="O255" t="s">
        <v>653</v>
      </c>
      <c r="P255" t="s">
        <v>653</v>
      </c>
    </row>
    <row r="256" spans="1:16" x14ac:dyDescent="0.25">
      <c r="A256" t="s">
        <v>223</v>
      </c>
      <c r="B256" t="s">
        <v>224</v>
      </c>
      <c r="D256">
        <v>0</v>
      </c>
      <c r="F256">
        <v>10</v>
      </c>
      <c r="G256">
        <v>0</v>
      </c>
      <c r="H256">
        <v>5421</v>
      </c>
      <c r="I256">
        <v>420</v>
      </c>
      <c r="J256">
        <v>430</v>
      </c>
      <c r="K256">
        <v>430</v>
      </c>
      <c r="L256">
        <v>7.9321158457849095E-2</v>
      </c>
      <c r="M256" t="s">
        <v>653</v>
      </c>
      <c r="N256" t="s">
        <v>88</v>
      </c>
      <c r="O256" t="s">
        <v>653</v>
      </c>
      <c r="P256" t="s">
        <v>653</v>
      </c>
    </row>
    <row r="257" spans="1:16" x14ac:dyDescent="0.25">
      <c r="A257" t="s">
        <v>225</v>
      </c>
      <c r="B257" t="s">
        <v>226</v>
      </c>
      <c r="D257">
        <v>0</v>
      </c>
      <c r="F257">
        <v>0</v>
      </c>
      <c r="G257">
        <v>0</v>
      </c>
      <c r="H257">
        <v>25</v>
      </c>
      <c r="I257">
        <v>1</v>
      </c>
      <c r="J257">
        <v>1</v>
      </c>
      <c r="K257">
        <v>1</v>
      </c>
      <c r="L257">
        <v>0.04</v>
      </c>
      <c r="M257" t="s">
        <v>88</v>
      </c>
      <c r="N257" t="s">
        <v>88</v>
      </c>
      <c r="O257" t="s">
        <v>88</v>
      </c>
      <c r="P257" t="s">
        <v>88</v>
      </c>
    </row>
    <row r="258" spans="1:16" x14ac:dyDescent="0.25">
      <c r="A258" t="s">
        <v>592</v>
      </c>
      <c r="B258" t="s">
        <v>593</v>
      </c>
      <c r="D258">
        <v>0</v>
      </c>
      <c r="F258">
        <v>0</v>
      </c>
      <c r="G258">
        <v>0</v>
      </c>
      <c r="H258">
        <v>16</v>
      </c>
      <c r="I258">
        <v>2</v>
      </c>
      <c r="J258">
        <v>2</v>
      </c>
      <c r="K258">
        <v>2</v>
      </c>
      <c r="L258">
        <v>0.125</v>
      </c>
      <c r="M258" t="s">
        <v>88</v>
      </c>
      <c r="N258" t="s">
        <v>88</v>
      </c>
      <c r="O258" t="s">
        <v>88</v>
      </c>
      <c r="P258" t="s">
        <v>88</v>
      </c>
    </row>
    <row r="259" spans="1:16" x14ac:dyDescent="0.25">
      <c r="A259" t="s">
        <v>227</v>
      </c>
      <c r="B259" t="s">
        <v>228</v>
      </c>
      <c r="D259">
        <v>0</v>
      </c>
      <c r="F259">
        <v>0</v>
      </c>
      <c r="G259">
        <v>0</v>
      </c>
      <c r="H259">
        <v>15</v>
      </c>
      <c r="I259">
        <v>2</v>
      </c>
      <c r="J259">
        <v>2</v>
      </c>
      <c r="K259">
        <v>2</v>
      </c>
      <c r="L259">
        <v>0.133333333333333</v>
      </c>
      <c r="M259" t="s">
        <v>88</v>
      </c>
      <c r="N259" t="s">
        <v>88</v>
      </c>
      <c r="O259" t="s">
        <v>88</v>
      </c>
      <c r="P259" t="s">
        <v>88</v>
      </c>
    </row>
    <row r="260" spans="1:16" x14ac:dyDescent="0.25">
      <c r="A260" t="s">
        <v>229</v>
      </c>
      <c r="B260" t="s">
        <v>230</v>
      </c>
      <c r="D260">
        <v>0</v>
      </c>
      <c r="F260">
        <v>14</v>
      </c>
      <c r="G260">
        <v>0</v>
      </c>
      <c r="H260">
        <v>3984</v>
      </c>
      <c r="I260">
        <v>239</v>
      </c>
      <c r="J260">
        <v>253</v>
      </c>
      <c r="K260">
        <v>253</v>
      </c>
      <c r="L260">
        <v>6.3504016064256999E-2</v>
      </c>
      <c r="M260" t="s">
        <v>653</v>
      </c>
      <c r="N260" t="s">
        <v>88</v>
      </c>
      <c r="O260" t="s">
        <v>653</v>
      </c>
      <c r="P260" t="s">
        <v>653</v>
      </c>
    </row>
    <row r="261" spans="1:16" x14ac:dyDescent="0.25">
      <c r="A261" t="s">
        <v>594</v>
      </c>
      <c r="B261" t="s">
        <v>595</v>
      </c>
      <c r="D261">
        <v>0</v>
      </c>
      <c r="F261">
        <v>0</v>
      </c>
      <c r="G261">
        <v>0</v>
      </c>
      <c r="H261">
        <v>53</v>
      </c>
      <c r="I261">
        <v>8</v>
      </c>
      <c r="J261">
        <v>8</v>
      </c>
      <c r="K261">
        <v>8</v>
      </c>
      <c r="L261">
        <v>0.15094339622641501</v>
      </c>
      <c r="M261" t="s">
        <v>88</v>
      </c>
      <c r="N261" t="s">
        <v>88</v>
      </c>
      <c r="O261" t="s">
        <v>88</v>
      </c>
      <c r="P261" t="s">
        <v>88</v>
      </c>
    </row>
    <row r="262" spans="1:16" hidden="1" x14ac:dyDescent="0.25">
      <c r="A262" t="s">
        <v>596</v>
      </c>
      <c r="B262" t="s">
        <v>597</v>
      </c>
      <c r="D262">
        <v>0</v>
      </c>
      <c r="F262">
        <v>2</v>
      </c>
      <c r="G262">
        <v>0</v>
      </c>
      <c r="H262">
        <v>910</v>
      </c>
      <c r="I262">
        <v>137</v>
      </c>
      <c r="J262">
        <v>139</v>
      </c>
      <c r="K262">
        <v>139</v>
      </c>
      <c r="L262">
        <v>0.15274725274725301</v>
      </c>
      <c r="M262" t="s">
        <v>653</v>
      </c>
      <c r="N262" t="s">
        <v>653</v>
      </c>
      <c r="O262" t="s">
        <v>653</v>
      </c>
      <c r="P262" t="s">
        <v>653</v>
      </c>
    </row>
    <row r="263" spans="1:16" x14ac:dyDescent="0.25">
      <c r="A263" t="s">
        <v>231</v>
      </c>
      <c r="B263" t="s">
        <v>232</v>
      </c>
      <c r="D263">
        <v>0</v>
      </c>
      <c r="F263">
        <v>6</v>
      </c>
      <c r="G263">
        <v>0</v>
      </c>
      <c r="H263">
        <v>2515</v>
      </c>
      <c r="I263">
        <v>208</v>
      </c>
      <c r="J263">
        <v>214</v>
      </c>
      <c r="K263">
        <v>214</v>
      </c>
      <c r="L263">
        <v>8.5089463220675898E-2</v>
      </c>
      <c r="M263" t="s">
        <v>653</v>
      </c>
      <c r="N263" t="s">
        <v>88</v>
      </c>
      <c r="O263" t="s">
        <v>653</v>
      </c>
      <c r="P263" t="s">
        <v>653</v>
      </c>
    </row>
    <row r="264" spans="1:16" hidden="1" x14ac:dyDescent="0.25">
      <c r="A264" t="s">
        <v>598</v>
      </c>
      <c r="B264" t="s">
        <v>599</v>
      </c>
      <c r="D264">
        <v>0</v>
      </c>
      <c r="F264">
        <v>0</v>
      </c>
      <c r="G264">
        <v>0</v>
      </c>
      <c r="H264">
        <v>114</v>
      </c>
      <c r="I264">
        <v>26</v>
      </c>
      <c r="J264">
        <v>26</v>
      </c>
      <c r="K264">
        <v>26</v>
      </c>
      <c r="L264">
        <v>0.22807017543859601</v>
      </c>
      <c r="M264" t="s">
        <v>653</v>
      </c>
      <c r="N264" t="s">
        <v>653</v>
      </c>
      <c r="O264" t="s">
        <v>653</v>
      </c>
      <c r="P264" t="s">
        <v>653</v>
      </c>
    </row>
    <row r="265" spans="1:16" x14ac:dyDescent="0.25">
      <c r="A265" t="s">
        <v>72</v>
      </c>
      <c r="B265" t="s">
        <v>26</v>
      </c>
      <c r="C265" t="s">
        <v>59</v>
      </c>
      <c r="D265">
        <v>0</v>
      </c>
      <c r="E265">
        <v>0</v>
      </c>
      <c r="F265">
        <v>0</v>
      </c>
      <c r="G265">
        <v>0</v>
      </c>
      <c r="H265">
        <v>769.08198506533847</v>
      </c>
      <c r="I265">
        <v>101.13572023313915</v>
      </c>
      <c r="J265">
        <v>101.13572023313915</v>
      </c>
      <c r="K265">
        <v>0</v>
      </c>
      <c r="L265">
        <v>0.131501871318111</v>
      </c>
      <c r="M265" t="s">
        <v>653</v>
      </c>
      <c r="N265" t="s">
        <v>88</v>
      </c>
      <c r="O265" t="s">
        <v>653</v>
      </c>
      <c r="P265" t="s">
        <v>653</v>
      </c>
    </row>
    <row r="266" spans="1:16" x14ac:dyDescent="0.25">
      <c r="A266" t="s">
        <v>73</v>
      </c>
      <c r="B266" t="s">
        <v>28</v>
      </c>
      <c r="C266" t="s">
        <v>59</v>
      </c>
      <c r="D266">
        <v>0</v>
      </c>
      <c r="E266">
        <v>0</v>
      </c>
      <c r="F266">
        <v>0</v>
      </c>
      <c r="G266">
        <v>0</v>
      </c>
      <c r="H266">
        <v>292.46779713752341</v>
      </c>
      <c r="I266">
        <v>35.67027477102414</v>
      </c>
      <c r="J266">
        <v>35.67027477102414</v>
      </c>
      <c r="K266">
        <v>0</v>
      </c>
      <c r="L266">
        <v>0.121963084893929</v>
      </c>
      <c r="M266" t="s">
        <v>653</v>
      </c>
      <c r="N266" t="s">
        <v>88</v>
      </c>
      <c r="O266" t="s">
        <v>653</v>
      </c>
      <c r="P266" t="s">
        <v>653</v>
      </c>
    </row>
    <row r="267" spans="1:16" x14ac:dyDescent="0.25">
      <c r="A267" t="s">
        <v>233</v>
      </c>
      <c r="B267" t="s">
        <v>234</v>
      </c>
      <c r="D267">
        <v>0</v>
      </c>
      <c r="F267">
        <v>21</v>
      </c>
      <c r="G267">
        <v>0</v>
      </c>
      <c r="H267">
        <v>10698</v>
      </c>
      <c r="I267">
        <v>548</v>
      </c>
      <c r="J267">
        <v>569</v>
      </c>
      <c r="K267">
        <v>569</v>
      </c>
      <c r="L267">
        <v>5.3187511684427001E-2</v>
      </c>
      <c r="M267" t="s">
        <v>653</v>
      </c>
      <c r="N267" t="s">
        <v>88</v>
      </c>
      <c r="O267" t="s">
        <v>653</v>
      </c>
      <c r="P267" t="s">
        <v>653</v>
      </c>
    </row>
    <row r="268" spans="1:16" hidden="1" x14ac:dyDescent="0.25">
      <c r="A268" t="s">
        <v>600</v>
      </c>
      <c r="B268" t="s">
        <v>601</v>
      </c>
      <c r="D268">
        <v>0</v>
      </c>
      <c r="F268">
        <v>10</v>
      </c>
      <c r="G268">
        <v>0</v>
      </c>
      <c r="H268">
        <v>6203</v>
      </c>
      <c r="I268">
        <v>1299</v>
      </c>
      <c r="J268">
        <v>1309</v>
      </c>
      <c r="K268">
        <v>1309</v>
      </c>
      <c r="L268">
        <v>0.21102692245687599</v>
      </c>
      <c r="M268" t="s">
        <v>653</v>
      </c>
      <c r="N268" t="s">
        <v>653</v>
      </c>
      <c r="O268" t="s">
        <v>653</v>
      </c>
      <c r="P268" t="s">
        <v>653</v>
      </c>
    </row>
    <row r="269" spans="1:16" hidden="1" x14ac:dyDescent="0.25">
      <c r="A269" t="s">
        <v>67</v>
      </c>
      <c r="B269" t="s">
        <v>12</v>
      </c>
      <c r="C269" t="s">
        <v>55</v>
      </c>
      <c r="D269">
        <v>0</v>
      </c>
      <c r="E269">
        <v>0</v>
      </c>
      <c r="F269">
        <v>0</v>
      </c>
      <c r="G269">
        <v>0</v>
      </c>
      <c r="H269">
        <v>82.095827510481215</v>
      </c>
      <c r="I269">
        <v>15.938783128032831</v>
      </c>
      <c r="J269">
        <v>15.938783128032831</v>
      </c>
      <c r="K269">
        <v>0</v>
      </c>
      <c r="L269">
        <v>0.194148516573487</v>
      </c>
      <c r="M269" t="s">
        <v>653</v>
      </c>
      <c r="N269" t="s">
        <v>653</v>
      </c>
      <c r="O269" t="s">
        <v>653</v>
      </c>
      <c r="P269" t="s">
        <v>653</v>
      </c>
    </row>
    <row r="270" spans="1:16" x14ac:dyDescent="0.25">
      <c r="A270" t="s">
        <v>62</v>
      </c>
      <c r="B270" t="s">
        <v>38</v>
      </c>
      <c r="C270" t="s">
        <v>62</v>
      </c>
      <c r="D270">
        <v>0</v>
      </c>
      <c r="F270">
        <v>114</v>
      </c>
      <c r="G270">
        <v>0</v>
      </c>
      <c r="H270">
        <v>33055.289042006218</v>
      </c>
      <c r="I270">
        <v>4283.1417556721235</v>
      </c>
      <c r="J270">
        <v>4397.1417556721235</v>
      </c>
      <c r="K270">
        <v>4442</v>
      </c>
      <c r="L270">
        <v>0.133023848319229</v>
      </c>
      <c r="M270" t="s">
        <v>653</v>
      </c>
      <c r="N270" t="s">
        <v>88</v>
      </c>
      <c r="O270" t="s">
        <v>653</v>
      </c>
      <c r="P270" t="s">
        <v>653</v>
      </c>
    </row>
    <row r="271" spans="1:16" hidden="1" x14ac:dyDescent="0.25">
      <c r="A271" t="s">
        <v>602</v>
      </c>
      <c r="B271" t="s">
        <v>603</v>
      </c>
      <c r="D271">
        <v>0</v>
      </c>
      <c r="F271">
        <v>0</v>
      </c>
      <c r="G271">
        <v>0</v>
      </c>
      <c r="H271">
        <v>347</v>
      </c>
      <c r="I271">
        <v>54</v>
      </c>
      <c r="J271">
        <v>54</v>
      </c>
      <c r="K271">
        <v>54</v>
      </c>
      <c r="L271">
        <v>0.155619596541787</v>
      </c>
      <c r="M271" t="s">
        <v>653</v>
      </c>
      <c r="N271" t="s">
        <v>653</v>
      </c>
      <c r="O271" t="s">
        <v>653</v>
      </c>
      <c r="P271" t="s">
        <v>653</v>
      </c>
    </row>
    <row r="272" spans="1:16" x14ac:dyDescent="0.25">
      <c r="A272" t="s">
        <v>235</v>
      </c>
      <c r="B272" t="s">
        <v>236</v>
      </c>
      <c r="D272">
        <v>0</v>
      </c>
      <c r="F272">
        <v>8</v>
      </c>
      <c r="G272">
        <v>0</v>
      </c>
      <c r="H272">
        <v>9095</v>
      </c>
      <c r="I272">
        <v>406</v>
      </c>
      <c r="J272">
        <v>414</v>
      </c>
      <c r="K272">
        <v>414</v>
      </c>
      <c r="L272">
        <v>4.5519516217701998E-2</v>
      </c>
      <c r="M272" t="s">
        <v>653</v>
      </c>
      <c r="N272" t="s">
        <v>88</v>
      </c>
      <c r="O272" t="s">
        <v>88</v>
      </c>
      <c r="P272" t="s">
        <v>88</v>
      </c>
    </row>
    <row r="273" spans="1:16" x14ac:dyDescent="0.25">
      <c r="A273" t="s">
        <v>237</v>
      </c>
      <c r="B273" t="s">
        <v>238</v>
      </c>
      <c r="D273">
        <v>0</v>
      </c>
      <c r="F273">
        <v>0</v>
      </c>
      <c r="G273">
        <v>0</v>
      </c>
      <c r="H273">
        <v>169</v>
      </c>
      <c r="I273">
        <v>19</v>
      </c>
      <c r="J273">
        <v>19</v>
      </c>
      <c r="K273">
        <v>19</v>
      </c>
      <c r="L273">
        <v>0.112426035502959</v>
      </c>
      <c r="M273" t="s">
        <v>653</v>
      </c>
      <c r="N273" t="s">
        <v>88</v>
      </c>
      <c r="O273" t="s">
        <v>653</v>
      </c>
      <c r="P273" t="s">
        <v>653</v>
      </c>
    </row>
    <row r="274" spans="1:16" x14ac:dyDescent="0.25">
      <c r="A274" t="s">
        <v>304</v>
      </c>
      <c r="B274" t="s">
        <v>305</v>
      </c>
      <c r="D274">
        <v>0</v>
      </c>
      <c r="F274">
        <v>4</v>
      </c>
      <c r="G274">
        <v>0</v>
      </c>
      <c r="H274">
        <v>1511</v>
      </c>
      <c r="I274">
        <v>122</v>
      </c>
      <c r="J274">
        <v>126</v>
      </c>
      <c r="K274">
        <v>126</v>
      </c>
      <c r="L274">
        <v>8.3388484447385794E-2</v>
      </c>
      <c r="M274" t="s">
        <v>653</v>
      </c>
      <c r="N274" t="s">
        <v>88</v>
      </c>
      <c r="O274" t="s">
        <v>653</v>
      </c>
      <c r="P274" t="s">
        <v>653</v>
      </c>
    </row>
    <row r="275" spans="1:16" hidden="1" x14ac:dyDescent="0.25">
      <c r="A275" t="s">
        <v>239</v>
      </c>
      <c r="B275" t="s">
        <v>240</v>
      </c>
      <c r="D275">
        <v>0</v>
      </c>
      <c r="F275">
        <v>1</v>
      </c>
      <c r="G275">
        <v>0</v>
      </c>
      <c r="H275">
        <v>208</v>
      </c>
      <c r="I275">
        <v>31</v>
      </c>
      <c r="J275">
        <v>32</v>
      </c>
      <c r="K275">
        <v>32</v>
      </c>
      <c r="L275">
        <v>0.15384615384615399</v>
      </c>
      <c r="M275" t="s">
        <v>653</v>
      </c>
      <c r="N275" t="s">
        <v>653</v>
      </c>
      <c r="O275" t="s">
        <v>653</v>
      </c>
      <c r="P275" t="s">
        <v>653</v>
      </c>
    </row>
    <row r="276" spans="1:16" x14ac:dyDescent="0.25">
      <c r="A276" t="s">
        <v>241</v>
      </c>
      <c r="B276" t="s">
        <v>242</v>
      </c>
      <c r="D276">
        <v>0</v>
      </c>
      <c r="F276">
        <v>1</v>
      </c>
      <c r="G276">
        <v>0</v>
      </c>
      <c r="H276">
        <v>864</v>
      </c>
      <c r="I276">
        <v>68</v>
      </c>
      <c r="J276">
        <v>69</v>
      </c>
      <c r="K276">
        <v>69</v>
      </c>
      <c r="L276">
        <v>7.9861111111111105E-2</v>
      </c>
      <c r="M276" t="s">
        <v>653</v>
      </c>
      <c r="N276" t="s">
        <v>88</v>
      </c>
      <c r="O276" t="s">
        <v>653</v>
      </c>
      <c r="P276" t="s">
        <v>653</v>
      </c>
    </row>
    <row r="277" spans="1:16" hidden="1" x14ac:dyDescent="0.25">
      <c r="A277" t="s">
        <v>604</v>
      </c>
      <c r="B277" t="s">
        <v>605</v>
      </c>
      <c r="D277">
        <v>0</v>
      </c>
      <c r="F277">
        <v>5</v>
      </c>
      <c r="G277">
        <v>0</v>
      </c>
      <c r="H277">
        <v>1100</v>
      </c>
      <c r="I277">
        <v>265</v>
      </c>
      <c r="J277">
        <v>270</v>
      </c>
      <c r="K277">
        <v>270</v>
      </c>
      <c r="L277">
        <v>0.24545454545454501</v>
      </c>
      <c r="M277" t="s">
        <v>653</v>
      </c>
      <c r="N277" t="s">
        <v>653</v>
      </c>
      <c r="O277" t="s">
        <v>653</v>
      </c>
      <c r="P277" t="s">
        <v>653</v>
      </c>
    </row>
    <row r="278" spans="1:16" hidden="1" x14ac:dyDescent="0.25">
      <c r="A278" t="s">
        <v>606</v>
      </c>
      <c r="B278" t="s">
        <v>607</v>
      </c>
      <c r="D278">
        <v>0</v>
      </c>
      <c r="F278">
        <v>12</v>
      </c>
      <c r="G278">
        <v>0</v>
      </c>
      <c r="H278">
        <v>3472</v>
      </c>
      <c r="I278">
        <v>660</v>
      </c>
      <c r="J278">
        <v>672</v>
      </c>
      <c r="K278">
        <v>672</v>
      </c>
      <c r="L278">
        <v>0.19354838709677399</v>
      </c>
      <c r="M278" t="s">
        <v>653</v>
      </c>
      <c r="N278" t="s">
        <v>653</v>
      </c>
      <c r="O278" t="s">
        <v>653</v>
      </c>
      <c r="P278" t="s">
        <v>653</v>
      </c>
    </row>
    <row r="279" spans="1:16" x14ac:dyDescent="0.25">
      <c r="A279" t="s">
        <v>243</v>
      </c>
      <c r="B279" t="s">
        <v>244</v>
      </c>
      <c r="D279">
        <v>0</v>
      </c>
      <c r="F279">
        <v>0</v>
      </c>
      <c r="G279">
        <v>0</v>
      </c>
      <c r="H279">
        <v>219</v>
      </c>
      <c r="I279">
        <v>24</v>
      </c>
      <c r="J279">
        <v>24</v>
      </c>
      <c r="K279">
        <v>24</v>
      </c>
      <c r="L279">
        <v>0.10958904109589</v>
      </c>
      <c r="M279" t="s">
        <v>653</v>
      </c>
      <c r="N279" t="s">
        <v>88</v>
      </c>
      <c r="O279" t="s">
        <v>653</v>
      </c>
      <c r="P279" t="s">
        <v>653</v>
      </c>
    </row>
    <row r="280" spans="1:16" x14ac:dyDescent="0.25">
      <c r="A280" t="s">
        <v>245</v>
      </c>
      <c r="B280" t="s">
        <v>246</v>
      </c>
      <c r="D280">
        <v>0</v>
      </c>
      <c r="F280">
        <v>0</v>
      </c>
      <c r="G280">
        <v>0</v>
      </c>
      <c r="H280">
        <v>780</v>
      </c>
      <c r="I280">
        <v>71</v>
      </c>
      <c r="J280">
        <v>71</v>
      </c>
      <c r="K280">
        <v>71</v>
      </c>
      <c r="L280">
        <v>9.1025641025640994E-2</v>
      </c>
      <c r="M280" t="s">
        <v>653</v>
      </c>
      <c r="N280" t="s">
        <v>88</v>
      </c>
      <c r="O280" t="s">
        <v>653</v>
      </c>
      <c r="P280" t="s">
        <v>653</v>
      </c>
    </row>
    <row r="281" spans="1:16" hidden="1" x14ac:dyDescent="0.25">
      <c r="A281" t="s">
        <v>608</v>
      </c>
      <c r="B281" t="s">
        <v>609</v>
      </c>
      <c r="D281">
        <v>0</v>
      </c>
      <c r="F281">
        <v>0</v>
      </c>
      <c r="G281">
        <v>0</v>
      </c>
      <c r="H281">
        <v>202</v>
      </c>
      <c r="I281">
        <v>41</v>
      </c>
      <c r="J281">
        <v>41</v>
      </c>
      <c r="K281">
        <v>41</v>
      </c>
      <c r="L281">
        <v>0.20297029702970301</v>
      </c>
      <c r="M281" t="s">
        <v>653</v>
      </c>
      <c r="N281" t="s">
        <v>653</v>
      </c>
      <c r="O281" t="s">
        <v>653</v>
      </c>
      <c r="P281" t="s">
        <v>653</v>
      </c>
    </row>
    <row r="282" spans="1:16" hidden="1" x14ac:dyDescent="0.25">
      <c r="A282" t="s">
        <v>60</v>
      </c>
      <c r="B282" t="s">
        <v>42</v>
      </c>
      <c r="C282" t="s">
        <v>60</v>
      </c>
      <c r="D282">
        <v>0</v>
      </c>
      <c r="F282">
        <v>2</v>
      </c>
      <c r="G282">
        <v>0</v>
      </c>
      <c r="H282">
        <v>2257.117885082278</v>
      </c>
      <c r="I282">
        <v>501.88758958883432</v>
      </c>
      <c r="J282">
        <v>503.88758958883432</v>
      </c>
      <c r="K282">
        <v>646</v>
      </c>
      <c r="L282">
        <v>0.223243807033351</v>
      </c>
      <c r="M282" t="s">
        <v>653</v>
      </c>
      <c r="N282" t="s">
        <v>653</v>
      </c>
      <c r="O282" t="s">
        <v>653</v>
      </c>
      <c r="P282" t="s">
        <v>653</v>
      </c>
    </row>
    <row r="283" spans="1:16" x14ac:dyDescent="0.25">
      <c r="A283" t="s">
        <v>247</v>
      </c>
      <c r="B283" t="s">
        <v>248</v>
      </c>
      <c r="D283">
        <v>0</v>
      </c>
      <c r="F283">
        <v>13</v>
      </c>
      <c r="G283">
        <v>0</v>
      </c>
      <c r="H283">
        <v>6872</v>
      </c>
      <c r="I283">
        <v>621</v>
      </c>
      <c r="J283">
        <v>634</v>
      </c>
      <c r="K283">
        <v>634</v>
      </c>
      <c r="L283">
        <v>9.2258440046565804E-2</v>
      </c>
      <c r="M283" t="s">
        <v>653</v>
      </c>
      <c r="N283" t="s">
        <v>88</v>
      </c>
      <c r="O283" t="s">
        <v>653</v>
      </c>
      <c r="P283" t="s">
        <v>653</v>
      </c>
    </row>
    <row r="284" spans="1:16" hidden="1" x14ac:dyDescent="0.25">
      <c r="A284" t="s">
        <v>610</v>
      </c>
      <c r="B284" t="s">
        <v>611</v>
      </c>
      <c r="D284">
        <v>0</v>
      </c>
      <c r="F284">
        <v>0</v>
      </c>
      <c r="G284">
        <v>0</v>
      </c>
      <c r="H284">
        <v>810</v>
      </c>
      <c r="I284">
        <v>252</v>
      </c>
      <c r="J284">
        <v>252</v>
      </c>
      <c r="K284">
        <v>252</v>
      </c>
      <c r="L284">
        <v>0.31111111111111101</v>
      </c>
      <c r="M284" t="s">
        <v>653</v>
      </c>
      <c r="N284" t="s">
        <v>653</v>
      </c>
      <c r="O284" t="s">
        <v>653</v>
      </c>
      <c r="P284" t="s">
        <v>653</v>
      </c>
    </row>
    <row r="285" spans="1:16" x14ac:dyDescent="0.25">
      <c r="A285" t="s">
        <v>249</v>
      </c>
      <c r="B285" t="s">
        <v>250</v>
      </c>
      <c r="D285">
        <v>0</v>
      </c>
      <c r="F285">
        <v>5</v>
      </c>
      <c r="G285">
        <v>0</v>
      </c>
      <c r="H285">
        <v>5730</v>
      </c>
      <c r="I285">
        <v>469</v>
      </c>
      <c r="J285">
        <v>474</v>
      </c>
      <c r="K285">
        <v>474</v>
      </c>
      <c r="L285">
        <v>8.2722513089005204E-2</v>
      </c>
      <c r="M285" t="s">
        <v>653</v>
      </c>
      <c r="N285" t="s">
        <v>88</v>
      </c>
      <c r="O285" t="s">
        <v>653</v>
      </c>
      <c r="P285" t="s">
        <v>653</v>
      </c>
    </row>
    <row r="286" spans="1:16" hidden="1" x14ac:dyDescent="0.25">
      <c r="A286" t="s">
        <v>612</v>
      </c>
      <c r="B286" t="s">
        <v>613</v>
      </c>
      <c r="D286">
        <v>0</v>
      </c>
      <c r="F286">
        <v>0</v>
      </c>
      <c r="G286">
        <v>0</v>
      </c>
      <c r="H286">
        <v>290</v>
      </c>
      <c r="I286">
        <v>76</v>
      </c>
      <c r="J286">
        <v>76</v>
      </c>
      <c r="K286">
        <v>76</v>
      </c>
      <c r="L286">
        <v>0.26206896551724101</v>
      </c>
      <c r="M286" t="s">
        <v>653</v>
      </c>
      <c r="N286" t="s">
        <v>653</v>
      </c>
      <c r="O286" t="s">
        <v>653</v>
      </c>
      <c r="P286" t="s">
        <v>653</v>
      </c>
    </row>
    <row r="287" spans="1:16" x14ac:dyDescent="0.25">
      <c r="A287" t="s">
        <v>63</v>
      </c>
      <c r="B287" t="s">
        <v>48</v>
      </c>
      <c r="C287" t="s">
        <v>63</v>
      </c>
      <c r="D287">
        <v>0</v>
      </c>
      <c r="F287">
        <v>100</v>
      </c>
      <c r="G287">
        <v>0</v>
      </c>
      <c r="H287">
        <v>24637.2929602888</v>
      </c>
      <c r="I287">
        <v>2611.4967272727281</v>
      </c>
      <c r="J287">
        <v>2711.4967272727281</v>
      </c>
      <c r="K287">
        <v>2752</v>
      </c>
      <c r="L287">
        <v>0.110056601252549</v>
      </c>
      <c r="M287" t="s">
        <v>653</v>
      </c>
      <c r="N287" t="s">
        <v>88</v>
      </c>
      <c r="O287" t="s">
        <v>653</v>
      </c>
      <c r="P287" t="s">
        <v>653</v>
      </c>
    </row>
    <row r="288" spans="1:16" x14ac:dyDescent="0.25">
      <c r="A288" t="s">
        <v>251</v>
      </c>
      <c r="B288" t="s">
        <v>252</v>
      </c>
      <c r="D288">
        <v>0</v>
      </c>
      <c r="F288">
        <v>0</v>
      </c>
      <c r="G288">
        <v>0</v>
      </c>
      <c r="H288">
        <v>1416</v>
      </c>
      <c r="I288">
        <v>111</v>
      </c>
      <c r="J288">
        <v>111</v>
      </c>
      <c r="K288">
        <v>111</v>
      </c>
      <c r="L288">
        <v>7.8389830508474603E-2</v>
      </c>
      <c r="M288" t="s">
        <v>653</v>
      </c>
      <c r="N288" t="s">
        <v>88</v>
      </c>
      <c r="O288" t="s">
        <v>653</v>
      </c>
      <c r="P288" t="s">
        <v>653</v>
      </c>
    </row>
    <row r="289" spans="1:16" hidden="1" x14ac:dyDescent="0.25">
      <c r="A289" t="s">
        <v>614</v>
      </c>
      <c r="B289" t="s">
        <v>615</v>
      </c>
      <c r="D289">
        <v>0</v>
      </c>
      <c r="F289">
        <v>1</v>
      </c>
      <c r="G289">
        <v>0</v>
      </c>
      <c r="H289">
        <v>504</v>
      </c>
      <c r="I289">
        <v>90</v>
      </c>
      <c r="J289">
        <v>91</v>
      </c>
      <c r="K289">
        <v>91</v>
      </c>
      <c r="L289">
        <v>0.180555555555556</v>
      </c>
      <c r="M289" t="s">
        <v>653</v>
      </c>
      <c r="N289" t="s">
        <v>653</v>
      </c>
      <c r="O289" t="s">
        <v>653</v>
      </c>
      <c r="P289" t="s">
        <v>653</v>
      </c>
    </row>
    <row r="290" spans="1:16" x14ac:dyDescent="0.25">
      <c r="A290" t="s">
        <v>616</v>
      </c>
      <c r="B290" t="s">
        <v>617</v>
      </c>
      <c r="D290">
        <v>0</v>
      </c>
      <c r="F290">
        <v>0</v>
      </c>
      <c r="G290">
        <v>0</v>
      </c>
      <c r="H290">
        <v>2014</v>
      </c>
      <c r="I290">
        <v>300</v>
      </c>
      <c r="J290">
        <v>300</v>
      </c>
      <c r="K290">
        <v>300</v>
      </c>
      <c r="L290">
        <v>0.148957298907646</v>
      </c>
      <c r="M290" t="s">
        <v>653</v>
      </c>
      <c r="N290" t="s">
        <v>88</v>
      </c>
      <c r="O290" t="s">
        <v>653</v>
      </c>
      <c r="P290" t="s">
        <v>653</v>
      </c>
    </row>
    <row r="291" spans="1:16" x14ac:dyDescent="0.25">
      <c r="A291" t="s">
        <v>618</v>
      </c>
      <c r="B291" t="s">
        <v>619</v>
      </c>
      <c r="D291">
        <v>0</v>
      </c>
      <c r="F291">
        <v>0</v>
      </c>
      <c r="G291">
        <v>0</v>
      </c>
      <c r="H291">
        <v>275</v>
      </c>
      <c r="I291">
        <v>37</v>
      </c>
      <c r="J291">
        <v>37</v>
      </c>
      <c r="K291">
        <v>37</v>
      </c>
      <c r="L291">
        <v>0.134545454545455</v>
      </c>
      <c r="M291" t="s">
        <v>653</v>
      </c>
      <c r="N291" t="s">
        <v>88</v>
      </c>
      <c r="O291" t="s">
        <v>653</v>
      </c>
      <c r="P291" t="s">
        <v>653</v>
      </c>
    </row>
    <row r="292" spans="1:16" hidden="1" x14ac:dyDescent="0.25">
      <c r="A292" t="s">
        <v>620</v>
      </c>
      <c r="B292" t="s">
        <v>1400</v>
      </c>
      <c r="D292">
        <v>0</v>
      </c>
      <c r="F292">
        <v>27</v>
      </c>
      <c r="G292">
        <v>0</v>
      </c>
      <c r="H292">
        <v>5943</v>
      </c>
      <c r="I292">
        <v>1038</v>
      </c>
      <c r="J292">
        <v>1065</v>
      </c>
      <c r="K292">
        <v>1065</v>
      </c>
      <c r="L292">
        <v>0.179202423018677</v>
      </c>
      <c r="M292" t="s">
        <v>653</v>
      </c>
      <c r="N292" t="s">
        <v>653</v>
      </c>
      <c r="O292" t="s">
        <v>653</v>
      </c>
      <c r="P292" t="s">
        <v>653</v>
      </c>
    </row>
    <row r="293" spans="1:16" hidden="1" x14ac:dyDescent="0.25">
      <c r="A293" t="s">
        <v>621</v>
      </c>
      <c r="B293" t="s">
        <v>622</v>
      </c>
      <c r="D293">
        <v>0</v>
      </c>
      <c r="F293">
        <v>26</v>
      </c>
      <c r="G293">
        <v>0</v>
      </c>
      <c r="H293">
        <v>3491</v>
      </c>
      <c r="I293">
        <v>733</v>
      </c>
      <c r="J293">
        <v>759</v>
      </c>
      <c r="K293">
        <v>759</v>
      </c>
      <c r="L293">
        <v>0.21741621311945</v>
      </c>
      <c r="M293" t="s">
        <v>653</v>
      </c>
      <c r="N293" t="s">
        <v>653</v>
      </c>
      <c r="O293" t="s">
        <v>653</v>
      </c>
      <c r="P293" t="s">
        <v>653</v>
      </c>
    </row>
    <row r="294" spans="1:16" hidden="1" x14ac:dyDescent="0.25">
      <c r="A294" t="s">
        <v>623</v>
      </c>
      <c r="B294" t="s">
        <v>624</v>
      </c>
      <c r="D294">
        <v>0</v>
      </c>
      <c r="F294">
        <v>0</v>
      </c>
      <c r="G294">
        <v>0</v>
      </c>
      <c r="H294">
        <v>867</v>
      </c>
      <c r="I294">
        <v>201</v>
      </c>
      <c r="J294">
        <v>201</v>
      </c>
      <c r="K294">
        <v>201</v>
      </c>
      <c r="L294">
        <v>0.23183391003460199</v>
      </c>
      <c r="M294" t="s">
        <v>653</v>
      </c>
      <c r="N294" t="s">
        <v>653</v>
      </c>
      <c r="O294" t="s">
        <v>653</v>
      </c>
      <c r="P294" t="s">
        <v>653</v>
      </c>
    </row>
    <row r="295" spans="1:16" x14ac:dyDescent="0.25">
      <c r="A295" t="s">
        <v>253</v>
      </c>
      <c r="B295" t="s">
        <v>254</v>
      </c>
      <c r="D295">
        <v>0</v>
      </c>
      <c r="F295">
        <v>12</v>
      </c>
      <c r="G295">
        <v>0</v>
      </c>
      <c r="H295">
        <v>3759</v>
      </c>
      <c r="I295">
        <v>241</v>
      </c>
      <c r="J295">
        <v>253</v>
      </c>
      <c r="K295">
        <v>253</v>
      </c>
      <c r="L295">
        <v>6.73051343442405E-2</v>
      </c>
      <c r="M295" t="s">
        <v>653</v>
      </c>
      <c r="N295" t="s">
        <v>88</v>
      </c>
      <c r="O295" t="s">
        <v>653</v>
      </c>
      <c r="P295" t="s">
        <v>653</v>
      </c>
    </row>
    <row r="296" spans="1:16" x14ac:dyDescent="0.25">
      <c r="A296" t="s">
        <v>625</v>
      </c>
      <c r="B296" t="s">
        <v>626</v>
      </c>
      <c r="D296">
        <v>0</v>
      </c>
      <c r="F296">
        <v>0</v>
      </c>
      <c r="G296">
        <v>0</v>
      </c>
      <c r="H296">
        <v>66</v>
      </c>
      <c r="I296">
        <v>2</v>
      </c>
      <c r="J296">
        <v>2</v>
      </c>
      <c r="K296">
        <v>2</v>
      </c>
      <c r="L296">
        <v>3.03030303030303E-2</v>
      </c>
      <c r="M296" t="s">
        <v>88</v>
      </c>
      <c r="N296" t="s">
        <v>88</v>
      </c>
      <c r="O296" t="s">
        <v>88</v>
      </c>
      <c r="P296" t="s">
        <v>88</v>
      </c>
    </row>
    <row r="297" spans="1:16" x14ac:dyDescent="0.25">
      <c r="A297" t="s">
        <v>627</v>
      </c>
      <c r="B297" t="s">
        <v>628</v>
      </c>
      <c r="D297">
        <v>0</v>
      </c>
      <c r="F297">
        <v>0</v>
      </c>
      <c r="G297">
        <v>0</v>
      </c>
      <c r="H297">
        <v>331</v>
      </c>
      <c r="I297">
        <v>39</v>
      </c>
      <c r="J297">
        <v>39</v>
      </c>
      <c r="K297">
        <v>39</v>
      </c>
      <c r="L297">
        <v>0.11782477341389699</v>
      </c>
      <c r="M297" t="s">
        <v>653</v>
      </c>
      <c r="N297" t="s">
        <v>88</v>
      </c>
      <c r="O297" t="s">
        <v>653</v>
      </c>
      <c r="P297" t="s">
        <v>653</v>
      </c>
    </row>
    <row r="298" spans="1:16" hidden="1" x14ac:dyDescent="0.25">
      <c r="A298" t="s">
        <v>629</v>
      </c>
      <c r="B298" t="s">
        <v>630</v>
      </c>
      <c r="D298">
        <v>0</v>
      </c>
      <c r="F298">
        <v>1</v>
      </c>
      <c r="G298">
        <v>0</v>
      </c>
      <c r="H298">
        <v>317</v>
      </c>
      <c r="I298">
        <v>72</v>
      </c>
      <c r="J298">
        <v>73</v>
      </c>
      <c r="K298">
        <v>73</v>
      </c>
      <c r="L298">
        <v>0.230283911671924</v>
      </c>
      <c r="M298" t="s">
        <v>653</v>
      </c>
      <c r="N298" t="s">
        <v>653</v>
      </c>
      <c r="O298" t="s">
        <v>653</v>
      </c>
      <c r="P298" t="s">
        <v>653</v>
      </c>
    </row>
    <row r="299" spans="1:16" x14ac:dyDescent="0.25">
      <c r="A299" t="s">
        <v>64</v>
      </c>
      <c r="B299" t="s">
        <v>1391</v>
      </c>
      <c r="C299" t="s">
        <v>64</v>
      </c>
      <c r="D299">
        <v>0</v>
      </c>
      <c r="F299">
        <v>46</v>
      </c>
      <c r="G299">
        <v>0</v>
      </c>
      <c r="H299">
        <v>7988.4009900990113</v>
      </c>
      <c r="I299">
        <v>1015.4483416845621</v>
      </c>
      <c r="J299">
        <v>1061.4483416845621</v>
      </c>
      <c r="K299">
        <v>1085</v>
      </c>
      <c r="L299">
        <v>0.132873693120831</v>
      </c>
      <c r="M299" t="s">
        <v>653</v>
      </c>
      <c r="N299" t="s">
        <v>88</v>
      </c>
      <c r="O299" t="s">
        <v>653</v>
      </c>
      <c r="P299" t="s">
        <v>653</v>
      </c>
    </row>
    <row r="300" spans="1:16" x14ac:dyDescent="0.25">
      <c r="A300" t="s">
        <v>306</v>
      </c>
      <c r="B300" t="s">
        <v>1387</v>
      </c>
      <c r="D300">
        <v>0</v>
      </c>
      <c r="F300">
        <v>39</v>
      </c>
      <c r="G300">
        <v>0</v>
      </c>
      <c r="H300">
        <v>3230</v>
      </c>
      <c r="I300">
        <v>312</v>
      </c>
      <c r="J300">
        <v>351</v>
      </c>
      <c r="K300">
        <v>351</v>
      </c>
      <c r="L300">
        <v>0.108668730650155</v>
      </c>
      <c r="M300" t="s">
        <v>653</v>
      </c>
      <c r="N300" t="s">
        <v>88</v>
      </c>
      <c r="O300" t="s">
        <v>653</v>
      </c>
      <c r="P300" t="s">
        <v>653</v>
      </c>
    </row>
    <row r="301" spans="1:16" x14ac:dyDescent="0.25">
      <c r="A301" t="s">
        <v>255</v>
      </c>
      <c r="B301" t="s">
        <v>1386</v>
      </c>
      <c r="D301">
        <v>0</v>
      </c>
      <c r="F301">
        <v>25</v>
      </c>
      <c r="G301">
        <v>0</v>
      </c>
      <c r="H301">
        <v>6290</v>
      </c>
      <c r="I301">
        <v>712</v>
      </c>
      <c r="J301">
        <v>737</v>
      </c>
      <c r="K301">
        <v>737</v>
      </c>
      <c r="L301">
        <v>0.11717011128775801</v>
      </c>
      <c r="M301" t="s">
        <v>653</v>
      </c>
      <c r="N301" t="s">
        <v>88</v>
      </c>
      <c r="O301" t="s">
        <v>653</v>
      </c>
      <c r="P301" t="s">
        <v>653</v>
      </c>
    </row>
    <row r="302" spans="1:16" x14ac:dyDescent="0.25">
      <c r="A302" t="s">
        <v>68</v>
      </c>
      <c r="B302" t="s">
        <v>1384</v>
      </c>
      <c r="C302" t="s">
        <v>56</v>
      </c>
      <c r="D302">
        <v>0</v>
      </c>
      <c r="E302">
        <v>0</v>
      </c>
      <c r="F302">
        <v>0</v>
      </c>
      <c r="G302">
        <v>0</v>
      </c>
      <c r="H302">
        <v>117.59433714934895</v>
      </c>
      <c r="I302">
        <v>8.2649236464599678</v>
      </c>
      <c r="J302">
        <v>8.2649236464599678</v>
      </c>
      <c r="K302">
        <v>0</v>
      </c>
      <c r="L302">
        <v>7.0283347368702204E-2</v>
      </c>
      <c r="M302" t="s">
        <v>88</v>
      </c>
      <c r="N302" t="s">
        <v>88</v>
      </c>
      <c r="O302" t="s">
        <v>88</v>
      </c>
      <c r="P302" t="s">
        <v>88</v>
      </c>
    </row>
    <row r="303" spans="1:16" hidden="1" x14ac:dyDescent="0.25">
      <c r="A303" t="s">
        <v>631</v>
      </c>
      <c r="B303" t="s">
        <v>632</v>
      </c>
      <c r="D303">
        <v>0</v>
      </c>
      <c r="F303">
        <v>1</v>
      </c>
      <c r="G303">
        <v>0</v>
      </c>
      <c r="H303">
        <v>475</v>
      </c>
      <c r="I303">
        <v>93</v>
      </c>
      <c r="J303">
        <v>94</v>
      </c>
      <c r="K303">
        <v>94</v>
      </c>
      <c r="L303">
        <v>0.19789473684210501</v>
      </c>
      <c r="M303" t="s">
        <v>653</v>
      </c>
      <c r="N303" t="s">
        <v>653</v>
      </c>
      <c r="O303" t="s">
        <v>653</v>
      </c>
      <c r="P303" t="s">
        <v>653</v>
      </c>
    </row>
    <row r="304" spans="1:16" x14ac:dyDescent="0.25">
      <c r="A304" t="s">
        <v>256</v>
      </c>
      <c r="B304" t="s">
        <v>257</v>
      </c>
      <c r="D304">
        <v>0</v>
      </c>
      <c r="F304">
        <v>3</v>
      </c>
      <c r="G304">
        <v>0</v>
      </c>
      <c r="H304">
        <v>4732</v>
      </c>
      <c r="I304">
        <v>190</v>
      </c>
      <c r="J304">
        <v>193</v>
      </c>
      <c r="K304">
        <v>193</v>
      </c>
      <c r="L304">
        <v>4.0786136939983099E-2</v>
      </c>
      <c r="M304" t="s">
        <v>653</v>
      </c>
      <c r="N304" t="s">
        <v>88</v>
      </c>
      <c r="O304" t="s">
        <v>88</v>
      </c>
      <c r="P304" t="s">
        <v>88</v>
      </c>
    </row>
    <row r="305" spans="1:16" x14ac:dyDescent="0.25">
      <c r="A305" t="s">
        <v>307</v>
      </c>
      <c r="B305" t="s">
        <v>308</v>
      </c>
      <c r="D305">
        <v>0</v>
      </c>
      <c r="F305">
        <v>0</v>
      </c>
      <c r="G305">
        <v>0</v>
      </c>
      <c r="H305">
        <v>1231</v>
      </c>
      <c r="I305">
        <v>150</v>
      </c>
      <c r="J305">
        <v>150</v>
      </c>
      <c r="K305">
        <v>150</v>
      </c>
      <c r="L305">
        <v>0.121852152721365</v>
      </c>
      <c r="M305" t="s">
        <v>653</v>
      </c>
      <c r="N305" t="s">
        <v>88</v>
      </c>
      <c r="O305" t="s">
        <v>653</v>
      </c>
      <c r="P305" t="s">
        <v>653</v>
      </c>
    </row>
    <row r="306" spans="1:16" hidden="1" x14ac:dyDescent="0.25">
      <c r="A306" t="s">
        <v>70</v>
      </c>
      <c r="B306" t="s">
        <v>1397</v>
      </c>
      <c r="C306" t="s">
        <v>57</v>
      </c>
      <c r="D306">
        <v>0</v>
      </c>
      <c r="E306">
        <v>0</v>
      </c>
      <c r="F306">
        <v>0</v>
      </c>
      <c r="G306">
        <v>0</v>
      </c>
      <c r="H306">
        <v>146.33333333333329</v>
      </c>
      <c r="I306">
        <v>27.072058564120645</v>
      </c>
      <c r="J306">
        <v>27.072058564120645</v>
      </c>
      <c r="K306">
        <v>0</v>
      </c>
      <c r="L306">
        <v>0.18500267811471999</v>
      </c>
      <c r="M306" t="s">
        <v>653</v>
      </c>
      <c r="N306" t="s">
        <v>653</v>
      </c>
      <c r="O306" t="s">
        <v>653</v>
      </c>
      <c r="P306" t="s">
        <v>653</v>
      </c>
    </row>
    <row r="307" spans="1:16" x14ac:dyDescent="0.25">
      <c r="A307" t="s">
        <v>258</v>
      </c>
      <c r="B307" t="s">
        <v>259</v>
      </c>
      <c r="D307">
        <v>0</v>
      </c>
      <c r="F307">
        <v>0</v>
      </c>
      <c r="G307">
        <v>0</v>
      </c>
      <c r="H307">
        <v>226</v>
      </c>
      <c r="I307">
        <v>29</v>
      </c>
      <c r="J307">
        <v>29</v>
      </c>
      <c r="K307">
        <v>29</v>
      </c>
      <c r="L307">
        <v>0.12831858407079599</v>
      </c>
      <c r="M307" t="s">
        <v>653</v>
      </c>
      <c r="N307" t="s">
        <v>88</v>
      </c>
      <c r="O307" t="s">
        <v>653</v>
      </c>
      <c r="P307" t="s">
        <v>653</v>
      </c>
    </row>
    <row r="308" spans="1:16" x14ac:dyDescent="0.25">
      <c r="A308" t="s">
        <v>633</v>
      </c>
      <c r="B308" t="s">
        <v>634</v>
      </c>
      <c r="D308">
        <v>0</v>
      </c>
      <c r="F308">
        <v>0</v>
      </c>
      <c r="G308">
        <v>0</v>
      </c>
      <c r="H308">
        <v>319</v>
      </c>
      <c r="I308">
        <v>27</v>
      </c>
      <c r="J308">
        <v>27</v>
      </c>
      <c r="K308">
        <v>27</v>
      </c>
      <c r="L308">
        <v>8.4639498432601906E-2</v>
      </c>
      <c r="M308" t="s">
        <v>653</v>
      </c>
      <c r="N308" t="s">
        <v>88</v>
      </c>
      <c r="O308" t="s">
        <v>653</v>
      </c>
      <c r="P308" t="s">
        <v>653</v>
      </c>
    </row>
    <row r="309" spans="1:16" x14ac:dyDescent="0.25">
      <c r="A309" t="s">
        <v>635</v>
      </c>
      <c r="B309" t="s">
        <v>636</v>
      </c>
      <c r="D309">
        <v>0</v>
      </c>
      <c r="F309">
        <v>0</v>
      </c>
      <c r="G309">
        <v>0</v>
      </c>
      <c r="H309">
        <v>112</v>
      </c>
      <c r="I309">
        <v>16</v>
      </c>
      <c r="J309">
        <v>16</v>
      </c>
      <c r="K309">
        <v>16</v>
      </c>
      <c r="L309">
        <v>0.14285714285714299</v>
      </c>
      <c r="M309" t="s">
        <v>653</v>
      </c>
      <c r="N309" t="s">
        <v>88</v>
      </c>
      <c r="O309" t="s">
        <v>653</v>
      </c>
      <c r="P309" t="s">
        <v>653</v>
      </c>
    </row>
    <row r="310" spans="1:16" x14ac:dyDescent="0.25">
      <c r="A310" t="s">
        <v>637</v>
      </c>
      <c r="B310" t="s">
        <v>638</v>
      </c>
      <c r="D310">
        <v>0</v>
      </c>
      <c r="F310">
        <v>1</v>
      </c>
      <c r="G310">
        <v>0</v>
      </c>
      <c r="H310">
        <v>822</v>
      </c>
      <c r="I310">
        <v>96</v>
      </c>
      <c r="J310">
        <v>97</v>
      </c>
      <c r="K310">
        <v>97</v>
      </c>
      <c r="L310">
        <v>0.118004866180049</v>
      </c>
      <c r="M310" t="s">
        <v>653</v>
      </c>
      <c r="N310" t="s">
        <v>88</v>
      </c>
      <c r="O310" t="s">
        <v>653</v>
      </c>
      <c r="P310" t="s">
        <v>653</v>
      </c>
    </row>
    <row r="311" spans="1:16" hidden="1" x14ac:dyDescent="0.25">
      <c r="A311" t="s">
        <v>639</v>
      </c>
      <c r="B311" t="s">
        <v>640</v>
      </c>
      <c r="D311">
        <v>0</v>
      </c>
      <c r="F311">
        <v>0</v>
      </c>
      <c r="G311">
        <v>0</v>
      </c>
      <c r="H311">
        <v>147</v>
      </c>
      <c r="I311">
        <v>28</v>
      </c>
      <c r="J311">
        <v>28</v>
      </c>
      <c r="K311">
        <v>28</v>
      </c>
      <c r="L311">
        <v>0.19047619047618999</v>
      </c>
      <c r="M311" t="s">
        <v>653</v>
      </c>
      <c r="N311" t="s">
        <v>653</v>
      </c>
      <c r="O311" t="s">
        <v>653</v>
      </c>
      <c r="P311" t="s">
        <v>653</v>
      </c>
    </row>
    <row r="312" spans="1:16" hidden="1" x14ac:dyDescent="0.25">
      <c r="A312" t="s">
        <v>641</v>
      </c>
      <c r="B312" t="s">
        <v>642</v>
      </c>
      <c r="D312">
        <v>0</v>
      </c>
      <c r="F312">
        <v>0</v>
      </c>
      <c r="G312">
        <v>0</v>
      </c>
      <c r="H312">
        <v>44</v>
      </c>
      <c r="I312">
        <v>31</v>
      </c>
      <c r="J312">
        <v>31</v>
      </c>
      <c r="K312">
        <v>31</v>
      </c>
      <c r="L312">
        <v>0.70454545454545403</v>
      </c>
      <c r="M312" t="s">
        <v>653</v>
      </c>
      <c r="N312" t="s">
        <v>653</v>
      </c>
      <c r="O312" t="s">
        <v>653</v>
      </c>
      <c r="P312" t="s">
        <v>653</v>
      </c>
    </row>
    <row r="313" spans="1:16" x14ac:dyDescent="0.25">
      <c r="A313" t="s">
        <v>643</v>
      </c>
      <c r="B313" t="s">
        <v>644</v>
      </c>
      <c r="D313">
        <v>0</v>
      </c>
      <c r="F313">
        <v>8</v>
      </c>
      <c r="G313">
        <v>0</v>
      </c>
      <c r="H313">
        <v>2686</v>
      </c>
      <c r="I313">
        <v>255</v>
      </c>
      <c r="J313">
        <v>263</v>
      </c>
      <c r="K313">
        <v>263</v>
      </c>
      <c r="L313">
        <v>9.79151154132539E-2</v>
      </c>
      <c r="M313" t="s">
        <v>653</v>
      </c>
      <c r="N313" t="s">
        <v>88</v>
      </c>
      <c r="O313" t="s">
        <v>653</v>
      </c>
      <c r="P313" t="s">
        <v>653</v>
      </c>
    </row>
    <row r="314" spans="1:16" hidden="1" x14ac:dyDescent="0.25">
      <c r="A314" t="s">
        <v>645</v>
      </c>
      <c r="B314" t="s">
        <v>646</v>
      </c>
      <c r="D314">
        <v>0</v>
      </c>
      <c r="F314">
        <v>57</v>
      </c>
      <c r="G314">
        <v>0</v>
      </c>
      <c r="H314">
        <v>16525</v>
      </c>
      <c r="I314">
        <v>4372</v>
      </c>
      <c r="J314">
        <v>4429</v>
      </c>
      <c r="K314">
        <v>4429</v>
      </c>
      <c r="L314">
        <v>0.26801815431164899</v>
      </c>
      <c r="M314" t="s">
        <v>653</v>
      </c>
      <c r="N314" t="s">
        <v>653</v>
      </c>
      <c r="O314" t="s">
        <v>653</v>
      </c>
      <c r="P314" t="s">
        <v>653</v>
      </c>
    </row>
    <row r="315" spans="1:16" x14ac:dyDescent="0.25">
      <c r="A315" t="s">
        <v>647</v>
      </c>
      <c r="B315" t="s">
        <v>648</v>
      </c>
      <c r="D315">
        <v>0</v>
      </c>
      <c r="F315">
        <v>42</v>
      </c>
      <c r="G315">
        <v>0</v>
      </c>
      <c r="H315">
        <v>6541</v>
      </c>
      <c r="I315">
        <v>506</v>
      </c>
      <c r="J315">
        <v>548</v>
      </c>
      <c r="K315">
        <v>548</v>
      </c>
      <c r="L315">
        <v>8.3779238648524698E-2</v>
      </c>
      <c r="M315" t="s">
        <v>653</v>
      </c>
      <c r="N315" t="s">
        <v>88</v>
      </c>
      <c r="O315" t="s">
        <v>653</v>
      </c>
      <c r="P315" t="s">
        <v>653</v>
      </c>
    </row>
    <row r="316" spans="1:16" x14ac:dyDescent="0.25">
      <c r="A316" t="s">
        <v>649</v>
      </c>
      <c r="B316" t="s">
        <v>650</v>
      </c>
      <c r="D316">
        <v>0</v>
      </c>
      <c r="F316">
        <v>2</v>
      </c>
      <c r="G316">
        <v>0</v>
      </c>
      <c r="H316">
        <v>1203</v>
      </c>
      <c r="I316">
        <v>148</v>
      </c>
      <c r="J316">
        <v>150</v>
      </c>
      <c r="K316">
        <v>150</v>
      </c>
      <c r="L316">
        <v>0.124688279301746</v>
      </c>
      <c r="M316" t="s">
        <v>653</v>
      </c>
      <c r="N316" t="s">
        <v>88</v>
      </c>
      <c r="O316" t="s">
        <v>653</v>
      </c>
      <c r="P316" t="s">
        <v>653</v>
      </c>
    </row>
  </sheetData>
  <sheetProtection algorithmName="SHA-512" hashValue="P12GeGXwitox8LIXb22jN42v5tzuO2QSXjfudxE/1KsDkjlCUFuUagvziJP06LwIwglJumkSZvBZG0sPfUo0eA==" saltValue="CDamfYDU7oOnZBy/zBj01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4C182-92C9-430D-B4F1-923CD86FD3EA}">
  <sheetPr>
    <tabColor rgb="FF7030A0"/>
  </sheetPr>
  <dimension ref="A1:AH40"/>
  <sheetViews>
    <sheetView topLeftCell="Q1" workbookViewId="0">
      <selection activeCell="U25" sqref="U25"/>
    </sheetView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8.140625" bestFit="1" customWidth="1"/>
    <col min="5" max="5" width="8.85546875" bestFit="1" customWidth="1"/>
    <col min="6" max="6" width="13.42578125" bestFit="1" customWidth="1"/>
    <col min="7" max="8" width="52" bestFit="1" customWidth="1"/>
    <col min="9" max="9" width="57.28515625" bestFit="1" customWidth="1"/>
    <col min="10" max="10" width="29.5703125" bestFit="1" customWidth="1"/>
    <col min="11" max="11" width="74.5703125" bestFit="1" customWidth="1"/>
    <col min="12" max="12" width="76.140625" bestFit="1" customWidth="1"/>
    <col min="13" max="13" width="66.85546875" bestFit="1" customWidth="1"/>
    <col min="14" max="14" width="74.28515625" bestFit="1" customWidth="1"/>
    <col min="15" max="15" width="50.5703125" bestFit="1" customWidth="1"/>
    <col min="16" max="16" width="45.5703125" bestFit="1" customWidth="1"/>
    <col min="17" max="17" width="46" bestFit="1" customWidth="1"/>
    <col min="18" max="18" width="48.85546875" bestFit="1" customWidth="1"/>
    <col min="19" max="19" width="45.140625" bestFit="1" customWidth="1"/>
    <col min="20" max="20" width="51.140625" bestFit="1" customWidth="1"/>
    <col min="21" max="21" width="30" bestFit="1" customWidth="1"/>
    <col min="22" max="22" width="30.28515625" bestFit="1" customWidth="1"/>
    <col min="23" max="23" width="34" bestFit="1" customWidth="1"/>
    <col min="24" max="24" width="29.5703125" bestFit="1" customWidth="1"/>
    <col min="25" max="25" width="29.28515625" bestFit="1" customWidth="1"/>
    <col min="26" max="26" width="45.140625" bestFit="1" customWidth="1"/>
    <col min="27" max="27" width="51.140625" bestFit="1" customWidth="1"/>
    <col min="28" max="28" width="30" bestFit="1" customWidth="1"/>
    <col min="29" max="29" width="30.28515625" bestFit="1" customWidth="1"/>
    <col min="30" max="30" width="34" bestFit="1" customWidth="1"/>
    <col min="31" max="31" width="29.5703125" bestFit="1" customWidth="1"/>
    <col min="32" max="32" width="29.28515625" customWidth="1"/>
    <col min="33" max="33" width="29.28515625" bestFit="1" customWidth="1"/>
    <col min="34" max="34" width="41.5703125" bestFit="1" customWidth="1"/>
    <col min="35" max="35" width="32" bestFit="1" customWidth="1"/>
    <col min="36" max="36" width="31.7109375" bestFit="1" customWidth="1"/>
    <col min="37" max="37" width="35.42578125" bestFit="1" customWidth="1"/>
    <col min="38" max="38" width="31.42578125" bestFit="1" customWidth="1"/>
    <col min="39" max="39" width="37.28515625" bestFit="1" customWidth="1"/>
    <col min="40" max="40" width="28.42578125" bestFit="1" customWidth="1"/>
    <col min="41" max="41" width="28.28515625" bestFit="1" customWidth="1"/>
    <col min="42" max="42" width="32" bestFit="1" customWidth="1"/>
    <col min="43" max="44" width="28" bestFit="1" customWidth="1"/>
    <col min="45" max="45" width="22.140625" bestFit="1" customWidth="1"/>
  </cols>
  <sheetData>
    <row r="1" spans="1:25" x14ac:dyDescent="0.25">
      <c r="A1" t="s">
        <v>0</v>
      </c>
      <c r="B1" t="s">
        <v>1313</v>
      </c>
      <c r="C1" t="s">
        <v>1314</v>
      </c>
      <c r="D1" t="s">
        <v>65</v>
      </c>
      <c r="E1" t="s">
        <v>5</v>
      </c>
      <c r="F1" t="s">
        <v>655</v>
      </c>
      <c r="G1" t="s">
        <v>1341</v>
      </c>
      <c r="H1" t="s">
        <v>1342</v>
      </c>
      <c r="I1" t="s">
        <v>1381</v>
      </c>
      <c r="J1" t="s">
        <v>1343</v>
      </c>
      <c r="K1" t="s">
        <v>1344</v>
      </c>
      <c r="L1" t="s">
        <v>1345</v>
      </c>
      <c r="M1" t="s">
        <v>1363</v>
      </c>
      <c r="N1" t="s">
        <v>1346</v>
      </c>
      <c r="O1" t="s">
        <v>1364</v>
      </c>
      <c r="P1" t="s">
        <v>1347</v>
      </c>
      <c r="Q1" t="s">
        <v>1348</v>
      </c>
      <c r="R1" t="s">
        <v>1349</v>
      </c>
      <c r="S1" t="s">
        <v>1350</v>
      </c>
      <c r="T1" t="s">
        <v>1351</v>
      </c>
      <c r="U1" t="s">
        <v>1352</v>
      </c>
      <c r="V1" t="s">
        <v>1353</v>
      </c>
      <c r="W1" t="s">
        <v>1354</v>
      </c>
      <c r="X1" t="s">
        <v>1355</v>
      </c>
      <c r="Y1" t="s">
        <v>1356</v>
      </c>
    </row>
    <row r="2" spans="1:25" x14ac:dyDescent="0.25">
      <c r="A2" t="s">
        <v>8</v>
      </c>
      <c r="B2" t="s">
        <v>1396</v>
      </c>
      <c r="C2" t="s">
        <v>55</v>
      </c>
      <c r="D2" t="s">
        <v>66</v>
      </c>
      <c r="E2" t="s">
        <v>88</v>
      </c>
      <c r="F2" t="s">
        <v>653</v>
      </c>
      <c r="G2">
        <v>65.667786487495334</v>
      </c>
      <c r="H2">
        <v>0.10646043117432499</v>
      </c>
      <c r="I2">
        <v>74</v>
      </c>
      <c r="J2" t="s">
        <v>1438</v>
      </c>
      <c r="K2">
        <v>63398.866922579939</v>
      </c>
      <c r="L2">
        <v>35454.923777041549</v>
      </c>
      <c r="M2">
        <v>0</v>
      </c>
      <c r="N2">
        <v>48733.432576510335</v>
      </c>
      <c r="O2">
        <v>147587.22327613182</v>
      </c>
      <c r="P2">
        <v>60923.266415243648</v>
      </c>
      <c r="Q2">
        <v>0</v>
      </c>
      <c r="R2">
        <v>34070.21009543979</v>
      </c>
      <c r="S2">
        <v>46830.118631613135</v>
      </c>
      <c r="T2">
        <v>141823.59514229657</v>
      </c>
      <c r="U2">
        <v>63398.866922579939</v>
      </c>
      <c r="V2">
        <v>0</v>
      </c>
      <c r="W2">
        <v>35454.923777041549</v>
      </c>
      <c r="X2">
        <v>48733.432576510335</v>
      </c>
      <c r="Y2">
        <v>147587.22327613182</v>
      </c>
    </row>
    <row r="3" spans="1:25" hidden="1" x14ac:dyDescent="0.25">
      <c r="A3" t="s">
        <v>13</v>
      </c>
      <c r="B3" t="s">
        <v>1384</v>
      </c>
      <c r="C3" t="s">
        <v>56</v>
      </c>
      <c r="D3" t="s">
        <v>68</v>
      </c>
      <c r="E3" t="s">
        <v>88</v>
      </c>
      <c r="F3" t="s">
        <v>88</v>
      </c>
      <c r="G3">
        <v>8.2649236464599678</v>
      </c>
      <c r="H3">
        <v>7.0283347368702204E-2</v>
      </c>
      <c r="I3">
        <v>8</v>
      </c>
      <c r="J3" t="s">
        <v>1439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hidden="1" x14ac:dyDescent="0.25">
      <c r="A4" t="s">
        <v>11</v>
      </c>
      <c r="B4" t="s">
        <v>12</v>
      </c>
      <c r="C4" t="s">
        <v>55</v>
      </c>
      <c r="D4" t="s">
        <v>67</v>
      </c>
      <c r="E4" t="s">
        <v>88</v>
      </c>
      <c r="F4" t="s">
        <v>88</v>
      </c>
      <c r="G4">
        <v>15.938783128032831</v>
      </c>
      <c r="H4">
        <v>0.194148516573487</v>
      </c>
      <c r="I4">
        <v>18</v>
      </c>
      <c r="J4" t="s">
        <v>1440</v>
      </c>
      <c r="K4">
        <v>15682.877607164477</v>
      </c>
      <c r="L4">
        <v>8770.4285132681543</v>
      </c>
      <c r="M4">
        <v>4132.1797824629894</v>
      </c>
      <c r="N4">
        <v>12055.112268926216</v>
      </c>
      <c r="O4">
        <v>40640.598171821839</v>
      </c>
      <c r="P4">
        <v>14787.200586224169</v>
      </c>
      <c r="Q4">
        <v>3895.628971059678</v>
      </c>
      <c r="R4">
        <v>8269.4684697669309</v>
      </c>
      <c r="S4">
        <v>11366.533648449778</v>
      </c>
      <c r="T4">
        <v>38318.831675500551</v>
      </c>
      <c r="U4">
        <v>15682.877607164477</v>
      </c>
      <c r="V4">
        <v>4132.1797824629894</v>
      </c>
      <c r="W4">
        <v>8770.4285132681543</v>
      </c>
      <c r="X4">
        <v>12055.112268926216</v>
      </c>
      <c r="Y4">
        <v>40640.598171821839</v>
      </c>
    </row>
    <row r="5" spans="1:25" hidden="1" x14ac:dyDescent="0.25">
      <c r="A5" t="s">
        <v>19</v>
      </c>
      <c r="B5" t="s">
        <v>1397</v>
      </c>
      <c r="C5" t="s">
        <v>57</v>
      </c>
      <c r="D5" t="s">
        <v>70</v>
      </c>
      <c r="E5" t="s">
        <v>88</v>
      </c>
      <c r="F5" t="s">
        <v>88</v>
      </c>
      <c r="G5">
        <v>27.072058564120645</v>
      </c>
      <c r="H5">
        <v>0.18500267811471999</v>
      </c>
      <c r="I5">
        <v>36</v>
      </c>
      <c r="J5" t="s">
        <v>1441</v>
      </c>
      <c r="K5">
        <v>31042.97551993349</v>
      </c>
      <c r="L5">
        <v>22654.083780661225</v>
      </c>
      <c r="M5">
        <v>8179.312435133852</v>
      </c>
      <c r="N5">
        <v>31235.675075331794</v>
      </c>
      <c r="O5">
        <v>93112.046811060354</v>
      </c>
      <c r="P5">
        <v>23525.095025557534</v>
      </c>
      <c r="Q5">
        <v>6334.6926281470951</v>
      </c>
      <c r="R5">
        <v>17790.036166994141</v>
      </c>
      <c r="S5">
        <v>24204.510904052524</v>
      </c>
      <c r="T5">
        <v>71854.334724751301</v>
      </c>
      <c r="U5">
        <v>31042.97551993349</v>
      </c>
      <c r="V5">
        <v>8179.312435133852</v>
      </c>
      <c r="W5">
        <v>22654.083780661225</v>
      </c>
      <c r="X5">
        <v>31235.675075331794</v>
      </c>
      <c r="Y5">
        <v>93112.046811060354</v>
      </c>
    </row>
    <row r="6" spans="1:25" x14ac:dyDescent="0.25">
      <c r="A6" t="s">
        <v>21</v>
      </c>
      <c r="B6" t="s">
        <v>22</v>
      </c>
      <c r="C6" t="s">
        <v>59</v>
      </c>
      <c r="D6" t="s">
        <v>71</v>
      </c>
      <c r="E6" t="s">
        <v>88</v>
      </c>
      <c r="F6" t="s">
        <v>653</v>
      </c>
      <c r="G6">
        <v>24.339716902581181</v>
      </c>
      <c r="H6">
        <v>0.14380739082834301</v>
      </c>
      <c r="I6">
        <v>56</v>
      </c>
      <c r="J6" t="s">
        <v>1442</v>
      </c>
      <c r="K6">
        <v>47951.391656929336</v>
      </c>
      <c r="L6">
        <v>40386.296278302019</v>
      </c>
      <c r="M6">
        <v>11519.321880756779</v>
      </c>
      <c r="N6">
        <v>55511.693074575538</v>
      </c>
      <c r="O6">
        <v>155368.70289056367</v>
      </c>
      <c r="P6">
        <v>21150.742994744629</v>
      </c>
      <c r="Q6">
        <v>5695.3417439157538</v>
      </c>
      <c r="R6">
        <v>18199.096826810281</v>
      </c>
      <c r="S6">
        <v>24761.064758580844</v>
      </c>
      <c r="T6">
        <v>69806.246324051506</v>
      </c>
      <c r="U6">
        <v>47951.391656929336</v>
      </c>
      <c r="V6">
        <v>11519.321880756779</v>
      </c>
      <c r="W6">
        <v>40386.296278302019</v>
      </c>
      <c r="X6">
        <v>55511.693074575538</v>
      </c>
      <c r="Y6">
        <v>155368.70289056367</v>
      </c>
    </row>
    <row r="7" spans="1:25" hidden="1" x14ac:dyDescent="0.25">
      <c r="A7" t="s">
        <v>15</v>
      </c>
      <c r="B7" t="s">
        <v>16</v>
      </c>
      <c r="C7" t="s">
        <v>57</v>
      </c>
      <c r="D7" t="s">
        <v>69</v>
      </c>
      <c r="E7" t="s">
        <v>88</v>
      </c>
      <c r="F7" t="s">
        <v>88</v>
      </c>
      <c r="G7">
        <v>68.721379431998514</v>
      </c>
      <c r="H7">
        <v>0.172194800399085</v>
      </c>
      <c r="I7">
        <v>57</v>
      </c>
      <c r="J7" t="s">
        <v>1443</v>
      </c>
      <c r="K7">
        <v>49429.968712509522</v>
      </c>
      <c r="L7">
        <v>36072.271866129835</v>
      </c>
      <c r="M7">
        <v>13023.982108251608</v>
      </c>
      <c r="N7">
        <v>49736.805696874522</v>
      </c>
      <c r="O7">
        <v>148263.02838376549</v>
      </c>
      <c r="P7">
        <v>59717.548911030623</v>
      </c>
      <c r="Q7">
        <v>16080.373594527231</v>
      </c>
      <c r="R7">
        <v>45159.322577754327</v>
      </c>
      <c r="S7">
        <v>61442.219987210206</v>
      </c>
      <c r="T7">
        <v>182399.46507052239</v>
      </c>
      <c r="U7">
        <v>49429.968712509522</v>
      </c>
      <c r="V7">
        <v>13023.982108251608</v>
      </c>
      <c r="W7">
        <v>36072.271866129835</v>
      </c>
      <c r="X7">
        <v>49736.805696874522</v>
      </c>
      <c r="Y7">
        <v>148263.02838376549</v>
      </c>
    </row>
    <row r="8" spans="1:25" hidden="1" x14ac:dyDescent="0.25">
      <c r="A8" t="s">
        <v>40</v>
      </c>
      <c r="B8" t="s">
        <v>41</v>
      </c>
      <c r="C8" t="s">
        <v>60</v>
      </c>
      <c r="D8" t="s">
        <v>74</v>
      </c>
      <c r="E8" t="s">
        <v>88</v>
      </c>
      <c r="F8" t="s">
        <v>88</v>
      </c>
      <c r="G8">
        <v>81.866465484722823</v>
      </c>
      <c r="H8">
        <v>0.20059580587053799</v>
      </c>
      <c r="I8">
        <v>72</v>
      </c>
      <c r="J8" t="s">
        <v>1444</v>
      </c>
      <c r="K8">
        <v>64396.362361819156</v>
      </c>
      <c r="L8">
        <v>39718.924816680737</v>
      </c>
      <c r="M8">
        <v>16865.763689402575</v>
      </c>
      <c r="N8">
        <v>54769.762478472476</v>
      </c>
      <c r="O8">
        <v>175750.81334637495</v>
      </c>
      <c r="P8">
        <v>71140.374322590331</v>
      </c>
      <c r="Q8">
        <v>19156.241634533319</v>
      </c>
      <c r="R8">
        <v>41549.345956977952</v>
      </c>
      <c r="S8">
        <v>56530.610046637499</v>
      </c>
      <c r="T8">
        <v>188376.57196073912</v>
      </c>
      <c r="U8">
        <v>64396.362361819156</v>
      </c>
      <c r="V8">
        <v>16865.763689402575</v>
      </c>
      <c r="W8">
        <v>39718.924816680737</v>
      </c>
      <c r="X8">
        <v>54769.762478472476</v>
      </c>
      <c r="Y8">
        <v>175750.81334637495</v>
      </c>
    </row>
    <row r="9" spans="1:25" x14ac:dyDescent="0.25">
      <c r="A9" t="s">
        <v>1429</v>
      </c>
      <c r="B9" t="s">
        <v>1425</v>
      </c>
      <c r="C9" t="s">
        <v>563</v>
      </c>
      <c r="D9" t="s">
        <v>1421</v>
      </c>
      <c r="E9" t="s">
        <v>88</v>
      </c>
      <c r="F9" t="s">
        <v>653</v>
      </c>
      <c r="G9">
        <v>61.950812598878109</v>
      </c>
      <c r="H9">
        <v>0.176337460229611</v>
      </c>
      <c r="I9">
        <v>34</v>
      </c>
      <c r="J9" t="s">
        <v>1445</v>
      </c>
      <c r="K9">
        <v>29246.750870120228</v>
      </c>
      <c r="L9">
        <v>19092.552458220234</v>
      </c>
      <c r="M9">
        <v>0</v>
      </c>
      <c r="N9">
        <v>26243.057911709915</v>
      </c>
      <c r="O9">
        <v>74582.361240050377</v>
      </c>
      <c r="P9">
        <v>53834.057349101822</v>
      </c>
      <c r="Q9">
        <v>0</v>
      </c>
      <c r="R9">
        <v>35982.879532428524</v>
      </c>
      <c r="S9">
        <v>48957.067418319537</v>
      </c>
      <c r="T9">
        <v>138774.00429984988</v>
      </c>
      <c r="U9">
        <v>53289.999478849808</v>
      </c>
      <c r="V9">
        <v>0</v>
      </c>
      <c r="W9">
        <v>34788.209981572094</v>
      </c>
      <c r="X9">
        <v>47817.022432642545</v>
      </c>
      <c r="Y9">
        <v>135895.23189306445</v>
      </c>
    </row>
    <row r="10" spans="1:25" hidden="1" x14ac:dyDescent="0.25">
      <c r="A10" t="s">
        <v>44</v>
      </c>
      <c r="B10" t="s">
        <v>45</v>
      </c>
      <c r="C10" t="s">
        <v>60</v>
      </c>
      <c r="D10" t="s">
        <v>75</v>
      </c>
      <c r="E10" t="s">
        <v>88</v>
      </c>
      <c r="F10" t="s">
        <v>88</v>
      </c>
      <c r="G10">
        <v>60.245944926442846</v>
      </c>
      <c r="H10">
        <v>0.18899764894447399</v>
      </c>
      <c r="I10">
        <v>54</v>
      </c>
      <c r="J10" t="s">
        <v>1446</v>
      </c>
      <c r="K10">
        <v>48493.602144418648</v>
      </c>
      <c r="L10">
        <v>29910.287895488211</v>
      </c>
      <c r="M10">
        <v>12700.742778300097</v>
      </c>
      <c r="N10">
        <v>41244.302842020392</v>
      </c>
      <c r="O10">
        <v>132348.93566022735</v>
      </c>
      <c r="P10">
        <v>52352.560332351291</v>
      </c>
      <c r="Q10">
        <v>14097.174852712933</v>
      </c>
      <c r="R10">
        <v>30576.373285847243</v>
      </c>
      <c r="S10">
        <v>41601.161102569989</v>
      </c>
      <c r="T10">
        <v>138627.26957348146</v>
      </c>
      <c r="U10">
        <v>48493.602144418648</v>
      </c>
      <c r="V10">
        <v>12700.742778300097</v>
      </c>
      <c r="W10">
        <v>29910.287895488211</v>
      </c>
      <c r="X10">
        <v>41244.302842020392</v>
      </c>
      <c r="Y10">
        <v>132348.93566022735</v>
      </c>
    </row>
    <row r="11" spans="1:25" x14ac:dyDescent="0.25">
      <c r="A11" t="s">
        <v>37</v>
      </c>
      <c r="B11" t="s">
        <v>1398</v>
      </c>
      <c r="C11" t="s">
        <v>62</v>
      </c>
      <c r="D11" t="s">
        <v>79</v>
      </c>
      <c r="E11" t="s">
        <v>88</v>
      </c>
      <c r="F11" t="s">
        <v>653</v>
      </c>
      <c r="G11">
        <v>44.858244327876939</v>
      </c>
      <c r="H11">
        <v>0.14673417211557899</v>
      </c>
      <c r="I11">
        <v>47</v>
      </c>
      <c r="J11" t="s">
        <v>1574</v>
      </c>
      <c r="K11">
        <v>40042.388156361791</v>
      </c>
      <c r="L11">
        <v>31905.156636666343</v>
      </c>
      <c r="M11">
        <v>0</v>
      </c>
      <c r="N11">
        <v>43854.213580422482</v>
      </c>
      <c r="O11">
        <v>115801.75837345062</v>
      </c>
      <c r="P11">
        <v>38980.94627689648</v>
      </c>
      <c r="Q11">
        <v>0</v>
      </c>
      <c r="R11">
        <v>31370.359336375437</v>
      </c>
      <c r="S11">
        <v>42681.431195181176</v>
      </c>
      <c r="T11">
        <v>113032.7368084531</v>
      </c>
      <c r="U11">
        <v>40042.388156361791</v>
      </c>
      <c r="V11">
        <v>0</v>
      </c>
      <c r="W11">
        <v>31905.156636666343</v>
      </c>
      <c r="X11">
        <v>43854.213580422482</v>
      </c>
      <c r="Y11">
        <v>115801.75837345062</v>
      </c>
    </row>
    <row r="12" spans="1:25" hidden="1" x14ac:dyDescent="0.25">
      <c r="A12" t="s">
        <v>29</v>
      </c>
      <c r="B12" t="s">
        <v>30</v>
      </c>
      <c r="C12" t="s">
        <v>61</v>
      </c>
      <c r="D12" t="s">
        <v>76</v>
      </c>
      <c r="E12" t="s">
        <v>88</v>
      </c>
      <c r="F12" t="s">
        <v>88</v>
      </c>
      <c r="G12">
        <v>7.8056390108620333</v>
      </c>
      <c r="H12">
        <v>0.20320371091916001</v>
      </c>
      <c r="I12">
        <v>9</v>
      </c>
      <c r="J12" t="s">
        <v>1447</v>
      </c>
      <c r="K12">
        <v>0</v>
      </c>
      <c r="L12">
        <v>0</v>
      </c>
      <c r="M12">
        <v>1985.2836676261206</v>
      </c>
      <c r="N12">
        <v>0</v>
      </c>
      <c r="O12">
        <v>1985.2836676261206</v>
      </c>
      <c r="P12">
        <v>0</v>
      </c>
      <c r="Q12">
        <v>1876.7063571462231</v>
      </c>
      <c r="R12">
        <v>0</v>
      </c>
      <c r="S12">
        <v>0</v>
      </c>
      <c r="T12">
        <v>1876.7063571462231</v>
      </c>
      <c r="U12">
        <v>0</v>
      </c>
      <c r="V12">
        <v>1985.2836676261206</v>
      </c>
      <c r="W12">
        <v>0</v>
      </c>
      <c r="X12">
        <v>0</v>
      </c>
      <c r="Y12">
        <v>1985.2836676261206</v>
      </c>
    </row>
    <row r="13" spans="1:25" hidden="1" x14ac:dyDescent="0.25">
      <c r="A13" t="s">
        <v>52</v>
      </c>
      <c r="B13" t="s">
        <v>1399</v>
      </c>
      <c r="C13" t="s">
        <v>64</v>
      </c>
      <c r="D13" t="s">
        <v>83</v>
      </c>
      <c r="E13" t="s">
        <v>88</v>
      </c>
      <c r="F13" t="s">
        <v>88</v>
      </c>
      <c r="G13">
        <v>23.551658315437798</v>
      </c>
      <c r="H13">
        <v>8.8673742888640106E-2</v>
      </c>
      <c r="I13">
        <v>19</v>
      </c>
      <c r="J13" t="s">
        <v>1448</v>
      </c>
      <c r="K13">
        <v>16501.837971525518</v>
      </c>
      <c r="L13">
        <v>9506.4184457192769</v>
      </c>
      <c r="M13">
        <v>0</v>
      </c>
      <c r="N13">
        <v>13108.720407113116</v>
      </c>
      <c r="O13">
        <v>39116.976824357916</v>
      </c>
      <c r="P13">
        <v>20465.935332100711</v>
      </c>
      <c r="Q13">
        <v>0</v>
      </c>
      <c r="R13">
        <v>11669.812934574229</v>
      </c>
      <c r="S13">
        <v>15877.545822374846</v>
      </c>
      <c r="T13">
        <v>48013.294089049785</v>
      </c>
      <c r="U13">
        <v>16501.837971525518</v>
      </c>
      <c r="V13">
        <v>0</v>
      </c>
      <c r="W13">
        <v>9506.4184457192769</v>
      </c>
      <c r="X13">
        <v>13108.720407113116</v>
      </c>
      <c r="Y13">
        <v>39116.976824357916</v>
      </c>
    </row>
    <row r="14" spans="1:25" hidden="1" x14ac:dyDescent="0.25">
      <c r="A14" t="s">
        <v>33</v>
      </c>
      <c r="B14" t="s">
        <v>34</v>
      </c>
      <c r="C14" t="s">
        <v>61</v>
      </c>
      <c r="D14" t="s">
        <v>77</v>
      </c>
      <c r="E14" t="s">
        <v>88</v>
      </c>
      <c r="F14" t="s">
        <v>88</v>
      </c>
      <c r="G14">
        <v>24.810781141668599</v>
      </c>
      <c r="H14">
        <v>9.0700501363157299E-2</v>
      </c>
      <c r="I14">
        <v>64</v>
      </c>
      <c r="J14" t="s">
        <v>1449</v>
      </c>
      <c r="K14">
        <v>55061.668497709215</v>
      </c>
      <c r="L14">
        <v>46405.322580160318</v>
      </c>
      <c r="M14">
        <v>14507.842186498488</v>
      </c>
      <c r="N14">
        <v>63784.953350142547</v>
      </c>
      <c r="O14">
        <v>179759.78661451058</v>
      </c>
      <c r="P14">
        <v>22639.917766779832</v>
      </c>
      <c r="Q14">
        <v>5965.2452066433507</v>
      </c>
      <c r="R14">
        <v>19080.654760751218</v>
      </c>
      <c r="S14">
        <v>26226.704311824378</v>
      </c>
      <c r="T14">
        <v>73912.522045998776</v>
      </c>
      <c r="U14">
        <v>55061.668497709215</v>
      </c>
      <c r="V14">
        <v>14507.842186498488</v>
      </c>
      <c r="W14">
        <v>46405.322580160318</v>
      </c>
      <c r="X14">
        <v>63784.953350142547</v>
      </c>
      <c r="Y14">
        <v>179759.78661451058</v>
      </c>
    </row>
    <row r="15" spans="1:25" hidden="1" x14ac:dyDescent="0.25">
      <c r="A15" t="s">
        <v>46</v>
      </c>
      <c r="B15" t="s">
        <v>47</v>
      </c>
      <c r="C15" t="s">
        <v>63</v>
      </c>
      <c r="D15" t="s">
        <v>81</v>
      </c>
      <c r="E15" t="s">
        <v>88</v>
      </c>
      <c r="F15" t="s">
        <v>88</v>
      </c>
      <c r="G15">
        <v>3.8574545454545333</v>
      </c>
      <c r="H15">
        <v>6.8505523903888699E-2</v>
      </c>
      <c r="I15">
        <v>4</v>
      </c>
      <c r="J15" t="s">
        <v>1450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</row>
    <row r="16" spans="1:25" hidden="1" x14ac:dyDescent="0.25">
      <c r="A16" t="s">
        <v>50</v>
      </c>
      <c r="B16" t="s">
        <v>51</v>
      </c>
      <c r="C16" t="s">
        <v>63</v>
      </c>
      <c r="D16" t="s">
        <v>82</v>
      </c>
      <c r="E16" t="s">
        <v>88</v>
      </c>
      <c r="F16" t="s">
        <v>88</v>
      </c>
      <c r="G16">
        <v>20.01054545454544</v>
      </c>
      <c r="H16">
        <v>0.13881734580133701</v>
      </c>
      <c r="I16">
        <v>22</v>
      </c>
      <c r="J16" t="s">
        <v>1451</v>
      </c>
      <c r="K16">
        <v>18831.618498071577</v>
      </c>
      <c r="L16">
        <v>13334.963331012223</v>
      </c>
      <c r="M16">
        <v>0</v>
      </c>
      <c r="N16">
        <v>18329.14775078238</v>
      </c>
      <c r="O16">
        <v>50495.72957986618</v>
      </c>
      <c r="P16">
        <v>17388.776779439962</v>
      </c>
      <c r="Q16">
        <v>0</v>
      </c>
      <c r="R16">
        <v>12280.899062645705</v>
      </c>
      <c r="S16">
        <v>16708.96857561596</v>
      </c>
      <c r="T16">
        <v>46378.644417701624</v>
      </c>
      <c r="U16">
        <v>18831.618498071577</v>
      </c>
      <c r="V16">
        <v>0</v>
      </c>
      <c r="W16">
        <v>13334.963331012223</v>
      </c>
      <c r="X16">
        <v>18329.14775078238</v>
      </c>
      <c r="Y16">
        <v>50495.72957986618</v>
      </c>
    </row>
    <row r="17" spans="1:34" hidden="1" x14ac:dyDescent="0.25">
      <c r="A17" t="s">
        <v>27</v>
      </c>
      <c r="B17" t="s">
        <v>28</v>
      </c>
      <c r="C17" t="s">
        <v>59</v>
      </c>
      <c r="D17" t="s">
        <v>73</v>
      </c>
      <c r="E17" t="s">
        <v>88</v>
      </c>
      <c r="F17" t="s">
        <v>88</v>
      </c>
      <c r="G17">
        <v>35.67027477102414</v>
      </c>
      <c r="H17">
        <v>0.121963084893929</v>
      </c>
      <c r="I17">
        <v>43</v>
      </c>
      <c r="J17" t="s">
        <v>1452</v>
      </c>
      <c r="K17">
        <v>37053.348098536313</v>
      </c>
      <c r="L17">
        <v>31207.592578687927</v>
      </c>
      <c r="M17">
        <v>0</v>
      </c>
      <c r="N17">
        <v>42895.399193990197</v>
      </c>
      <c r="O17">
        <v>111156.33987121444</v>
      </c>
      <c r="P17">
        <v>30996.778526780916</v>
      </c>
      <c r="Q17">
        <v>0</v>
      </c>
      <c r="R17">
        <v>26671.090177221959</v>
      </c>
      <c r="S17">
        <v>36287.767318609855</v>
      </c>
      <c r="T17">
        <v>93955.636022612729</v>
      </c>
      <c r="U17">
        <v>37053.348098536313</v>
      </c>
      <c r="V17">
        <v>0</v>
      </c>
      <c r="W17">
        <v>31207.592578687927</v>
      </c>
      <c r="X17">
        <v>42895.399193990197</v>
      </c>
      <c r="Y17">
        <v>111156.33987121444</v>
      </c>
    </row>
    <row r="18" spans="1:34" x14ac:dyDescent="0.25">
      <c r="A18" t="s">
        <v>1430</v>
      </c>
      <c r="B18" t="s">
        <v>1428</v>
      </c>
      <c r="C18" t="s">
        <v>63</v>
      </c>
      <c r="D18" t="s">
        <v>1423</v>
      </c>
      <c r="E18" t="s">
        <v>88</v>
      </c>
      <c r="F18" t="s">
        <v>653</v>
      </c>
      <c r="G18">
        <v>16.635272727272721</v>
      </c>
      <c r="H18">
        <v>0.14068098658834399</v>
      </c>
      <c r="I18">
        <v>11</v>
      </c>
      <c r="J18" t="s">
        <v>1453</v>
      </c>
      <c r="K18">
        <v>9792.4416189972235</v>
      </c>
      <c r="L18">
        <v>6934.1809321263581</v>
      </c>
      <c r="M18">
        <v>0</v>
      </c>
      <c r="N18">
        <v>9531.1568304068405</v>
      </c>
      <c r="O18">
        <v>26257.779381530425</v>
      </c>
      <c r="P18">
        <v>14455.730093751299</v>
      </c>
      <c r="Q18">
        <v>0</v>
      </c>
      <c r="R18">
        <v>10209.422112319928</v>
      </c>
      <c r="S18">
        <v>13890.588333945803</v>
      </c>
      <c r="T18">
        <v>38555.740540017032</v>
      </c>
      <c r="U18">
        <v>14809.085181628621</v>
      </c>
      <c r="V18">
        <v>0</v>
      </c>
      <c r="W18">
        <v>10486.544631470559</v>
      </c>
      <c r="X18">
        <v>14413.944843656911</v>
      </c>
      <c r="Y18">
        <v>39709.574656756085</v>
      </c>
    </row>
    <row r="19" spans="1:34" hidden="1" x14ac:dyDescent="0.25">
      <c r="A19" t="s">
        <v>25</v>
      </c>
      <c r="B19" t="s">
        <v>26</v>
      </c>
      <c r="C19" t="s">
        <v>59</v>
      </c>
      <c r="D19" t="s">
        <v>72</v>
      </c>
      <c r="E19" t="s">
        <v>88</v>
      </c>
      <c r="F19" t="s">
        <v>88</v>
      </c>
      <c r="G19">
        <v>101.13572023313915</v>
      </c>
      <c r="H19">
        <v>0.131501871318111</v>
      </c>
      <c r="I19">
        <v>112</v>
      </c>
      <c r="J19" t="s">
        <v>1454</v>
      </c>
      <c r="K19">
        <v>96338.705056194289</v>
      </c>
      <c r="L19">
        <v>81139.740704588505</v>
      </c>
      <c r="M19">
        <v>23143.36486952041</v>
      </c>
      <c r="N19">
        <v>111528.03790437436</v>
      </c>
      <c r="O19">
        <v>312149.84853467753</v>
      </c>
      <c r="P19">
        <v>87884.983822990704</v>
      </c>
      <c r="Q19">
        <v>23665.126901443073</v>
      </c>
      <c r="R19">
        <v>75620.385090711759</v>
      </c>
      <c r="S19">
        <v>102886.49322099982</v>
      </c>
      <c r="T19">
        <v>290056.98903614539</v>
      </c>
      <c r="U19">
        <v>96338.705056194289</v>
      </c>
      <c r="V19">
        <v>23143.36486952041</v>
      </c>
      <c r="W19">
        <v>81139.740704588505</v>
      </c>
      <c r="X19">
        <v>111528.03790437436</v>
      </c>
      <c r="Y19">
        <v>312149.84853467753</v>
      </c>
    </row>
    <row r="20" spans="1:34" hidden="1" x14ac:dyDescent="0.25">
      <c r="A20" t="s">
        <v>35</v>
      </c>
      <c r="B20" t="s">
        <v>36</v>
      </c>
      <c r="C20" t="s">
        <v>61</v>
      </c>
      <c r="D20" t="s">
        <v>78</v>
      </c>
      <c r="E20" t="s">
        <v>88</v>
      </c>
      <c r="F20" t="s">
        <v>88</v>
      </c>
      <c r="G20">
        <v>95.340305061243185</v>
      </c>
      <c r="H20">
        <v>9.8326062486436605E-2</v>
      </c>
      <c r="I20">
        <v>116</v>
      </c>
      <c r="J20" t="s">
        <v>1455</v>
      </c>
      <c r="K20">
        <v>99400.801551128025</v>
      </c>
      <c r="L20">
        <v>83773.819184184438</v>
      </c>
      <c r="M20">
        <v>0</v>
      </c>
      <c r="N20">
        <v>115148.62631104719</v>
      </c>
      <c r="O20">
        <v>298323.24704635964</v>
      </c>
      <c r="P20">
        <v>86998.335688075138</v>
      </c>
      <c r="Q20">
        <v>0</v>
      </c>
      <c r="R20">
        <v>73321.167732324757</v>
      </c>
      <c r="S20">
        <v>100781.26825442606</v>
      </c>
      <c r="T20">
        <v>261100.77167482598</v>
      </c>
      <c r="U20">
        <v>99400.801551128025</v>
      </c>
      <c r="V20">
        <v>0</v>
      </c>
      <c r="W20">
        <v>83773.819184184438</v>
      </c>
      <c r="X20">
        <v>115148.62631104719</v>
      </c>
      <c r="Y20">
        <v>298323.24704635964</v>
      </c>
    </row>
    <row r="22" spans="1:34" x14ac:dyDescent="0.25">
      <c r="D22">
        <v>1</v>
      </c>
      <c r="E22">
        <v>2</v>
      </c>
      <c r="F22">
        <v>3</v>
      </c>
      <c r="G22">
        <v>4</v>
      </c>
      <c r="H22">
        <v>5</v>
      </c>
      <c r="I22">
        <v>6</v>
      </c>
      <c r="J22">
        <v>7</v>
      </c>
      <c r="K22">
        <v>8</v>
      </c>
      <c r="L22">
        <v>9</v>
      </c>
      <c r="M22">
        <v>10</v>
      </c>
      <c r="N22">
        <v>11</v>
      </c>
      <c r="O22">
        <v>12</v>
      </c>
      <c r="P22">
        <v>13</v>
      </c>
      <c r="Q22">
        <v>14</v>
      </c>
      <c r="R22">
        <v>15</v>
      </c>
      <c r="S22">
        <v>16</v>
      </c>
      <c r="T22">
        <v>17</v>
      </c>
      <c r="U22">
        <v>18</v>
      </c>
      <c r="V22">
        <v>19</v>
      </c>
      <c r="W22">
        <v>20</v>
      </c>
      <c r="X22">
        <v>21</v>
      </c>
    </row>
    <row r="24" spans="1:34" x14ac:dyDescent="0.25">
      <c r="AG24">
        <v>22</v>
      </c>
      <c r="AH24">
        <v>23</v>
      </c>
    </row>
    <row r="34" spans="11:11" x14ac:dyDescent="0.25">
      <c r="K34" s="47"/>
    </row>
    <row r="35" spans="11:11" x14ac:dyDescent="0.25">
      <c r="K35" s="47"/>
    </row>
    <row r="36" spans="11:11" x14ac:dyDescent="0.25">
      <c r="K36" s="47"/>
    </row>
    <row r="37" spans="11:11" x14ac:dyDescent="0.25">
      <c r="K37" s="47"/>
    </row>
    <row r="40" spans="11:11" x14ac:dyDescent="0.25">
      <c r="K40" s="47"/>
    </row>
  </sheetData>
  <sheetProtection algorithmName="SHA-512" hashValue="C+dtM/BwS4HyaX5eJP+xXW81kWpl9qPb4HvkOM7cBR2pAlVqfztgEpsBpUAScsDzYqO8IhQL0LqmXZgw/2Zv8w==" saltValue="pKZa281cU5yMHAaOqia+5g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B0E1-0AB5-4E1E-92C6-BF0D3D67B20F}">
  <sheetPr>
    <tabColor rgb="FF7030A0"/>
  </sheetPr>
  <dimension ref="A1:I30"/>
  <sheetViews>
    <sheetView workbookViewId="0">
      <selection activeCell="N12" sqref="N12"/>
    </sheetView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13.85546875" bestFit="1" customWidth="1"/>
    <col min="5" max="5" width="8.140625" bestFit="1" customWidth="1"/>
    <col min="6" max="6" width="8.85546875" bestFit="1" customWidth="1"/>
    <col min="7" max="7" width="13.42578125" bestFit="1" customWidth="1"/>
    <col min="8" max="8" width="19.85546875" bestFit="1" customWidth="1"/>
    <col min="9" max="9" width="22.7109375" bestFit="1" customWidth="1"/>
    <col min="10" max="14" width="12.140625" bestFit="1" customWidth="1"/>
    <col min="15" max="15" width="19.85546875" bestFit="1" customWidth="1"/>
    <col min="16" max="16" width="22.7109375" customWidth="1"/>
  </cols>
  <sheetData>
    <row r="1" spans="1:9" x14ac:dyDescent="0.25">
      <c r="A1" t="s">
        <v>0</v>
      </c>
      <c r="B1" t="s">
        <v>1313</v>
      </c>
      <c r="C1" t="s">
        <v>1314</v>
      </c>
      <c r="D1" t="s">
        <v>1315</v>
      </c>
      <c r="E1" t="s">
        <v>65</v>
      </c>
      <c r="F1" t="s">
        <v>5</v>
      </c>
      <c r="G1" t="s">
        <v>655</v>
      </c>
      <c r="H1" t="s">
        <v>1316</v>
      </c>
      <c r="I1" t="s">
        <v>1317</v>
      </c>
    </row>
    <row r="2" spans="1:9" x14ac:dyDescent="0.25">
      <c r="A2" t="s">
        <v>14</v>
      </c>
      <c r="B2" t="s">
        <v>1385</v>
      </c>
      <c r="C2" t="s">
        <v>56</v>
      </c>
      <c r="D2" t="s">
        <v>1318</v>
      </c>
      <c r="E2" t="s">
        <v>56</v>
      </c>
      <c r="H2" s="31">
        <v>0.99375289217954599</v>
      </c>
      <c r="I2" s="31">
        <v>0.99064930525211903</v>
      </c>
    </row>
    <row r="3" spans="1:9" x14ac:dyDescent="0.25">
      <c r="A3" t="s">
        <v>13</v>
      </c>
      <c r="B3" t="s">
        <v>1384</v>
      </c>
      <c r="C3" t="s">
        <v>56</v>
      </c>
      <c r="D3" t="s">
        <v>1</v>
      </c>
      <c r="E3" t="s">
        <v>68</v>
      </c>
      <c r="F3" t="s">
        <v>88</v>
      </c>
      <c r="G3" t="s">
        <v>88</v>
      </c>
      <c r="H3" s="31">
        <v>6.2471078204534899E-3</v>
      </c>
      <c r="I3" s="31">
        <v>9.3506947478808004E-3</v>
      </c>
    </row>
    <row r="4" spans="1:9" x14ac:dyDescent="0.25">
      <c r="A4" t="s">
        <v>10</v>
      </c>
      <c r="B4" t="s">
        <v>9</v>
      </c>
      <c r="C4" t="s">
        <v>55</v>
      </c>
      <c r="D4" t="s">
        <v>1318</v>
      </c>
      <c r="E4" t="s">
        <v>55</v>
      </c>
      <c r="H4" s="31">
        <v>0.90444195595371402</v>
      </c>
      <c r="I4" s="31">
        <v>0.87422639249351197</v>
      </c>
    </row>
    <row r="5" spans="1:9" x14ac:dyDescent="0.25">
      <c r="A5" t="s">
        <v>8</v>
      </c>
      <c r="B5" t="s">
        <v>1396</v>
      </c>
      <c r="C5" t="s">
        <v>55</v>
      </c>
      <c r="D5" t="s">
        <v>1</v>
      </c>
      <c r="E5" t="s">
        <v>66</v>
      </c>
      <c r="F5" t="s">
        <v>88</v>
      </c>
      <c r="G5" t="s">
        <v>653</v>
      </c>
      <c r="H5" s="31">
        <v>7.6894363568495702E-2</v>
      </c>
      <c r="I5" s="31">
        <v>0.111000199640647</v>
      </c>
    </row>
    <row r="6" spans="1:9" x14ac:dyDescent="0.25">
      <c r="A6" t="s">
        <v>11</v>
      </c>
      <c r="B6" t="s">
        <v>12</v>
      </c>
      <c r="C6" t="s">
        <v>55</v>
      </c>
      <c r="D6" t="s">
        <v>1</v>
      </c>
      <c r="E6" t="s">
        <v>67</v>
      </c>
      <c r="F6" t="s">
        <v>88</v>
      </c>
      <c r="G6" t="s">
        <v>88</v>
      </c>
      <c r="H6" s="31">
        <v>1.8663680477790202E-2</v>
      </c>
      <c r="I6" s="31">
        <v>1.47734078658415E-2</v>
      </c>
    </row>
    <row r="7" spans="1:9" x14ac:dyDescent="0.25">
      <c r="A7" t="s">
        <v>18</v>
      </c>
      <c r="B7" t="s">
        <v>17</v>
      </c>
      <c r="C7" t="s">
        <v>57</v>
      </c>
      <c r="D7" t="s">
        <v>1318</v>
      </c>
      <c r="E7" t="s">
        <v>57</v>
      </c>
      <c r="H7" s="31">
        <v>0.97159992944081897</v>
      </c>
      <c r="I7" s="31">
        <v>0.97299077733860395</v>
      </c>
    </row>
    <row r="8" spans="1:9" x14ac:dyDescent="0.25">
      <c r="A8" t="s">
        <v>15</v>
      </c>
      <c r="B8" t="s">
        <v>16</v>
      </c>
      <c r="C8" t="s">
        <v>57</v>
      </c>
      <c r="D8" t="s">
        <v>1</v>
      </c>
      <c r="E8" t="s">
        <v>69</v>
      </c>
      <c r="F8" t="s">
        <v>88</v>
      </c>
      <c r="G8" t="s">
        <v>88</v>
      </c>
      <c r="H8" s="31">
        <v>2.0373963662021499E-2</v>
      </c>
      <c r="I8" s="31">
        <v>1.97628458498024E-2</v>
      </c>
    </row>
    <row r="9" spans="1:9" x14ac:dyDescent="0.25">
      <c r="A9" t="s">
        <v>19</v>
      </c>
      <c r="B9" t="s">
        <v>1397</v>
      </c>
      <c r="C9" t="s">
        <v>57</v>
      </c>
      <c r="D9" t="s">
        <v>1</v>
      </c>
      <c r="E9" t="s">
        <v>70</v>
      </c>
      <c r="F9" t="s">
        <v>88</v>
      </c>
      <c r="G9" t="s">
        <v>88</v>
      </c>
      <c r="H9" s="31">
        <v>8.0261068971599903E-3</v>
      </c>
      <c r="I9" s="31">
        <v>7.2463768115942004E-3</v>
      </c>
    </row>
    <row r="10" spans="1:9" x14ac:dyDescent="0.25">
      <c r="A10" t="s">
        <v>1078</v>
      </c>
      <c r="B10" t="s">
        <v>1427</v>
      </c>
      <c r="C10" t="s">
        <v>563</v>
      </c>
      <c r="D10" t="s">
        <v>1318</v>
      </c>
      <c r="E10" t="s">
        <v>563</v>
      </c>
      <c r="H10" s="31">
        <v>0.97353660290522104</v>
      </c>
      <c r="I10" s="31">
        <v>0.98026183282980905</v>
      </c>
    </row>
    <row r="11" spans="1:9" x14ac:dyDescent="0.25">
      <c r="A11" t="s">
        <v>1429</v>
      </c>
      <c r="B11" t="s">
        <v>1425</v>
      </c>
      <c r="C11" t="s">
        <v>563</v>
      </c>
      <c r="D11" t="s">
        <v>1</v>
      </c>
      <c r="E11" t="s">
        <v>1421</v>
      </c>
      <c r="F11" t="s">
        <v>88</v>
      </c>
      <c r="G11" t="s">
        <v>653</v>
      </c>
      <c r="H11" s="31">
        <v>2.6463397094779201E-2</v>
      </c>
      <c r="I11" s="31">
        <v>1.9738167170191299E-2</v>
      </c>
    </row>
    <row r="12" spans="1:9" x14ac:dyDescent="0.25">
      <c r="A12" t="s">
        <v>24</v>
      </c>
      <c r="B12" t="s">
        <v>23</v>
      </c>
      <c r="C12" t="s">
        <v>59</v>
      </c>
      <c r="D12" t="s">
        <v>1318</v>
      </c>
      <c r="E12" t="s">
        <v>59</v>
      </c>
      <c r="H12" s="31">
        <v>0.975405111125344</v>
      </c>
      <c r="I12" s="31">
        <v>0.98232342874922196</v>
      </c>
    </row>
    <row r="13" spans="1:9" x14ac:dyDescent="0.25">
      <c r="A13" t="s">
        <v>27</v>
      </c>
      <c r="B13" t="s">
        <v>28</v>
      </c>
      <c r="C13" t="s">
        <v>59</v>
      </c>
      <c r="D13" t="s">
        <v>1</v>
      </c>
      <c r="E13" t="s">
        <v>73</v>
      </c>
      <c r="F13" t="s">
        <v>88</v>
      </c>
      <c r="G13" t="s">
        <v>88</v>
      </c>
      <c r="H13" s="31">
        <v>5.4441811311086901E-3</v>
      </c>
      <c r="I13" s="31">
        <v>4.2003733665214697E-3</v>
      </c>
    </row>
    <row r="14" spans="1:9" x14ac:dyDescent="0.25">
      <c r="A14" t="s">
        <v>25</v>
      </c>
      <c r="B14" t="s">
        <v>26</v>
      </c>
      <c r="C14" t="s">
        <v>59</v>
      </c>
      <c r="D14" t="s">
        <v>1</v>
      </c>
      <c r="E14" t="s">
        <v>72</v>
      </c>
      <c r="F14" t="s">
        <v>88</v>
      </c>
      <c r="G14" t="s">
        <v>88</v>
      </c>
      <c r="H14" s="31">
        <v>1.5435854736437601E-2</v>
      </c>
      <c r="I14" s="31">
        <v>1.1045426260112E-2</v>
      </c>
    </row>
    <row r="15" spans="1:9" x14ac:dyDescent="0.25">
      <c r="A15" t="s">
        <v>21</v>
      </c>
      <c r="B15" t="s">
        <v>22</v>
      </c>
      <c r="C15" t="s">
        <v>59</v>
      </c>
      <c r="D15" t="s">
        <v>1</v>
      </c>
      <c r="E15" t="s">
        <v>71</v>
      </c>
      <c r="F15" t="s">
        <v>88</v>
      </c>
      <c r="G15" t="s">
        <v>653</v>
      </c>
      <c r="H15" s="31">
        <v>3.7148530071094599E-3</v>
      </c>
      <c r="I15" s="31">
        <v>2.4307716241443698E-3</v>
      </c>
    </row>
    <row r="16" spans="1:9" x14ac:dyDescent="0.25">
      <c r="A16" t="s">
        <v>43</v>
      </c>
      <c r="B16" t="s">
        <v>42</v>
      </c>
      <c r="C16" t="s">
        <v>60</v>
      </c>
      <c r="D16" t="s">
        <v>1318</v>
      </c>
      <c r="E16" t="s">
        <v>60</v>
      </c>
      <c r="H16" s="31">
        <v>0.77932855526216505</v>
      </c>
      <c r="I16" s="31">
        <v>0.75640679794982502</v>
      </c>
    </row>
    <row r="17" spans="1:9" x14ac:dyDescent="0.25">
      <c r="A17" t="s">
        <v>40</v>
      </c>
      <c r="B17" t="s">
        <v>41</v>
      </c>
      <c r="C17" t="s">
        <v>60</v>
      </c>
      <c r="D17" t="s">
        <v>1</v>
      </c>
      <c r="E17" t="s">
        <v>74</v>
      </c>
      <c r="F17" t="s">
        <v>88</v>
      </c>
      <c r="G17" t="s">
        <v>88</v>
      </c>
      <c r="H17" s="31">
        <v>0.127121840814787</v>
      </c>
      <c r="I17" s="31">
        <v>0.136768276234152</v>
      </c>
    </row>
    <row r="18" spans="1:9" x14ac:dyDescent="0.25">
      <c r="A18" t="s">
        <v>44</v>
      </c>
      <c r="B18" t="s">
        <v>45</v>
      </c>
      <c r="C18" t="s">
        <v>60</v>
      </c>
      <c r="D18" t="s">
        <v>1</v>
      </c>
      <c r="E18" t="s">
        <v>75</v>
      </c>
      <c r="F18" t="s">
        <v>88</v>
      </c>
      <c r="G18" t="s">
        <v>88</v>
      </c>
      <c r="H18" s="31">
        <v>9.3549603923047897E-2</v>
      </c>
      <c r="I18" s="31">
        <v>0.106824925816024</v>
      </c>
    </row>
    <row r="19" spans="1:9" x14ac:dyDescent="0.25">
      <c r="A19" t="s">
        <v>32</v>
      </c>
      <c r="B19" t="s">
        <v>31</v>
      </c>
      <c r="C19" t="s">
        <v>61</v>
      </c>
      <c r="D19" t="s">
        <v>1318</v>
      </c>
      <c r="E19" t="s">
        <v>61</v>
      </c>
      <c r="H19" s="31">
        <v>0.97348047145828498</v>
      </c>
      <c r="I19" s="31">
        <v>0.96381622190088101</v>
      </c>
    </row>
    <row r="20" spans="1:9" x14ac:dyDescent="0.25">
      <c r="A20" t="s">
        <v>35</v>
      </c>
      <c r="B20" t="s">
        <v>36</v>
      </c>
      <c r="C20" t="s">
        <v>61</v>
      </c>
      <c r="D20" t="s">
        <v>1</v>
      </c>
      <c r="E20" t="s">
        <v>78</v>
      </c>
      <c r="F20" t="s">
        <v>88</v>
      </c>
      <c r="G20" t="s">
        <v>88</v>
      </c>
      <c r="H20" s="31">
        <v>1.9759648717356099E-2</v>
      </c>
      <c r="I20" s="31">
        <v>2.7376100959642401E-2</v>
      </c>
    </row>
    <row r="21" spans="1:9" x14ac:dyDescent="0.25">
      <c r="A21" t="s">
        <v>29</v>
      </c>
      <c r="B21" t="s">
        <v>30</v>
      </c>
      <c r="C21" t="s">
        <v>61</v>
      </c>
      <c r="D21" t="s">
        <v>1</v>
      </c>
      <c r="E21" t="s">
        <v>76</v>
      </c>
      <c r="F21" t="s">
        <v>88</v>
      </c>
      <c r="G21" t="s">
        <v>88</v>
      </c>
      <c r="H21" s="31">
        <v>1.61774901779524E-3</v>
      </c>
      <c r="I21" s="31">
        <v>1.0845274089654299E-3</v>
      </c>
    </row>
    <row r="22" spans="1:9" x14ac:dyDescent="0.25">
      <c r="A22" t="s">
        <v>33</v>
      </c>
      <c r="B22" t="s">
        <v>34</v>
      </c>
      <c r="C22" t="s">
        <v>61</v>
      </c>
      <c r="D22" t="s">
        <v>1</v>
      </c>
      <c r="E22" t="s">
        <v>77</v>
      </c>
      <c r="F22" t="s">
        <v>88</v>
      </c>
      <c r="G22" t="s">
        <v>88</v>
      </c>
      <c r="H22" s="31">
        <v>5.1421308065634401E-3</v>
      </c>
      <c r="I22" s="31">
        <v>7.7231497305113696E-3</v>
      </c>
    </row>
    <row r="23" spans="1:9" x14ac:dyDescent="0.25">
      <c r="A23" t="s">
        <v>39</v>
      </c>
      <c r="B23" t="s">
        <v>38</v>
      </c>
      <c r="C23" t="s">
        <v>62</v>
      </c>
      <c r="D23" t="s">
        <v>1318</v>
      </c>
      <c r="E23" t="s">
        <v>62</v>
      </c>
      <c r="H23" s="31">
        <v>0.98963534095936301</v>
      </c>
      <c r="I23" s="31">
        <v>0.99083627715015199</v>
      </c>
    </row>
    <row r="24" spans="1:9" x14ac:dyDescent="0.25">
      <c r="A24" t="s">
        <v>37</v>
      </c>
      <c r="B24" t="s">
        <v>1398</v>
      </c>
      <c r="C24" t="s">
        <v>62</v>
      </c>
      <c r="D24" t="s">
        <v>1</v>
      </c>
      <c r="E24" t="s">
        <v>79</v>
      </c>
      <c r="F24" t="s">
        <v>88</v>
      </c>
      <c r="G24" t="s">
        <v>653</v>
      </c>
      <c r="H24" s="31">
        <v>1.0364659040637001E-2</v>
      </c>
      <c r="I24" s="31">
        <v>9.1637228498478596E-3</v>
      </c>
    </row>
    <row r="25" spans="1:9" x14ac:dyDescent="0.25">
      <c r="A25" t="s">
        <v>49</v>
      </c>
      <c r="B25" t="s">
        <v>48</v>
      </c>
      <c r="C25" t="s">
        <v>63</v>
      </c>
      <c r="D25" t="s">
        <v>1318</v>
      </c>
      <c r="E25" t="s">
        <v>63</v>
      </c>
      <c r="H25" s="31">
        <v>0.98472727272727301</v>
      </c>
      <c r="I25" s="31">
        <v>0.98722924187725603</v>
      </c>
    </row>
    <row r="26" spans="1:9" x14ac:dyDescent="0.25">
      <c r="A26" t="s">
        <v>1430</v>
      </c>
      <c r="B26" t="s">
        <v>1428</v>
      </c>
      <c r="C26" t="s">
        <v>63</v>
      </c>
      <c r="D26" t="s">
        <v>1</v>
      </c>
      <c r="E26" t="s">
        <v>1423</v>
      </c>
      <c r="F26" t="s">
        <v>88</v>
      </c>
      <c r="G26" t="s">
        <v>653</v>
      </c>
      <c r="H26" s="31">
        <v>6.2727272727272701E-3</v>
      </c>
      <c r="I26" s="31">
        <v>4.7382671480144401E-3</v>
      </c>
    </row>
    <row r="27" spans="1:9" x14ac:dyDescent="0.25">
      <c r="A27" t="s">
        <v>46</v>
      </c>
      <c r="B27" t="s">
        <v>47</v>
      </c>
      <c r="C27" t="s">
        <v>63</v>
      </c>
      <c r="D27" t="s">
        <v>1</v>
      </c>
      <c r="E27" t="s">
        <v>81</v>
      </c>
      <c r="F27" t="s">
        <v>88</v>
      </c>
      <c r="G27" t="s">
        <v>88</v>
      </c>
      <c r="H27" s="31">
        <v>1.4545454545454499E-3</v>
      </c>
      <c r="I27" s="31">
        <v>2.2563176895306898E-3</v>
      </c>
    </row>
    <row r="28" spans="1:9" x14ac:dyDescent="0.25">
      <c r="A28" t="s">
        <v>50</v>
      </c>
      <c r="B28" t="s">
        <v>51</v>
      </c>
      <c r="C28" t="s">
        <v>63</v>
      </c>
      <c r="D28" t="s">
        <v>1</v>
      </c>
      <c r="E28" t="s">
        <v>82</v>
      </c>
      <c r="F28" t="s">
        <v>88</v>
      </c>
      <c r="G28" t="s">
        <v>88</v>
      </c>
      <c r="H28" s="31">
        <v>7.5454545454545401E-3</v>
      </c>
      <c r="I28" s="31">
        <v>5.77617328519856E-3</v>
      </c>
    </row>
    <row r="29" spans="1:9" x14ac:dyDescent="0.25">
      <c r="A29" t="s">
        <v>53</v>
      </c>
      <c r="B29" t="s">
        <v>1391</v>
      </c>
      <c r="C29" t="s">
        <v>64</v>
      </c>
      <c r="D29" t="s">
        <v>1318</v>
      </c>
      <c r="E29" t="s">
        <v>64</v>
      </c>
      <c r="H29" s="31">
        <v>0.97733237890718205</v>
      </c>
      <c r="I29" s="31">
        <v>0.96782178217821802</v>
      </c>
    </row>
    <row r="30" spans="1:9" x14ac:dyDescent="0.25">
      <c r="A30" t="s">
        <v>52</v>
      </c>
      <c r="B30" t="s">
        <v>1399</v>
      </c>
      <c r="C30" t="s">
        <v>64</v>
      </c>
      <c r="D30" t="s">
        <v>1</v>
      </c>
      <c r="E30" t="s">
        <v>83</v>
      </c>
      <c r="F30" t="s">
        <v>88</v>
      </c>
      <c r="G30" t="s">
        <v>88</v>
      </c>
      <c r="H30" s="31">
        <v>2.2667621092817902E-2</v>
      </c>
      <c r="I30" s="31">
        <v>3.21782178217822E-2</v>
      </c>
    </row>
  </sheetData>
  <sheetProtection algorithmName="SHA-512" hashValue="eaEB2cLyPhZs0iRSG3Qmorq918wilMrhTK/pb70QaKdZ1oTBNHMDWtJzAVS0HV2S6u/mSdmNT0ApRw/g+fVdvA==" saltValue="cYmSuiOj/qEvvY2gVNdUw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9DA6-C1C7-4DC6-842C-993C6A5AB959}">
  <sheetPr codeName="Sheet8">
    <tabColor rgb="FF7030A0"/>
  </sheetPr>
  <dimension ref="A1:S20"/>
  <sheetViews>
    <sheetView workbookViewId="0"/>
  </sheetViews>
  <sheetFormatPr defaultRowHeight="15" x14ac:dyDescent="0.25"/>
  <cols>
    <col min="1" max="1" width="9.42578125" bestFit="1" customWidth="1"/>
    <col min="2" max="2" width="47.5703125" bestFit="1" customWidth="1"/>
    <col min="3" max="3" width="17.28515625" bestFit="1" customWidth="1"/>
    <col min="4" max="4" width="24.140625" bestFit="1" customWidth="1"/>
    <col min="5" max="5" width="8.28515625" bestFit="1" customWidth="1"/>
    <col min="6" max="6" width="8.85546875" bestFit="1" customWidth="1"/>
    <col min="7" max="7" width="13.42578125" bestFit="1" customWidth="1"/>
    <col min="8" max="8" width="20.5703125" bestFit="1" customWidth="1"/>
    <col min="9" max="9" width="24.5703125" bestFit="1" customWidth="1"/>
    <col min="10" max="10" width="23" bestFit="1" customWidth="1"/>
    <col min="11" max="11" width="32" bestFit="1" customWidth="1"/>
    <col min="12" max="12" width="15.42578125" bestFit="1" customWidth="1"/>
    <col min="13" max="13" width="23.28515625" bestFit="1" customWidth="1"/>
    <col min="14" max="14" width="35.28515625" bestFit="1" customWidth="1"/>
    <col min="15" max="15" width="15.140625" bestFit="1" customWidth="1"/>
    <col min="16" max="16" width="23" bestFit="1" customWidth="1"/>
    <col min="17" max="17" width="51.85546875" bestFit="1" customWidth="1"/>
    <col min="18" max="18" width="26.140625" bestFit="1" customWidth="1"/>
    <col min="19" max="19" width="34.140625" bestFit="1" customWidth="1"/>
    <col min="20" max="20" width="23.28515625" bestFit="1" customWidth="1"/>
    <col min="21" max="21" width="35.28515625" bestFit="1" customWidth="1"/>
    <col min="22" max="22" width="15.140625" bestFit="1" customWidth="1"/>
    <col min="23" max="23" width="23" bestFit="1" customWidth="1"/>
    <col min="24" max="24" width="51.85546875" bestFit="1" customWidth="1"/>
    <col min="25" max="25" width="26.140625" bestFit="1" customWidth="1"/>
    <col min="26" max="26" width="34.140625" customWidth="1"/>
    <col min="27" max="27" width="51.85546875" bestFit="1" customWidth="1"/>
    <col min="28" max="28" width="26.140625" bestFit="1" customWidth="1"/>
    <col min="29" max="29" width="34.140625" bestFit="1" customWidth="1"/>
    <col min="30" max="30" width="24.28515625" bestFit="1" customWidth="1"/>
    <col min="31" max="31" width="30.8554687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655</v>
      </c>
      <c r="H1" t="s">
        <v>1308</v>
      </c>
      <c r="I1" t="s">
        <v>6</v>
      </c>
      <c r="J1" t="s">
        <v>1309</v>
      </c>
      <c r="K1" t="s">
        <v>7</v>
      </c>
      <c r="L1" t="s">
        <v>54</v>
      </c>
      <c r="M1" t="s">
        <v>1319</v>
      </c>
      <c r="N1" t="s">
        <v>656</v>
      </c>
      <c r="O1" t="s">
        <v>1320</v>
      </c>
      <c r="P1" t="s">
        <v>1321</v>
      </c>
      <c r="Q1" t="s">
        <v>1310</v>
      </c>
      <c r="R1" t="s">
        <v>1311</v>
      </c>
      <c r="S1" t="s">
        <v>1312</v>
      </c>
    </row>
    <row r="2" spans="1:19" x14ac:dyDescent="0.25">
      <c r="A2" t="s">
        <v>13</v>
      </c>
      <c r="B2" t="s">
        <v>1384</v>
      </c>
      <c r="C2" t="s">
        <v>1385</v>
      </c>
      <c r="D2" t="s">
        <v>14</v>
      </c>
      <c r="E2" t="s">
        <v>68</v>
      </c>
      <c r="F2" t="s">
        <v>88</v>
      </c>
      <c r="G2" t="s">
        <v>88</v>
      </c>
      <c r="H2">
        <v>107</v>
      </c>
      <c r="I2">
        <v>27</v>
      </c>
      <c r="J2">
        <v>11336</v>
      </c>
      <c r="K2">
        <v>4295</v>
      </c>
      <c r="L2" t="s">
        <v>56</v>
      </c>
      <c r="M2">
        <v>107</v>
      </c>
      <c r="N2" t="s">
        <v>1456</v>
      </c>
      <c r="O2">
        <v>6.2471078204534899E-3</v>
      </c>
      <c r="P2">
        <v>0.99375289217954599</v>
      </c>
      <c r="Q2" t="s">
        <v>1457</v>
      </c>
      <c r="R2">
        <v>9.3506947478808004E-3</v>
      </c>
      <c r="S2">
        <v>0.99064930525211903</v>
      </c>
    </row>
    <row r="3" spans="1:19" x14ac:dyDescent="0.25">
      <c r="A3" t="s">
        <v>8</v>
      </c>
      <c r="B3" t="s">
        <v>1396</v>
      </c>
      <c r="C3" t="s">
        <v>9</v>
      </c>
      <c r="D3" t="s">
        <v>10</v>
      </c>
      <c r="E3" t="s">
        <v>66</v>
      </c>
      <c r="F3" t="s">
        <v>88</v>
      </c>
      <c r="G3" t="s">
        <v>653</v>
      </c>
      <c r="H3">
        <v>556</v>
      </c>
      <c r="I3">
        <v>206</v>
      </c>
      <c r="J3">
        <v>4379</v>
      </c>
      <c r="K3">
        <v>2423</v>
      </c>
      <c r="L3" t="s">
        <v>55</v>
      </c>
      <c r="M3">
        <v>630</v>
      </c>
      <c r="N3" t="s">
        <v>1458</v>
      </c>
      <c r="O3">
        <v>7.6894363568495702E-2</v>
      </c>
      <c r="P3">
        <v>0.90444195595371402</v>
      </c>
      <c r="Q3" t="s">
        <v>1459</v>
      </c>
      <c r="R3">
        <v>0.111000199640647</v>
      </c>
      <c r="S3">
        <v>0.87422639249351197</v>
      </c>
    </row>
    <row r="4" spans="1:19" x14ac:dyDescent="0.25">
      <c r="A4" t="s">
        <v>11</v>
      </c>
      <c r="B4" t="s">
        <v>12</v>
      </c>
      <c r="C4" t="s">
        <v>9</v>
      </c>
      <c r="D4" t="s">
        <v>10</v>
      </c>
      <c r="E4" t="s">
        <v>67</v>
      </c>
      <c r="F4" t="s">
        <v>88</v>
      </c>
      <c r="G4" t="s">
        <v>88</v>
      </c>
      <c r="H4">
        <v>74</v>
      </c>
      <c r="I4">
        <v>50</v>
      </c>
      <c r="J4">
        <v>4379</v>
      </c>
      <c r="K4">
        <v>2423</v>
      </c>
      <c r="L4" t="s">
        <v>55</v>
      </c>
      <c r="M4">
        <v>630</v>
      </c>
      <c r="N4" t="s">
        <v>1458</v>
      </c>
      <c r="O4">
        <v>1.8663680477790202E-2</v>
      </c>
      <c r="P4">
        <v>0.90444195595371402</v>
      </c>
      <c r="Q4" t="s">
        <v>1459</v>
      </c>
      <c r="R4">
        <v>1.47734078658415E-2</v>
      </c>
      <c r="S4">
        <v>0.87422639249351197</v>
      </c>
    </row>
    <row r="5" spans="1:19" x14ac:dyDescent="0.25">
      <c r="A5" t="s">
        <v>15</v>
      </c>
      <c r="B5" t="s">
        <v>16</v>
      </c>
      <c r="C5" t="s">
        <v>17</v>
      </c>
      <c r="D5" t="s">
        <v>18</v>
      </c>
      <c r="E5" t="s">
        <v>69</v>
      </c>
      <c r="F5" t="s">
        <v>88</v>
      </c>
      <c r="G5" t="s">
        <v>88</v>
      </c>
      <c r="H5">
        <v>360</v>
      </c>
      <c r="I5">
        <v>231</v>
      </c>
      <c r="J5">
        <v>17724</v>
      </c>
      <c r="K5">
        <v>11016</v>
      </c>
      <c r="L5" t="s">
        <v>57</v>
      </c>
      <c r="M5">
        <v>492</v>
      </c>
      <c r="N5" t="s">
        <v>1460</v>
      </c>
      <c r="O5">
        <v>2.0373963662021499E-2</v>
      </c>
      <c r="P5">
        <v>0.97159992944081897</v>
      </c>
      <c r="Q5" t="s">
        <v>1461</v>
      </c>
      <c r="R5">
        <v>1.97628458498024E-2</v>
      </c>
      <c r="S5">
        <v>0.97299077733860395</v>
      </c>
    </row>
    <row r="6" spans="1:19" x14ac:dyDescent="0.25">
      <c r="A6" t="s">
        <v>19</v>
      </c>
      <c r="B6" t="s">
        <v>1397</v>
      </c>
      <c r="C6" t="s">
        <v>17</v>
      </c>
      <c r="D6" t="s">
        <v>18</v>
      </c>
      <c r="E6" t="s">
        <v>70</v>
      </c>
      <c r="F6" t="s">
        <v>88</v>
      </c>
      <c r="G6" t="s">
        <v>88</v>
      </c>
      <c r="H6">
        <v>132</v>
      </c>
      <c r="I6">
        <v>91</v>
      </c>
      <c r="J6">
        <v>17724</v>
      </c>
      <c r="K6">
        <v>11016</v>
      </c>
      <c r="L6" t="s">
        <v>57</v>
      </c>
      <c r="M6">
        <v>492</v>
      </c>
      <c r="N6" t="s">
        <v>1460</v>
      </c>
      <c r="O6">
        <v>8.0261068971599903E-3</v>
      </c>
      <c r="P6">
        <v>0.97159992944081897</v>
      </c>
      <c r="Q6" t="s">
        <v>1461</v>
      </c>
      <c r="R6">
        <v>7.2463768115942004E-3</v>
      </c>
      <c r="S6">
        <v>0.97299077733860395</v>
      </c>
    </row>
    <row r="7" spans="1:19" x14ac:dyDescent="0.25">
      <c r="A7" t="s">
        <v>1429</v>
      </c>
      <c r="B7" t="s">
        <v>1425</v>
      </c>
      <c r="C7" t="s">
        <v>1427</v>
      </c>
      <c r="D7" t="s">
        <v>1078</v>
      </c>
      <c r="E7" t="s">
        <v>1421</v>
      </c>
      <c r="F7" t="s">
        <v>88</v>
      </c>
      <c r="G7" t="s">
        <v>653</v>
      </c>
      <c r="H7">
        <v>294</v>
      </c>
      <c r="I7">
        <v>184</v>
      </c>
      <c r="J7">
        <v>14601</v>
      </c>
      <c r="K7">
        <v>6769</v>
      </c>
      <c r="L7" t="s">
        <v>563</v>
      </c>
      <c r="M7">
        <v>294</v>
      </c>
      <c r="N7" t="s">
        <v>1462</v>
      </c>
      <c r="O7">
        <v>2.6463397094779201E-2</v>
      </c>
      <c r="P7">
        <v>0.97353660290522104</v>
      </c>
      <c r="Q7" t="s">
        <v>1463</v>
      </c>
      <c r="R7">
        <v>1.9738167170191299E-2</v>
      </c>
      <c r="S7">
        <v>0.98026183282980905</v>
      </c>
    </row>
    <row r="8" spans="1:19" x14ac:dyDescent="0.25">
      <c r="A8" t="s">
        <v>27</v>
      </c>
      <c r="B8" t="s">
        <v>28</v>
      </c>
      <c r="C8" t="s">
        <v>23</v>
      </c>
      <c r="D8" t="s">
        <v>24</v>
      </c>
      <c r="E8" t="s">
        <v>73</v>
      </c>
      <c r="F8" t="s">
        <v>88</v>
      </c>
      <c r="G8" t="s">
        <v>88</v>
      </c>
      <c r="H8">
        <v>216</v>
      </c>
      <c r="I8">
        <v>85</v>
      </c>
      <c r="J8">
        <v>50515</v>
      </c>
      <c r="K8">
        <v>15229</v>
      </c>
      <c r="L8" t="s">
        <v>59</v>
      </c>
      <c r="M8">
        <v>909</v>
      </c>
      <c r="N8" t="s">
        <v>1464</v>
      </c>
      <c r="O8">
        <v>5.4441811311086901E-3</v>
      </c>
      <c r="P8">
        <v>0.975405111125344</v>
      </c>
      <c r="Q8" t="s">
        <v>1465</v>
      </c>
      <c r="R8">
        <v>4.2003733665214697E-3</v>
      </c>
      <c r="S8">
        <v>0.98232342874922196</v>
      </c>
    </row>
    <row r="9" spans="1:19" x14ac:dyDescent="0.25">
      <c r="A9" t="s">
        <v>25</v>
      </c>
      <c r="B9" t="s">
        <v>26</v>
      </c>
      <c r="C9" t="s">
        <v>23</v>
      </c>
      <c r="D9" t="s">
        <v>24</v>
      </c>
      <c r="E9" t="s">
        <v>72</v>
      </c>
      <c r="F9" t="s">
        <v>88</v>
      </c>
      <c r="G9" t="s">
        <v>88</v>
      </c>
      <c r="H9">
        <v>568</v>
      </c>
      <c r="I9">
        <v>241</v>
      </c>
      <c r="J9">
        <v>50515</v>
      </c>
      <c r="K9">
        <v>15229</v>
      </c>
      <c r="L9" t="s">
        <v>59</v>
      </c>
      <c r="M9">
        <v>909</v>
      </c>
      <c r="N9" t="s">
        <v>1464</v>
      </c>
      <c r="O9">
        <v>1.5435854736437601E-2</v>
      </c>
      <c r="P9">
        <v>0.975405111125344</v>
      </c>
      <c r="Q9" t="s">
        <v>1465</v>
      </c>
      <c r="R9">
        <v>1.1045426260112E-2</v>
      </c>
      <c r="S9">
        <v>0.98232342874922196</v>
      </c>
    </row>
    <row r="10" spans="1:19" x14ac:dyDescent="0.25">
      <c r="A10" t="s">
        <v>21</v>
      </c>
      <c r="B10" t="s">
        <v>22</v>
      </c>
      <c r="C10" t="s">
        <v>23</v>
      </c>
      <c r="D10" t="s">
        <v>24</v>
      </c>
      <c r="E10" t="s">
        <v>71</v>
      </c>
      <c r="F10" t="s">
        <v>88</v>
      </c>
      <c r="G10" t="s">
        <v>653</v>
      </c>
      <c r="H10">
        <v>125</v>
      </c>
      <c r="I10">
        <v>58</v>
      </c>
      <c r="J10">
        <v>50515</v>
      </c>
      <c r="K10">
        <v>15229</v>
      </c>
      <c r="L10" t="s">
        <v>59</v>
      </c>
      <c r="M10">
        <v>909</v>
      </c>
      <c r="N10" t="s">
        <v>1464</v>
      </c>
      <c r="O10">
        <v>3.7148530071094599E-3</v>
      </c>
      <c r="P10">
        <v>0.975405111125344</v>
      </c>
      <c r="Q10" t="s">
        <v>1465</v>
      </c>
      <c r="R10">
        <v>2.4307716241443698E-3</v>
      </c>
      <c r="S10">
        <v>0.98232342874922196</v>
      </c>
    </row>
    <row r="11" spans="1:19" x14ac:dyDescent="0.25">
      <c r="A11" t="s">
        <v>40</v>
      </c>
      <c r="B11" t="s">
        <v>41</v>
      </c>
      <c r="C11" t="s">
        <v>42</v>
      </c>
      <c r="D11" t="s">
        <v>43</v>
      </c>
      <c r="E11" t="s">
        <v>74</v>
      </c>
      <c r="F11" t="s">
        <v>88</v>
      </c>
      <c r="G11" t="s">
        <v>88</v>
      </c>
      <c r="H11">
        <v>507</v>
      </c>
      <c r="I11">
        <v>337</v>
      </c>
      <c r="J11">
        <v>2804</v>
      </c>
      <c r="K11">
        <v>2066</v>
      </c>
      <c r="L11" t="s">
        <v>60</v>
      </c>
      <c r="M11">
        <v>903</v>
      </c>
      <c r="N11" t="s">
        <v>1466</v>
      </c>
      <c r="O11">
        <v>0.127121840814787</v>
      </c>
      <c r="P11">
        <v>0.77932855526216505</v>
      </c>
      <c r="Q11" t="s">
        <v>1467</v>
      </c>
      <c r="R11">
        <v>0.136768276234152</v>
      </c>
      <c r="S11">
        <v>0.75640679794982502</v>
      </c>
    </row>
    <row r="12" spans="1:19" x14ac:dyDescent="0.25">
      <c r="A12" t="s">
        <v>44</v>
      </c>
      <c r="B12" t="s">
        <v>45</v>
      </c>
      <c r="C12" t="s">
        <v>42</v>
      </c>
      <c r="D12" t="s">
        <v>43</v>
      </c>
      <c r="E12" t="s">
        <v>75</v>
      </c>
      <c r="F12" t="s">
        <v>88</v>
      </c>
      <c r="G12" t="s">
        <v>88</v>
      </c>
      <c r="H12">
        <v>396</v>
      </c>
      <c r="I12">
        <v>248</v>
      </c>
      <c r="J12">
        <v>2804</v>
      </c>
      <c r="K12">
        <v>2066</v>
      </c>
      <c r="L12" t="s">
        <v>60</v>
      </c>
      <c r="M12">
        <v>903</v>
      </c>
      <c r="N12" t="s">
        <v>1466</v>
      </c>
      <c r="O12">
        <v>9.3549603923047897E-2</v>
      </c>
      <c r="P12">
        <v>0.77932855526216505</v>
      </c>
      <c r="Q12" t="s">
        <v>1467</v>
      </c>
      <c r="R12">
        <v>0.106824925816024</v>
      </c>
      <c r="S12">
        <v>0.75640679794982502</v>
      </c>
    </row>
    <row r="13" spans="1:19" x14ac:dyDescent="0.25">
      <c r="A13" t="s">
        <v>35</v>
      </c>
      <c r="B13" t="s">
        <v>36</v>
      </c>
      <c r="C13" t="s">
        <v>31</v>
      </c>
      <c r="D13" t="s">
        <v>32</v>
      </c>
      <c r="E13" t="s">
        <v>78</v>
      </c>
      <c r="F13" t="s">
        <v>88</v>
      </c>
      <c r="G13" t="s">
        <v>88</v>
      </c>
      <c r="H13">
        <v>833</v>
      </c>
      <c r="I13">
        <v>342</v>
      </c>
      <c r="J13">
        <v>29327</v>
      </c>
      <c r="K13">
        <v>16849</v>
      </c>
      <c r="L13" t="s">
        <v>61</v>
      </c>
      <c r="M13">
        <v>1101</v>
      </c>
      <c r="N13" t="s">
        <v>1468</v>
      </c>
      <c r="O13">
        <v>1.9759648717356099E-2</v>
      </c>
      <c r="P13">
        <v>0.97348047145828498</v>
      </c>
      <c r="Q13" t="s">
        <v>1469</v>
      </c>
      <c r="R13">
        <v>2.7376100959642401E-2</v>
      </c>
      <c r="S13">
        <v>0.96381622190088101</v>
      </c>
    </row>
    <row r="14" spans="1:19" x14ac:dyDescent="0.25">
      <c r="A14" t="s">
        <v>29</v>
      </c>
      <c r="B14" t="s">
        <v>30</v>
      </c>
      <c r="C14" t="s">
        <v>31</v>
      </c>
      <c r="D14" t="s">
        <v>32</v>
      </c>
      <c r="E14" t="s">
        <v>76</v>
      </c>
      <c r="F14" t="s">
        <v>88</v>
      </c>
      <c r="G14" t="s">
        <v>88</v>
      </c>
      <c r="H14">
        <v>33</v>
      </c>
      <c r="I14">
        <v>28</v>
      </c>
      <c r="J14">
        <v>29327</v>
      </c>
      <c r="K14">
        <v>16849</v>
      </c>
      <c r="L14" t="s">
        <v>61</v>
      </c>
      <c r="M14">
        <v>1101</v>
      </c>
      <c r="N14" t="s">
        <v>1468</v>
      </c>
      <c r="O14">
        <v>1.61774901779524E-3</v>
      </c>
      <c r="P14">
        <v>0.97348047145828498</v>
      </c>
      <c r="Q14" t="s">
        <v>1469</v>
      </c>
      <c r="R14">
        <v>1.0845274089654299E-3</v>
      </c>
      <c r="S14">
        <v>0.96381622190088101</v>
      </c>
    </row>
    <row r="15" spans="1:19" x14ac:dyDescent="0.25">
      <c r="A15" t="s">
        <v>33</v>
      </c>
      <c r="B15" t="s">
        <v>34</v>
      </c>
      <c r="C15" t="s">
        <v>31</v>
      </c>
      <c r="D15" t="s">
        <v>32</v>
      </c>
      <c r="E15" t="s">
        <v>77</v>
      </c>
      <c r="F15" t="s">
        <v>88</v>
      </c>
      <c r="G15" t="s">
        <v>88</v>
      </c>
      <c r="H15">
        <v>235</v>
      </c>
      <c r="I15">
        <v>89</v>
      </c>
      <c r="J15">
        <v>29327</v>
      </c>
      <c r="K15">
        <v>16849</v>
      </c>
      <c r="L15" t="s">
        <v>61</v>
      </c>
      <c r="M15">
        <v>1101</v>
      </c>
      <c r="N15" t="s">
        <v>1468</v>
      </c>
      <c r="O15">
        <v>5.1421308065634401E-3</v>
      </c>
      <c r="P15">
        <v>0.97348047145828498</v>
      </c>
      <c r="Q15" t="s">
        <v>1469</v>
      </c>
      <c r="R15">
        <v>7.7231497305113696E-3</v>
      </c>
      <c r="S15">
        <v>0.96381622190088101</v>
      </c>
    </row>
    <row r="16" spans="1:19" x14ac:dyDescent="0.25">
      <c r="A16" t="s">
        <v>37</v>
      </c>
      <c r="B16" t="s">
        <v>1398</v>
      </c>
      <c r="C16" t="s">
        <v>38</v>
      </c>
      <c r="D16" t="s">
        <v>39</v>
      </c>
      <c r="E16" t="s">
        <v>79</v>
      </c>
      <c r="F16" t="s">
        <v>88</v>
      </c>
      <c r="G16" t="s">
        <v>653</v>
      </c>
      <c r="H16">
        <v>262</v>
      </c>
      <c r="I16">
        <v>164</v>
      </c>
      <c r="J16">
        <v>28329</v>
      </c>
      <c r="K16">
        <v>15659</v>
      </c>
      <c r="L16" t="s">
        <v>62</v>
      </c>
      <c r="M16">
        <v>262</v>
      </c>
      <c r="N16" t="s">
        <v>1575</v>
      </c>
      <c r="O16">
        <v>1.0364659040637001E-2</v>
      </c>
      <c r="P16">
        <v>0.98963534095936301</v>
      </c>
      <c r="Q16" t="s">
        <v>1576</v>
      </c>
      <c r="R16">
        <v>9.1637228498478596E-3</v>
      </c>
      <c r="S16">
        <v>0.99083627715015199</v>
      </c>
    </row>
    <row r="17" spans="1:19" x14ac:dyDescent="0.25">
      <c r="A17" t="s">
        <v>1430</v>
      </c>
      <c r="B17" t="s">
        <v>1428</v>
      </c>
      <c r="C17" t="s">
        <v>48</v>
      </c>
      <c r="D17" t="s">
        <v>49</v>
      </c>
      <c r="E17" t="s">
        <v>1423</v>
      </c>
      <c r="F17" t="s">
        <v>88</v>
      </c>
      <c r="G17" t="s">
        <v>653</v>
      </c>
      <c r="H17">
        <v>105</v>
      </c>
      <c r="I17">
        <v>69</v>
      </c>
      <c r="J17">
        <v>21877</v>
      </c>
      <c r="K17">
        <v>10832</v>
      </c>
      <c r="L17" t="s">
        <v>63</v>
      </c>
      <c r="M17">
        <v>283</v>
      </c>
      <c r="N17" t="s">
        <v>1470</v>
      </c>
      <c r="O17">
        <v>6.2727272727272701E-3</v>
      </c>
      <c r="P17">
        <v>0.98472727272727301</v>
      </c>
      <c r="Q17" t="s">
        <v>1471</v>
      </c>
      <c r="R17">
        <v>4.7382671480144401E-3</v>
      </c>
      <c r="S17">
        <v>0.98722924187725603</v>
      </c>
    </row>
    <row r="18" spans="1:19" x14ac:dyDescent="0.25">
      <c r="A18" t="s">
        <v>46</v>
      </c>
      <c r="B18" t="s">
        <v>47</v>
      </c>
      <c r="C18" t="s">
        <v>48</v>
      </c>
      <c r="D18" t="s">
        <v>49</v>
      </c>
      <c r="E18" t="s">
        <v>81</v>
      </c>
      <c r="F18" t="s">
        <v>88</v>
      </c>
      <c r="G18" t="s">
        <v>88</v>
      </c>
      <c r="H18">
        <v>50</v>
      </c>
      <c r="I18">
        <v>16</v>
      </c>
      <c r="J18">
        <v>21877</v>
      </c>
      <c r="K18">
        <v>10832</v>
      </c>
      <c r="L18" t="s">
        <v>63</v>
      </c>
      <c r="M18">
        <v>283</v>
      </c>
      <c r="N18" t="s">
        <v>1470</v>
      </c>
      <c r="O18">
        <v>1.4545454545454499E-3</v>
      </c>
      <c r="P18">
        <v>0.98472727272727301</v>
      </c>
      <c r="Q18" t="s">
        <v>1471</v>
      </c>
      <c r="R18">
        <v>2.2563176895306898E-3</v>
      </c>
      <c r="S18">
        <v>0.98722924187725603</v>
      </c>
    </row>
    <row r="19" spans="1:19" x14ac:dyDescent="0.25">
      <c r="A19" t="s">
        <v>50</v>
      </c>
      <c r="B19" t="s">
        <v>51</v>
      </c>
      <c r="C19" t="s">
        <v>48</v>
      </c>
      <c r="D19" t="s">
        <v>49</v>
      </c>
      <c r="E19" t="s">
        <v>82</v>
      </c>
      <c r="F19" t="s">
        <v>88</v>
      </c>
      <c r="G19" t="s">
        <v>88</v>
      </c>
      <c r="H19">
        <v>128</v>
      </c>
      <c r="I19">
        <v>83</v>
      </c>
      <c r="J19">
        <v>21877</v>
      </c>
      <c r="K19">
        <v>10832</v>
      </c>
      <c r="L19" t="s">
        <v>63</v>
      </c>
      <c r="M19">
        <v>283</v>
      </c>
      <c r="N19" t="s">
        <v>1470</v>
      </c>
      <c r="O19">
        <v>7.5454545454545401E-3</v>
      </c>
      <c r="P19">
        <v>0.98472727272727301</v>
      </c>
      <c r="Q19" t="s">
        <v>1471</v>
      </c>
      <c r="R19">
        <v>5.77617328519856E-3</v>
      </c>
      <c r="S19">
        <v>0.98722924187725603</v>
      </c>
    </row>
    <row r="20" spans="1:19" x14ac:dyDescent="0.25">
      <c r="A20" t="s">
        <v>52</v>
      </c>
      <c r="B20" t="s">
        <v>1399</v>
      </c>
      <c r="C20" t="s">
        <v>1391</v>
      </c>
      <c r="D20" t="s">
        <v>53</v>
      </c>
      <c r="E20" t="s">
        <v>83</v>
      </c>
      <c r="F20" t="s">
        <v>88</v>
      </c>
      <c r="G20" t="s">
        <v>88</v>
      </c>
      <c r="H20">
        <v>234</v>
      </c>
      <c r="I20">
        <v>95</v>
      </c>
      <c r="J20">
        <v>7038</v>
      </c>
      <c r="K20">
        <v>4096</v>
      </c>
      <c r="L20" t="s">
        <v>64</v>
      </c>
      <c r="M20">
        <v>234</v>
      </c>
      <c r="N20" t="s">
        <v>1472</v>
      </c>
      <c r="O20">
        <v>2.2667621092817902E-2</v>
      </c>
      <c r="P20">
        <v>0.97733237890718205</v>
      </c>
      <c r="Q20" t="s">
        <v>1473</v>
      </c>
      <c r="R20">
        <v>3.21782178217822E-2</v>
      </c>
      <c r="S20">
        <v>0.96782178217821802</v>
      </c>
    </row>
  </sheetData>
  <sheetProtection algorithmName="SHA-512" hashValue="PjWntictdb3EtaC7b/DB8Vs4+QfuHRauK15BA4ipxoPQibbDe8vOyibDJmgOBNYzUlWgYzvn5RYKNX1m2oNYmg==" saltValue="f9zf7Woy1h64nduSqaxn6w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DE4-178F-42AC-8FDA-222B0F56AF46}">
  <dimension ref="A1:Z320"/>
  <sheetViews>
    <sheetView workbookViewId="0"/>
  </sheetViews>
  <sheetFormatPr defaultRowHeight="15" x14ac:dyDescent="0.25"/>
  <cols>
    <col min="1" max="1" width="8.28515625" bestFit="1" customWidth="1"/>
    <col min="2" max="2" width="43" bestFit="1" customWidth="1"/>
    <col min="3" max="3" width="31.5703125" bestFit="1" customWidth="1"/>
    <col min="4" max="4" width="40" bestFit="1" customWidth="1"/>
    <col min="5" max="5" width="35.140625" bestFit="1" customWidth="1"/>
    <col min="6" max="6" width="31.140625" bestFit="1" customWidth="1"/>
    <col min="7" max="7" width="31.5703125" bestFit="1" customWidth="1"/>
    <col min="8" max="8" width="38.5703125" bestFit="1" customWidth="1"/>
    <col min="9" max="9" width="35" bestFit="1" customWidth="1"/>
    <col min="10" max="10" width="14.140625" bestFit="1" customWidth="1"/>
    <col min="11" max="11" width="17.140625" bestFit="1" customWidth="1"/>
    <col min="12" max="12" width="17.85546875" bestFit="1" customWidth="1"/>
    <col min="13" max="13" width="15.5703125" bestFit="1" customWidth="1"/>
    <col min="14" max="15" width="24.42578125" customWidth="1"/>
    <col min="16" max="16" width="24.42578125" bestFit="1" customWidth="1"/>
    <col min="17" max="17" width="14.140625" bestFit="1" customWidth="1"/>
    <col min="18" max="18" width="17.140625" bestFit="1" customWidth="1"/>
    <col min="19" max="19" width="17.85546875" bestFit="1" customWidth="1"/>
    <col min="20" max="20" width="15.5703125" bestFit="1" customWidth="1"/>
    <col min="21" max="22" width="24.42578125" bestFit="1" customWidth="1"/>
    <col min="23" max="23" width="48.28515625" bestFit="1" customWidth="1"/>
    <col min="24" max="25" width="57.28515625" bestFit="1" customWidth="1"/>
    <col min="26" max="26" width="17.85546875" customWidth="1"/>
    <col min="27" max="27" width="17.85546875" bestFit="1" customWidth="1"/>
    <col min="28" max="28" width="9.42578125" bestFit="1" customWidth="1"/>
    <col min="29" max="29" width="17.28515625" bestFit="1" customWidth="1"/>
    <col min="30" max="30" width="43" bestFit="1" customWidth="1"/>
    <col min="31" max="31" width="17.85546875" bestFit="1" customWidth="1"/>
    <col min="32" max="32" width="43" bestFit="1" customWidth="1"/>
    <col min="33" max="33" width="15.7109375" bestFit="1" customWidth="1"/>
  </cols>
  <sheetData>
    <row r="1" spans="1:15" x14ac:dyDescent="0.25">
      <c r="A1" t="s">
        <v>4</v>
      </c>
      <c r="B1" t="s">
        <v>1279</v>
      </c>
      <c r="C1" t="s">
        <v>1416</v>
      </c>
      <c r="D1" t="s">
        <v>1417</v>
      </c>
      <c r="E1" t="s">
        <v>1409</v>
      </c>
      <c r="F1" t="s">
        <v>1410</v>
      </c>
      <c r="G1" t="s">
        <v>1418</v>
      </c>
      <c r="H1" t="s">
        <v>1419</v>
      </c>
      <c r="I1" t="s">
        <v>1382</v>
      </c>
      <c r="J1" t="s">
        <v>1287</v>
      </c>
      <c r="K1" t="s">
        <v>1291</v>
      </c>
      <c r="L1" t="s">
        <v>1292</v>
      </c>
      <c r="M1" t="s">
        <v>1300</v>
      </c>
      <c r="N1" t="s">
        <v>1302</v>
      </c>
      <c r="O1" t="s">
        <v>1303</v>
      </c>
    </row>
    <row r="2" spans="1:15" x14ac:dyDescent="0.25">
      <c r="A2" t="s">
        <v>260</v>
      </c>
      <c r="B2" t="s">
        <v>664</v>
      </c>
      <c r="C2">
        <v>32686.112391702925</v>
      </c>
      <c r="D2">
        <v>0</v>
      </c>
      <c r="E2">
        <v>15634.329605216173</v>
      </c>
      <c r="F2">
        <v>21489.83689504107</v>
      </c>
      <c r="G2">
        <v>69810.278891960173</v>
      </c>
      <c r="H2">
        <v>69810.278891960173</v>
      </c>
      <c r="I2">
        <v>0</v>
      </c>
      <c r="J2">
        <v>538.68521424114203</v>
      </c>
      <c r="K2">
        <v>0</v>
      </c>
      <c r="L2">
        <v>69271.593677719036</v>
      </c>
      <c r="M2">
        <v>737</v>
      </c>
      <c r="N2">
        <v>38</v>
      </c>
      <c r="O2">
        <v>5.1560379918588903E-2</v>
      </c>
    </row>
    <row r="3" spans="1:15" x14ac:dyDescent="0.25">
      <c r="A3" t="s">
        <v>262</v>
      </c>
      <c r="B3" t="s">
        <v>666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98</v>
      </c>
      <c r="N3">
        <v>6</v>
      </c>
      <c r="O3">
        <v>6.1224489795918401E-2</v>
      </c>
    </row>
    <row r="4" spans="1:15" x14ac:dyDescent="0.25">
      <c r="A4" t="s">
        <v>89</v>
      </c>
      <c r="B4" t="s">
        <v>668</v>
      </c>
      <c r="C4">
        <v>229662.94759433364</v>
      </c>
      <c r="D4">
        <v>0</v>
      </c>
      <c r="E4">
        <v>109851.73696296627</v>
      </c>
      <c r="F4">
        <v>150994.38028884117</v>
      </c>
      <c r="G4">
        <v>490509.06484614115</v>
      </c>
      <c r="H4">
        <v>444858.98876338545</v>
      </c>
      <c r="I4">
        <v>45650.076082755695</v>
      </c>
      <c r="J4">
        <v>3432.7174088499532</v>
      </c>
      <c r="K4">
        <v>0</v>
      </c>
      <c r="L4">
        <v>441426.27135453548</v>
      </c>
      <c r="M4">
        <v>2828</v>
      </c>
      <c r="N4">
        <v>267</v>
      </c>
      <c r="O4">
        <v>9.4413012729844398E-2</v>
      </c>
    </row>
    <row r="5" spans="1:15" x14ac:dyDescent="0.25">
      <c r="A5" t="s">
        <v>91</v>
      </c>
      <c r="B5" t="s">
        <v>670</v>
      </c>
      <c r="C5">
        <v>484270.55990865093</v>
      </c>
      <c r="D5">
        <v>0</v>
      </c>
      <c r="E5">
        <v>231634.93599307127</v>
      </c>
      <c r="F5">
        <v>318388.89926073991</v>
      </c>
      <c r="G5">
        <v>1034294.3951624621</v>
      </c>
      <c r="H5">
        <v>884982.87841095286</v>
      </c>
      <c r="I5">
        <v>149311.51675150928</v>
      </c>
      <c r="J5">
        <v>6828.8968189675852</v>
      </c>
      <c r="K5">
        <v>0</v>
      </c>
      <c r="L5">
        <v>878153.98159198533</v>
      </c>
      <c r="M5">
        <v>5915</v>
      </c>
      <c r="N5">
        <v>563</v>
      </c>
      <c r="O5">
        <v>9.5181741335587502E-2</v>
      </c>
    </row>
    <row r="6" spans="1:15" x14ac:dyDescent="0.25">
      <c r="A6" t="s">
        <v>310</v>
      </c>
      <c r="B6" t="s">
        <v>672</v>
      </c>
      <c r="C6">
        <v>43950.743131969139</v>
      </c>
      <c r="D6">
        <v>0</v>
      </c>
      <c r="E6">
        <v>21364.210085989966</v>
      </c>
      <c r="F6">
        <v>29459.828465911669</v>
      </c>
      <c r="G6">
        <v>94774.781683870766</v>
      </c>
      <c r="H6">
        <v>94774.781683870766</v>
      </c>
      <c r="I6">
        <v>0</v>
      </c>
      <c r="J6">
        <v>731.32172491453969</v>
      </c>
      <c r="K6">
        <v>0</v>
      </c>
      <c r="L6">
        <v>94043.459958956228</v>
      </c>
      <c r="M6">
        <v>493</v>
      </c>
      <c r="N6">
        <v>48</v>
      </c>
      <c r="O6">
        <v>9.7363083164300201E-2</v>
      </c>
    </row>
    <row r="7" spans="1:15" x14ac:dyDescent="0.25">
      <c r="A7" t="s">
        <v>93</v>
      </c>
      <c r="B7" t="s">
        <v>676</v>
      </c>
      <c r="C7">
        <v>122142.84104267927</v>
      </c>
      <c r="D7">
        <v>0</v>
      </c>
      <c r="E7">
        <v>0</v>
      </c>
      <c r="F7">
        <v>0</v>
      </c>
      <c r="G7">
        <v>122142.84104267927</v>
      </c>
      <c r="H7">
        <v>114194.48287721067</v>
      </c>
      <c r="I7">
        <v>7948.3581654685986</v>
      </c>
      <c r="J7">
        <v>881.17223495222481</v>
      </c>
      <c r="K7">
        <v>0</v>
      </c>
      <c r="L7">
        <v>113313.31064225844</v>
      </c>
      <c r="M7">
        <v>3975</v>
      </c>
      <c r="N7">
        <v>142</v>
      </c>
      <c r="O7">
        <v>3.57232704402516E-2</v>
      </c>
    </row>
    <row r="8" spans="1:15" x14ac:dyDescent="0.25">
      <c r="A8" t="s">
        <v>95</v>
      </c>
      <c r="B8" t="s">
        <v>678</v>
      </c>
      <c r="C8">
        <v>774631.84770095581</v>
      </c>
      <c r="D8">
        <v>0</v>
      </c>
      <c r="E8">
        <v>449482.95126227324</v>
      </c>
      <c r="F8">
        <v>619807.17233359464</v>
      </c>
      <c r="G8">
        <v>1843921.9712968238</v>
      </c>
      <c r="H8">
        <v>1843921.9712968238</v>
      </c>
      <c r="I8">
        <v>0</v>
      </c>
      <c r="J8">
        <v>14228.470619480266</v>
      </c>
      <c r="K8">
        <v>0</v>
      </c>
      <c r="L8">
        <v>1829693.5006773435</v>
      </c>
      <c r="M8">
        <v>15822</v>
      </c>
      <c r="N8">
        <v>820</v>
      </c>
      <c r="O8">
        <v>5.1826570597901703E-2</v>
      </c>
    </row>
    <row r="9" spans="1:15" x14ac:dyDescent="0.25">
      <c r="A9" t="s">
        <v>97</v>
      </c>
      <c r="B9" t="s">
        <v>680</v>
      </c>
      <c r="C9">
        <v>1159496.8290530401</v>
      </c>
      <c r="D9">
        <v>0</v>
      </c>
      <c r="E9">
        <v>690331.03840355063</v>
      </c>
      <c r="F9">
        <v>951920.70730477036</v>
      </c>
      <c r="G9">
        <v>2801748.5747613609</v>
      </c>
      <c r="H9">
        <v>2801748.5747613609</v>
      </c>
      <c r="I9">
        <v>0</v>
      </c>
      <c r="J9">
        <v>21619.459987846501</v>
      </c>
      <c r="K9">
        <v>0</v>
      </c>
      <c r="L9">
        <v>2780129.1147735142</v>
      </c>
      <c r="M9">
        <v>22393</v>
      </c>
      <c r="N9">
        <v>1348</v>
      </c>
      <c r="O9">
        <v>6.0197383110793597E-2</v>
      </c>
    </row>
    <row r="10" spans="1:15" x14ac:dyDescent="0.25">
      <c r="A10" t="s">
        <v>56</v>
      </c>
      <c r="B10" t="s">
        <v>681</v>
      </c>
      <c r="C10">
        <v>1235442.9339724761</v>
      </c>
      <c r="D10">
        <v>0</v>
      </c>
      <c r="E10">
        <v>786103.3813928935</v>
      </c>
      <c r="F10">
        <v>1083992.9248196483</v>
      </c>
      <c r="G10">
        <v>3105539.2401850177</v>
      </c>
      <c r="H10">
        <v>3105539.2401850177</v>
      </c>
      <c r="I10">
        <v>0</v>
      </c>
      <c r="J10">
        <v>23963.635405645164</v>
      </c>
      <c r="K10">
        <v>0</v>
      </c>
      <c r="L10">
        <v>3081575.6047793725</v>
      </c>
      <c r="M10">
        <v>12469</v>
      </c>
      <c r="N10">
        <v>1358</v>
      </c>
      <c r="O10">
        <v>0.108910586044083</v>
      </c>
    </row>
    <row r="11" spans="1:15" x14ac:dyDescent="0.25">
      <c r="A11" t="s">
        <v>99</v>
      </c>
      <c r="B11" t="s">
        <v>683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16</v>
      </c>
      <c r="N11">
        <v>1</v>
      </c>
      <c r="O11">
        <v>6.25E-2</v>
      </c>
    </row>
    <row r="12" spans="1:15" x14ac:dyDescent="0.25">
      <c r="A12" t="s">
        <v>264</v>
      </c>
      <c r="B12" t="s">
        <v>685</v>
      </c>
      <c r="C12">
        <v>1976649.638845613</v>
      </c>
      <c r="D12">
        <v>0</v>
      </c>
      <c r="E12">
        <v>1283455.0316703124</v>
      </c>
      <c r="F12">
        <v>1764145.9524758051</v>
      </c>
      <c r="G12">
        <v>5024250.6229917305</v>
      </c>
      <c r="H12">
        <v>4493752.136908289</v>
      </c>
      <c r="I12">
        <v>530498.48608344141</v>
      </c>
      <c r="J12">
        <v>34675.664831011272</v>
      </c>
      <c r="K12">
        <v>0</v>
      </c>
      <c r="L12">
        <v>4459076.4720772775</v>
      </c>
      <c r="M12">
        <v>24134</v>
      </c>
      <c r="N12">
        <v>2298</v>
      </c>
      <c r="O12">
        <v>9.5218364133587502E-2</v>
      </c>
    </row>
    <row r="13" spans="1:15" x14ac:dyDescent="0.25">
      <c r="A13" t="s">
        <v>101</v>
      </c>
      <c r="B13" t="s">
        <v>702</v>
      </c>
      <c r="C13">
        <v>226621.01927421574</v>
      </c>
      <c r="D13">
        <v>0</v>
      </c>
      <c r="E13">
        <v>0</v>
      </c>
      <c r="F13">
        <v>0</v>
      </c>
      <c r="G13">
        <v>226621.01927421574</v>
      </c>
      <c r="H13">
        <v>226621.01927421574</v>
      </c>
      <c r="I13">
        <v>0</v>
      </c>
      <c r="J13">
        <v>1748.702257846676</v>
      </c>
      <c r="K13">
        <v>0</v>
      </c>
      <c r="L13">
        <v>224872.31701636905</v>
      </c>
      <c r="M13">
        <v>7408</v>
      </c>
      <c r="N13">
        <v>255</v>
      </c>
      <c r="O13">
        <v>3.4422246220302398E-2</v>
      </c>
    </row>
    <row r="14" spans="1:15" x14ac:dyDescent="0.25">
      <c r="A14" t="s">
        <v>103</v>
      </c>
      <c r="B14" t="s">
        <v>706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208</v>
      </c>
      <c r="N14">
        <v>7</v>
      </c>
      <c r="O14">
        <v>3.3653846153846201E-2</v>
      </c>
    </row>
    <row r="15" spans="1:15" x14ac:dyDescent="0.25">
      <c r="A15" t="s">
        <v>330</v>
      </c>
      <c r="B15" t="s">
        <v>708</v>
      </c>
      <c r="C15">
        <v>151388.31002472932</v>
      </c>
      <c r="D15">
        <v>0</v>
      </c>
      <c r="E15">
        <v>72411.631855738116</v>
      </c>
      <c r="F15">
        <v>99531.876145453367</v>
      </c>
      <c r="G15">
        <v>323331.81802592077</v>
      </c>
      <c r="H15">
        <v>323331.81802592077</v>
      </c>
      <c r="I15">
        <v>0</v>
      </c>
      <c r="J15">
        <v>2494.9630975379214</v>
      </c>
      <c r="K15">
        <v>0</v>
      </c>
      <c r="L15">
        <v>320836.85492838285</v>
      </c>
      <c r="M15">
        <v>1554</v>
      </c>
      <c r="N15">
        <v>176</v>
      </c>
      <c r="O15">
        <v>0.113256113256113</v>
      </c>
    </row>
    <row r="16" spans="1:15" x14ac:dyDescent="0.25">
      <c r="A16" t="s">
        <v>105</v>
      </c>
      <c r="B16" t="s">
        <v>712</v>
      </c>
      <c r="C16">
        <v>159989.91854886161</v>
      </c>
      <c r="D16">
        <v>0</v>
      </c>
      <c r="E16">
        <v>76525.929120268702</v>
      </c>
      <c r="F16">
        <v>105187.09638099048</v>
      </c>
      <c r="G16">
        <v>341702.94405012077</v>
      </c>
      <c r="H16">
        <v>341702.94405012077</v>
      </c>
      <c r="I16">
        <v>0</v>
      </c>
      <c r="J16">
        <v>2636.7223644434844</v>
      </c>
      <c r="K16">
        <v>0</v>
      </c>
      <c r="L16">
        <v>339066.2216856773</v>
      </c>
      <c r="M16">
        <v>1636</v>
      </c>
      <c r="N16">
        <v>186</v>
      </c>
      <c r="O16">
        <v>0.113691931540342</v>
      </c>
    </row>
    <row r="17" spans="1:15" x14ac:dyDescent="0.25">
      <c r="A17" t="s">
        <v>66</v>
      </c>
      <c r="B17" t="s">
        <v>713</v>
      </c>
      <c r="C17">
        <v>63384.889400073451</v>
      </c>
      <c r="D17">
        <v>0</v>
      </c>
      <c r="E17">
        <v>35443.697049988994</v>
      </c>
      <c r="F17">
        <v>48718.383697589961</v>
      </c>
      <c r="G17">
        <v>147546.97014765241</v>
      </c>
      <c r="H17">
        <v>126370.95543755122</v>
      </c>
      <c r="I17">
        <v>21176.014710101183</v>
      </c>
      <c r="J17">
        <v>975.13097332110772</v>
      </c>
      <c r="K17">
        <v>0</v>
      </c>
      <c r="L17">
        <v>125395.82446423011</v>
      </c>
      <c r="M17">
        <v>572</v>
      </c>
      <c r="N17">
        <v>74</v>
      </c>
      <c r="O17">
        <v>0.12889429405648201</v>
      </c>
    </row>
    <row r="18" spans="1:15" x14ac:dyDescent="0.25">
      <c r="A18" t="s">
        <v>107</v>
      </c>
      <c r="B18" t="s">
        <v>717</v>
      </c>
      <c r="C18">
        <v>750920.4241567537</v>
      </c>
      <c r="D18">
        <v>0</v>
      </c>
      <c r="E18">
        <v>396618.2563007471</v>
      </c>
      <c r="F18">
        <v>545163.23070577846</v>
      </c>
      <c r="G18">
        <v>1692701.9111632793</v>
      </c>
      <c r="H18">
        <v>1561253.713321581</v>
      </c>
      <c r="I18">
        <v>131448.1978416983</v>
      </c>
      <c r="J18">
        <v>12047.284503002789</v>
      </c>
      <c r="K18">
        <v>0</v>
      </c>
      <c r="L18">
        <v>1549206.4288185781</v>
      </c>
      <c r="M18">
        <v>11148</v>
      </c>
      <c r="N18">
        <v>873</v>
      </c>
      <c r="O18">
        <v>7.8310010764262597E-2</v>
      </c>
    </row>
    <row r="19" spans="1:15" x14ac:dyDescent="0.25">
      <c r="A19" t="s">
        <v>266</v>
      </c>
      <c r="B19" t="s">
        <v>719</v>
      </c>
      <c r="C19">
        <v>1593878.0595217242</v>
      </c>
      <c r="D19">
        <v>0</v>
      </c>
      <c r="E19">
        <v>1001419.9541867417</v>
      </c>
      <c r="F19">
        <v>1376480.6053297359</v>
      </c>
      <c r="G19">
        <v>3971778.6190382019</v>
      </c>
      <c r="H19">
        <v>3415731.9804688077</v>
      </c>
      <c r="I19">
        <v>556046.63856939413</v>
      </c>
      <c r="J19">
        <v>26357.211901943392</v>
      </c>
      <c r="K19">
        <v>0</v>
      </c>
      <c r="L19">
        <v>3389374.7685668645</v>
      </c>
      <c r="M19">
        <v>17019</v>
      </c>
      <c r="N19">
        <v>1853</v>
      </c>
      <c r="O19">
        <v>0.108878312474293</v>
      </c>
    </row>
    <row r="20" spans="1:15" x14ac:dyDescent="0.25">
      <c r="A20" t="s">
        <v>338</v>
      </c>
      <c r="B20" t="s">
        <v>723</v>
      </c>
      <c r="C20">
        <v>247222.93011732632</v>
      </c>
      <c r="D20">
        <v>0</v>
      </c>
      <c r="E20">
        <v>120173.68173369349</v>
      </c>
      <c r="F20">
        <v>165711.53512075311</v>
      </c>
      <c r="G20">
        <v>533108.14697177289</v>
      </c>
      <c r="H20">
        <v>533108.14697177289</v>
      </c>
      <c r="I20">
        <v>0</v>
      </c>
      <c r="J20">
        <v>4113.6847026442847</v>
      </c>
      <c r="K20">
        <v>0</v>
      </c>
      <c r="L20">
        <v>528994.46226912865</v>
      </c>
      <c r="M20">
        <v>2856</v>
      </c>
      <c r="N20">
        <v>264</v>
      </c>
      <c r="O20">
        <v>9.2436974789915999E-2</v>
      </c>
    </row>
    <row r="21" spans="1:15" x14ac:dyDescent="0.25">
      <c r="A21" t="s">
        <v>268</v>
      </c>
      <c r="B21" t="s">
        <v>725</v>
      </c>
      <c r="C21">
        <v>753500.90671399352</v>
      </c>
      <c r="D21">
        <v>0</v>
      </c>
      <c r="E21">
        <v>398469.69006978604</v>
      </c>
      <c r="F21">
        <v>547708.07981177024</v>
      </c>
      <c r="G21">
        <v>1699678.6765955498</v>
      </c>
      <c r="H21">
        <v>1471568.8307735047</v>
      </c>
      <c r="I21">
        <v>228109.84582204511</v>
      </c>
      <c r="J21">
        <v>11355.238561682734</v>
      </c>
      <c r="K21">
        <v>0</v>
      </c>
      <c r="L21">
        <v>1460213.592211822</v>
      </c>
      <c r="M21">
        <v>6241</v>
      </c>
      <c r="N21">
        <v>876</v>
      </c>
      <c r="O21">
        <v>0.14036212145489499</v>
      </c>
    </row>
    <row r="22" spans="1:15" x14ac:dyDescent="0.25">
      <c r="A22" t="s">
        <v>270</v>
      </c>
      <c r="B22" t="s">
        <v>737</v>
      </c>
      <c r="C22">
        <v>38707.238358595554</v>
      </c>
      <c r="D22">
        <v>0</v>
      </c>
      <c r="E22">
        <v>18514.337690387576</v>
      </c>
      <c r="F22">
        <v>25448.491059917054</v>
      </c>
      <c r="G22">
        <v>82670.067108900184</v>
      </c>
      <c r="H22">
        <v>82670.067108900184</v>
      </c>
      <c r="I22">
        <v>0</v>
      </c>
      <c r="J22">
        <v>637.91670107503649</v>
      </c>
      <c r="K22">
        <v>0</v>
      </c>
      <c r="L22">
        <v>82032.150407825146</v>
      </c>
      <c r="M22">
        <v>597</v>
      </c>
      <c r="N22">
        <v>45</v>
      </c>
      <c r="O22">
        <v>7.5376884422110602E-2</v>
      </c>
    </row>
    <row r="23" spans="1:15" x14ac:dyDescent="0.25">
      <c r="A23" t="s">
        <v>348</v>
      </c>
      <c r="B23" t="s">
        <v>739</v>
      </c>
      <c r="C23">
        <v>186654.90497367189</v>
      </c>
      <c r="D23">
        <v>0</v>
      </c>
      <c r="E23">
        <v>89280.250640313447</v>
      </c>
      <c r="F23">
        <v>122718.27911115554</v>
      </c>
      <c r="G23">
        <v>398653.43472514086</v>
      </c>
      <c r="H23">
        <v>398653.43472514086</v>
      </c>
      <c r="I23">
        <v>0</v>
      </c>
      <c r="J23">
        <v>3076.1760918507316</v>
      </c>
      <c r="K23">
        <v>0</v>
      </c>
      <c r="L23">
        <v>395577.25863329013</v>
      </c>
      <c r="M23">
        <v>2035</v>
      </c>
      <c r="N23">
        <v>217</v>
      </c>
      <c r="O23">
        <v>0.106633906633907</v>
      </c>
    </row>
    <row r="24" spans="1:15" x14ac:dyDescent="0.25">
      <c r="A24" t="s">
        <v>350</v>
      </c>
      <c r="B24" t="s">
        <v>741</v>
      </c>
      <c r="C24">
        <v>14622.734491024985</v>
      </c>
      <c r="D24">
        <v>0</v>
      </c>
      <c r="E24">
        <v>6994.3053497019737</v>
      </c>
      <c r="F24">
        <v>9613.874400413104</v>
      </c>
      <c r="G24">
        <v>31230.914241140064</v>
      </c>
      <c r="H24">
        <v>30782.532684943802</v>
      </c>
      <c r="I24">
        <v>448.38155619626195</v>
      </c>
      <c r="J24">
        <v>237.53085473181827</v>
      </c>
      <c r="K24">
        <v>0</v>
      </c>
      <c r="L24">
        <v>30545.001830211982</v>
      </c>
      <c r="M24">
        <v>240</v>
      </c>
      <c r="N24">
        <v>17</v>
      </c>
      <c r="O24">
        <v>7.0833333333333304E-2</v>
      </c>
    </row>
    <row r="25" spans="1:15" x14ac:dyDescent="0.25">
      <c r="A25" t="s">
        <v>111</v>
      </c>
      <c r="B25" t="s">
        <v>751</v>
      </c>
      <c r="C25">
        <v>50749.490292380833</v>
      </c>
      <c r="D25">
        <v>0</v>
      </c>
      <c r="E25">
        <v>24274.353860730382</v>
      </c>
      <c r="F25">
        <v>33365.799389669024</v>
      </c>
      <c r="G25">
        <v>108389.64354278025</v>
      </c>
      <c r="H25">
        <v>91460.415316674509</v>
      </c>
      <c r="I25">
        <v>16929.228226105741</v>
      </c>
      <c r="J25">
        <v>705.74669234161627</v>
      </c>
      <c r="K25">
        <v>0</v>
      </c>
      <c r="L25">
        <v>90754.668624332888</v>
      </c>
      <c r="M25">
        <v>542</v>
      </c>
      <c r="N25">
        <v>59</v>
      </c>
      <c r="O25">
        <v>0.10885608856088599</v>
      </c>
    </row>
    <row r="26" spans="1:15" x14ac:dyDescent="0.25">
      <c r="A26" t="s">
        <v>360</v>
      </c>
      <c r="B26" t="s">
        <v>757</v>
      </c>
      <c r="C26">
        <v>84467.834456753146</v>
      </c>
      <c r="D26">
        <v>0</v>
      </c>
      <c r="E26">
        <v>41059.341259011955</v>
      </c>
      <c r="F26">
        <v>56618.107832923997</v>
      </c>
      <c r="G26">
        <v>182145.2835486891</v>
      </c>
      <c r="H26">
        <v>182145.2835486891</v>
      </c>
      <c r="I26">
        <v>0</v>
      </c>
      <c r="J26">
        <v>1405.5089400701306</v>
      </c>
      <c r="K26">
        <v>0</v>
      </c>
      <c r="L26">
        <v>180739.77460861896</v>
      </c>
      <c r="M26">
        <v>1091</v>
      </c>
      <c r="N26">
        <v>95</v>
      </c>
      <c r="O26">
        <v>8.7076076993583898E-2</v>
      </c>
    </row>
    <row r="27" spans="1:15" x14ac:dyDescent="0.25">
      <c r="A27" t="s">
        <v>115</v>
      </c>
      <c r="B27" t="s">
        <v>767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111</v>
      </c>
      <c r="N27">
        <v>2</v>
      </c>
      <c r="O27">
        <v>1.8018018018018001E-2</v>
      </c>
    </row>
    <row r="28" spans="1:15" x14ac:dyDescent="0.25">
      <c r="A28" t="s">
        <v>374</v>
      </c>
      <c r="B28" t="s">
        <v>775</v>
      </c>
      <c r="C28">
        <v>290734.36811567342</v>
      </c>
      <c r="D28">
        <v>0</v>
      </c>
      <c r="E28">
        <v>139063.24754113331</v>
      </c>
      <c r="F28">
        <v>191146.44396115461</v>
      </c>
      <c r="G28">
        <v>620944.05961796129</v>
      </c>
      <c r="H28">
        <v>580087.03907055233</v>
      </c>
      <c r="I28">
        <v>40857.02054740896</v>
      </c>
      <c r="J28">
        <v>4476.1934185055679</v>
      </c>
      <c r="K28">
        <v>0</v>
      </c>
      <c r="L28">
        <v>575610.84565204673</v>
      </c>
      <c r="M28">
        <v>2369</v>
      </c>
      <c r="N28">
        <v>338</v>
      </c>
      <c r="O28">
        <v>0.14267623469818499</v>
      </c>
    </row>
    <row r="29" spans="1:15" x14ac:dyDescent="0.25">
      <c r="A29" t="s">
        <v>274</v>
      </c>
      <c r="B29" t="s">
        <v>777</v>
      </c>
      <c r="C29">
        <v>76554.315864777862</v>
      </c>
      <c r="D29">
        <v>0</v>
      </c>
      <c r="E29">
        <v>0</v>
      </c>
      <c r="F29">
        <v>0</v>
      </c>
      <c r="G29">
        <v>76554.315864777862</v>
      </c>
      <c r="H29">
        <v>74226.413870186865</v>
      </c>
      <c r="I29">
        <v>2327.9019945909968</v>
      </c>
      <c r="J29">
        <v>572.76195271894551</v>
      </c>
      <c r="K29">
        <v>0</v>
      </c>
      <c r="L29">
        <v>73653.651917467912</v>
      </c>
      <c r="M29">
        <v>2275</v>
      </c>
      <c r="N29">
        <v>89</v>
      </c>
      <c r="O29">
        <v>3.9120879120879103E-2</v>
      </c>
    </row>
    <row r="30" spans="1:15" x14ac:dyDescent="0.25">
      <c r="A30" t="s">
        <v>380</v>
      </c>
      <c r="B30" t="s">
        <v>783</v>
      </c>
      <c r="C30">
        <v>361267.5580135585</v>
      </c>
      <c r="D30">
        <v>0</v>
      </c>
      <c r="E30">
        <v>172800.48511028409</v>
      </c>
      <c r="F30">
        <v>237519.24989255914</v>
      </c>
      <c r="G30">
        <v>771587.2930164017</v>
      </c>
      <c r="H30">
        <v>740582.18954482314</v>
      </c>
      <c r="I30">
        <v>31005.103471578564</v>
      </c>
      <c r="J30">
        <v>5714.640906327505</v>
      </c>
      <c r="K30">
        <v>0</v>
      </c>
      <c r="L30">
        <v>734867.54863849562</v>
      </c>
      <c r="M30">
        <v>3556</v>
      </c>
      <c r="N30">
        <v>420</v>
      </c>
      <c r="O30">
        <v>0.118110236220472</v>
      </c>
    </row>
    <row r="31" spans="1:15" x14ac:dyDescent="0.25">
      <c r="A31" t="s">
        <v>382</v>
      </c>
      <c r="B31" t="s">
        <v>785</v>
      </c>
      <c r="C31">
        <v>547922.46298723051</v>
      </c>
      <c r="D31">
        <v>0</v>
      </c>
      <c r="E31">
        <v>262080.73575059749</v>
      </c>
      <c r="F31">
        <v>360237.52900371462</v>
      </c>
      <c r="G31">
        <v>1170240.7277415427</v>
      </c>
      <c r="H31">
        <v>1170240.7277415427</v>
      </c>
      <c r="I31">
        <v>0</v>
      </c>
      <c r="J31">
        <v>9030.0653018844077</v>
      </c>
      <c r="K31">
        <v>0</v>
      </c>
      <c r="L31">
        <v>1161210.6624396583</v>
      </c>
      <c r="M31">
        <v>6325</v>
      </c>
      <c r="N31">
        <v>637</v>
      </c>
      <c r="O31">
        <v>0.100711462450593</v>
      </c>
    </row>
    <row r="32" spans="1:15" x14ac:dyDescent="0.25">
      <c r="A32" t="s">
        <v>117</v>
      </c>
      <c r="B32" t="s">
        <v>787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150</v>
      </c>
      <c r="N32">
        <v>7</v>
      </c>
      <c r="O32">
        <v>4.6666666666666697E-2</v>
      </c>
    </row>
    <row r="33" spans="1:15" x14ac:dyDescent="0.25">
      <c r="A33" t="s">
        <v>119</v>
      </c>
      <c r="B33" t="s">
        <v>789</v>
      </c>
      <c r="C33">
        <v>164290.72281092772</v>
      </c>
      <c r="D33">
        <v>0</v>
      </c>
      <c r="E33">
        <v>78583.077752533951</v>
      </c>
      <c r="F33">
        <v>108014.70649875901</v>
      </c>
      <c r="G33">
        <v>350888.50706222071</v>
      </c>
      <c r="H33">
        <v>333990.47963164031</v>
      </c>
      <c r="I33">
        <v>16898.027430580405</v>
      </c>
      <c r="J33">
        <v>2577.2097738402285</v>
      </c>
      <c r="K33">
        <v>0</v>
      </c>
      <c r="L33">
        <v>331413.2698578001</v>
      </c>
      <c r="M33">
        <v>2204</v>
      </c>
      <c r="N33">
        <v>191</v>
      </c>
      <c r="O33">
        <v>8.6660617059891101E-2</v>
      </c>
    </row>
    <row r="34" spans="1:15" x14ac:dyDescent="0.25">
      <c r="A34" t="s">
        <v>121</v>
      </c>
      <c r="B34" t="s">
        <v>791</v>
      </c>
      <c r="C34">
        <v>1815799.5594443385</v>
      </c>
      <c r="D34">
        <v>0</v>
      </c>
      <c r="E34">
        <v>1160643.258324075</v>
      </c>
      <c r="F34">
        <v>1595337.628445022</v>
      </c>
      <c r="G34">
        <v>4571780.4462134354</v>
      </c>
      <c r="H34">
        <v>3963888.530448575</v>
      </c>
      <c r="I34">
        <v>607891.91576486034</v>
      </c>
      <c r="J34">
        <v>30587.016355532869</v>
      </c>
      <c r="K34">
        <v>0</v>
      </c>
      <c r="L34">
        <v>3933301.5140930424</v>
      </c>
      <c r="M34">
        <v>24249</v>
      </c>
      <c r="N34">
        <v>2111</v>
      </c>
      <c r="O34">
        <v>8.7055136294280203E-2</v>
      </c>
    </row>
    <row r="35" spans="1:15" x14ac:dyDescent="0.25">
      <c r="A35" t="s">
        <v>384</v>
      </c>
      <c r="B35" t="s">
        <v>793</v>
      </c>
      <c r="C35">
        <v>340623.69755564077</v>
      </c>
      <c r="D35">
        <v>0</v>
      </c>
      <c r="E35">
        <v>162926.17167541065</v>
      </c>
      <c r="F35">
        <v>223946.72132727003</v>
      </c>
      <c r="G35">
        <v>727496.59055832145</v>
      </c>
      <c r="H35">
        <v>727496.59055832145</v>
      </c>
      <c r="I35">
        <v>0</v>
      </c>
      <c r="J35">
        <v>5613.6669694603206</v>
      </c>
      <c r="K35">
        <v>0</v>
      </c>
      <c r="L35">
        <v>721882.92358886113</v>
      </c>
      <c r="M35">
        <v>3543</v>
      </c>
      <c r="N35">
        <v>396</v>
      </c>
      <c r="O35">
        <v>0.111769686706181</v>
      </c>
    </row>
    <row r="36" spans="1:15" x14ac:dyDescent="0.25">
      <c r="A36" t="s">
        <v>123</v>
      </c>
      <c r="B36" t="s">
        <v>801</v>
      </c>
      <c r="C36">
        <v>258908.41657638355</v>
      </c>
      <c r="D36">
        <v>0</v>
      </c>
      <c r="E36">
        <v>123840.34766237024</v>
      </c>
      <c r="F36">
        <v>170222.12908966735</v>
      </c>
      <c r="G36">
        <v>552970.89332842117</v>
      </c>
      <c r="H36">
        <v>544850.82852350536</v>
      </c>
      <c r="I36">
        <v>8120.0648049158044</v>
      </c>
      <c r="J36">
        <v>4204.2961287531843</v>
      </c>
      <c r="K36">
        <v>0</v>
      </c>
      <c r="L36">
        <v>540646.53239475214</v>
      </c>
      <c r="M36">
        <v>4662</v>
      </c>
      <c r="N36">
        <v>301</v>
      </c>
      <c r="O36">
        <v>6.4564564564564594E-2</v>
      </c>
    </row>
    <row r="37" spans="1:15" x14ac:dyDescent="0.25">
      <c r="A37" t="s">
        <v>125</v>
      </c>
      <c r="B37" t="s">
        <v>807</v>
      </c>
      <c r="C37">
        <v>2019657.6814662749</v>
      </c>
      <c r="D37">
        <v>0</v>
      </c>
      <c r="E37">
        <v>1324598.004315618</v>
      </c>
      <c r="F37">
        <v>1820698.1548311764</v>
      </c>
      <c r="G37">
        <v>5164953.840613069</v>
      </c>
      <c r="H37">
        <v>4347841.9011711953</v>
      </c>
      <c r="I37">
        <v>817111.93944187369</v>
      </c>
      <c r="J37">
        <v>33549.760625419221</v>
      </c>
      <c r="K37">
        <v>0</v>
      </c>
      <c r="L37">
        <v>4314292.1405457761</v>
      </c>
      <c r="M37">
        <v>22804</v>
      </c>
      <c r="N37">
        <v>2348</v>
      </c>
      <c r="O37">
        <v>0.102964392211893</v>
      </c>
    </row>
    <row r="38" spans="1:15" x14ac:dyDescent="0.25">
      <c r="A38" t="s">
        <v>276</v>
      </c>
      <c r="B38" t="s">
        <v>809</v>
      </c>
      <c r="C38">
        <v>2276845.7763378317</v>
      </c>
      <c r="D38">
        <v>0</v>
      </c>
      <c r="E38">
        <v>1570632.9807345469</v>
      </c>
      <c r="F38">
        <v>2158880.3249162962</v>
      </c>
      <c r="G38">
        <v>6006359.0819886755</v>
      </c>
      <c r="H38">
        <v>6006359.0819886755</v>
      </c>
      <c r="I38">
        <v>0</v>
      </c>
      <c r="J38">
        <v>46347.570590538438</v>
      </c>
      <c r="K38">
        <v>0</v>
      </c>
      <c r="L38">
        <v>5960011.5113981366</v>
      </c>
      <c r="M38">
        <v>26645</v>
      </c>
      <c r="N38">
        <v>2647</v>
      </c>
      <c r="O38">
        <v>9.9343216363295198E-2</v>
      </c>
    </row>
    <row r="39" spans="1:15" x14ac:dyDescent="0.25">
      <c r="A39" t="s">
        <v>129</v>
      </c>
      <c r="B39" t="s">
        <v>817</v>
      </c>
      <c r="C39">
        <v>313958.71113083046</v>
      </c>
      <c r="D39">
        <v>0</v>
      </c>
      <c r="E39">
        <v>150171.85015536589</v>
      </c>
      <c r="F39">
        <v>206415.53859710493</v>
      </c>
      <c r="G39">
        <v>670546.0998833013</v>
      </c>
      <c r="H39">
        <v>627963.66677285358</v>
      </c>
      <c r="I39">
        <v>42582.433110447717</v>
      </c>
      <c r="J39">
        <v>4845.6294365290933</v>
      </c>
      <c r="K39">
        <v>0</v>
      </c>
      <c r="L39">
        <v>623118.03733632446</v>
      </c>
      <c r="M39">
        <v>4064</v>
      </c>
      <c r="N39">
        <v>365</v>
      </c>
      <c r="O39">
        <v>8.9812992125984203E-2</v>
      </c>
    </row>
    <row r="40" spans="1:15" x14ac:dyDescent="0.25">
      <c r="A40" t="s">
        <v>131</v>
      </c>
      <c r="B40" t="s">
        <v>823</v>
      </c>
      <c r="C40">
        <v>43008.042620661734</v>
      </c>
      <c r="D40">
        <v>0</v>
      </c>
      <c r="E40">
        <v>20571.486322652872</v>
      </c>
      <c r="F40">
        <v>28276.101177685607</v>
      </c>
      <c r="G40">
        <v>91855.630121000213</v>
      </c>
      <c r="H40">
        <v>89269.344786337009</v>
      </c>
      <c r="I40">
        <v>2586.2853346632037</v>
      </c>
      <c r="J40">
        <v>688.83947872227282</v>
      </c>
      <c r="K40">
        <v>0</v>
      </c>
      <c r="L40">
        <v>88580.505307614731</v>
      </c>
      <c r="M40">
        <v>994</v>
      </c>
      <c r="N40">
        <v>50</v>
      </c>
      <c r="O40">
        <v>5.0301810865191199E-2</v>
      </c>
    </row>
    <row r="41" spans="1:15" x14ac:dyDescent="0.25">
      <c r="A41" t="s">
        <v>135</v>
      </c>
      <c r="B41" t="s">
        <v>837</v>
      </c>
      <c r="C41">
        <v>186654.90497367189</v>
      </c>
      <c r="D41">
        <v>0</v>
      </c>
      <c r="E41">
        <v>89280.250640313447</v>
      </c>
      <c r="F41">
        <v>122718.27911115554</v>
      </c>
      <c r="G41">
        <v>398653.43472514086</v>
      </c>
      <c r="H41">
        <v>353211.21165740216</v>
      </c>
      <c r="I41">
        <v>45442.223067738698</v>
      </c>
      <c r="J41">
        <v>2725.5249548351799</v>
      </c>
      <c r="K41">
        <v>0</v>
      </c>
      <c r="L41">
        <v>350485.68670256698</v>
      </c>
      <c r="M41">
        <v>2798</v>
      </c>
      <c r="N41">
        <v>217</v>
      </c>
      <c r="O41">
        <v>7.7555396711937105E-2</v>
      </c>
    </row>
    <row r="42" spans="1:15" x14ac:dyDescent="0.25">
      <c r="A42" t="s">
        <v>137</v>
      </c>
      <c r="B42" t="s">
        <v>843</v>
      </c>
      <c r="C42">
        <v>13762.573638611757</v>
      </c>
      <c r="D42">
        <v>0</v>
      </c>
      <c r="E42">
        <v>6582.8756232489168</v>
      </c>
      <c r="F42">
        <v>9048.3523768593932</v>
      </c>
      <c r="G42">
        <v>29393.80163872007</v>
      </c>
      <c r="H42">
        <v>27704.279416449419</v>
      </c>
      <c r="I42">
        <v>1689.5222222706507</v>
      </c>
      <c r="J42">
        <v>213.77776925863643</v>
      </c>
      <c r="K42">
        <v>0</v>
      </c>
      <c r="L42">
        <v>27490.501647190784</v>
      </c>
      <c r="M42">
        <v>205</v>
      </c>
      <c r="N42">
        <v>16</v>
      </c>
      <c r="O42">
        <v>7.8048780487804906E-2</v>
      </c>
    </row>
    <row r="43" spans="1:15" x14ac:dyDescent="0.25">
      <c r="A43" t="s">
        <v>139</v>
      </c>
      <c r="B43" t="s">
        <v>845</v>
      </c>
      <c r="C43">
        <v>48757.855662028225</v>
      </c>
      <c r="D43">
        <v>0</v>
      </c>
      <c r="E43">
        <v>23700.920564145108</v>
      </c>
      <c r="F43">
        <v>32681.99720437076</v>
      </c>
      <c r="G43">
        <v>105140.7734305441</v>
      </c>
      <c r="H43">
        <v>105140.7734305441</v>
      </c>
      <c r="I43">
        <v>0</v>
      </c>
      <c r="J43">
        <v>811.3100385770673</v>
      </c>
      <c r="K43">
        <v>0</v>
      </c>
      <c r="L43">
        <v>104329.46339196703</v>
      </c>
      <c r="M43">
        <v>897</v>
      </c>
      <c r="N43">
        <v>45</v>
      </c>
      <c r="O43">
        <v>5.0167224080267601E-2</v>
      </c>
    </row>
    <row r="44" spans="1:15" x14ac:dyDescent="0.25">
      <c r="A44" t="s">
        <v>141</v>
      </c>
      <c r="B44" t="s">
        <v>852</v>
      </c>
      <c r="C44">
        <v>101636.0934926786</v>
      </c>
      <c r="D44">
        <v>0</v>
      </c>
      <c r="E44">
        <v>0</v>
      </c>
      <c r="F44">
        <v>0</v>
      </c>
      <c r="G44">
        <v>101636.0934926786</v>
      </c>
      <c r="H44">
        <v>101636.0934926786</v>
      </c>
      <c r="I44">
        <v>0</v>
      </c>
      <c r="J44">
        <v>784.26646715547918</v>
      </c>
      <c r="K44">
        <v>0</v>
      </c>
      <c r="L44">
        <v>100851.82702552312</v>
      </c>
      <c r="M44">
        <v>2170</v>
      </c>
      <c r="N44">
        <v>97</v>
      </c>
      <c r="O44">
        <v>4.4700460829493097E-2</v>
      </c>
    </row>
    <row r="45" spans="1:15" x14ac:dyDescent="0.25">
      <c r="A45" t="s">
        <v>79</v>
      </c>
      <c r="B45" t="s">
        <v>857</v>
      </c>
      <c r="C45">
        <v>40033.560027266787</v>
      </c>
      <c r="D45">
        <v>0</v>
      </c>
      <c r="E45">
        <v>31895.053935913653</v>
      </c>
      <c r="F45">
        <v>43840.671403821565</v>
      </c>
      <c r="G45">
        <v>115769.28536700201</v>
      </c>
      <c r="H45">
        <v>102338.27253980823</v>
      </c>
      <c r="I45">
        <v>13431.012827193787</v>
      </c>
      <c r="J45">
        <v>789.68477340553807</v>
      </c>
      <c r="K45">
        <v>0</v>
      </c>
      <c r="L45">
        <v>101548.58776640269</v>
      </c>
      <c r="M45">
        <v>309</v>
      </c>
      <c r="N45">
        <v>47</v>
      </c>
      <c r="O45">
        <v>0.15060682034379799</v>
      </c>
    </row>
    <row r="46" spans="1:15" x14ac:dyDescent="0.25">
      <c r="A46" t="s">
        <v>1421</v>
      </c>
      <c r="B46" t="s">
        <v>1422</v>
      </c>
      <c r="C46">
        <v>29240.302850804237</v>
      </c>
      <c r="D46">
        <v>0</v>
      </c>
      <c r="E46">
        <v>19086.506841635844</v>
      </c>
      <c r="F46">
        <v>26234.954058151194</v>
      </c>
      <c r="G46">
        <v>74561.763750591272</v>
      </c>
      <c r="H46">
        <v>61723.376774988232</v>
      </c>
      <c r="I46">
        <v>12838.38697560304</v>
      </c>
      <c r="J46">
        <v>476.2833062618019</v>
      </c>
      <c r="K46">
        <v>0</v>
      </c>
      <c r="L46">
        <v>61247.093468726431</v>
      </c>
      <c r="M46">
        <v>255</v>
      </c>
      <c r="N46">
        <v>34</v>
      </c>
      <c r="O46">
        <v>0.13353191341044701</v>
      </c>
    </row>
    <row r="47" spans="1:15" x14ac:dyDescent="0.25">
      <c r="A47" t="s">
        <v>143</v>
      </c>
      <c r="B47" t="s">
        <v>865</v>
      </c>
      <c r="C47">
        <v>736297.6896657286</v>
      </c>
      <c r="D47">
        <v>0</v>
      </c>
      <c r="E47">
        <v>0</v>
      </c>
      <c r="F47">
        <v>0</v>
      </c>
      <c r="G47">
        <v>736297.6896657286</v>
      </c>
      <c r="H47">
        <v>674461.16449352552</v>
      </c>
      <c r="I47">
        <v>61836.525172203081</v>
      </c>
      <c r="J47">
        <v>5204.4235126865779</v>
      </c>
      <c r="K47">
        <v>0</v>
      </c>
      <c r="L47">
        <v>669256.74098083889</v>
      </c>
      <c r="M47">
        <v>22715</v>
      </c>
      <c r="N47">
        <v>856</v>
      </c>
      <c r="O47">
        <v>3.7684349548756303E-2</v>
      </c>
    </row>
    <row r="48" spans="1:15" x14ac:dyDescent="0.25">
      <c r="A48" t="s">
        <v>147</v>
      </c>
      <c r="B48" t="s">
        <v>869</v>
      </c>
      <c r="C48">
        <v>98058.33717510874</v>
      </c>
      <c r="D48">
        <v>0</v>
      </c>
      <c r="E48">
        <v>46902.988815648525</v>
      </c>
      <c r="F48">
        <v>64469.510685123183</v>
      </c>
      <c r="G48">
        <v>209430.83667588045</v>
      </c>
      <c r="H48">
        <v>193929.95591514595</v>
      </c>
      <c r="I48">
        <v>15500.880760734493</v>
      </c>
      <c r="J48">
        <v>1496.4443848104552</v>
      </c>
      <c r="K48">
        <v>0</v>
      </c>
      <c r="L48">
        <v>192433.5115303355</v>
      </c>
      <c r="M48">
        <v>1354</v>
      </c>
      <c r="N48">
        <v>114</v>
      </c>
      <c r="O48">
        <v>8.4194977843426902E-2</v>
      </c>
    </row>
    <row r="49" spans="1:15" x14ac:dyDescent="0.25">
      <c r="A49" t="s">
        <v>436</v>
      </c>
      <c r="B49" t="s">
        <v>877</v>
      </c>
      <c r="C49">
        <v>3694390.8611148419</v>
      </c>
      <c r="D49">
        <v>0</v>
      </c>
      <c r="E49">
        <v>2926705.3591238237</v>
      </c>
      <c r="F49">
        <v>4022840.9145493321</v>
      </c>
      <c r="G49">
        <v>10643937.134787997</v>
      </c>
      <c r="H49">
        <v>9926183.893273484</v>
      </c>
      <c r="I49">
        <v>717753.24151451327</v>
      </c>
      <c r="J49">
        <v>76594.572919845581</v>
      </c>
      <c r="K49">
        <v>0</v>
      </c>
      <c r="L49">
        <v>9849589.3203536384</v>
      </c>
      <c r="M49">
        <v>29989</v>
      </c>
      <c r="N49">
        <v>4295</v>
      </c>
      <c r="O49">
        <v>0.14321918036613401</v>
      </c>
    </row>
    <row r="50" spans="1:15" x14ac:dyDescent="0.25">
      <c r="A50" t="s">
        <v>278</v>
      </c>
      <c r="B50" t="s">
        <v>883</v>
      </c>
      <c r="C50">
        <v>49889.329439967616</v>
      </c>
      <c r="D50">
        <v>0</v>
      </c>
      <c r="E50">
        <v>23862.924134277324</v>
      </c>
      <c r="F50">
        <v>32800.277366115311</v>
      </c>
      <c r="G50">
        <v>106552.53094036024</v>
      </c>
      <c r="H50">
        <v>98988.091631158532</v>
      </c>
      <c r="I50">
        <v>7564.4393092017126</v>
      </c>
      <c r="J50">
        <v>763.83338090049551</v>
      </c>
      <c r="K50">
        <v>0</v>
      </c>
      <c r="L50">
        <v>98224.258250258034</v>
      </c>
      <c r="M50">
        <v>736</v>
      </c>
      <c r="N50">
        <v>58</v>
      </c>
      <c r="O50">
        <v>7.8804347826087001E-2</v>
      </c>
    </row>
    <row r="51" spans="1:15" x14ac:dyDescent="0.25">
      <c r="A51" t="s">
        <v>149</v>
      </c>
      <c r="B51" t="s">
        <v>887</v>
      </c>
      <c r="C51">
        <v>108380.2674040675</v>
      </c>
      <c r="D51">
        <v>0</v>
      </c>
      <c r="E51">
        <v>52075.262084600537</v>
      </c>
      <c r="F51">
        <v>71808.331885659689</v>
      </c>
      <c r="G51">
        <v>232263.86137432774</v>
      </c>
      <c r="H51">
        <v>232263.86137432774</v>
      </c>
      <c r="I51">
        <v>0</v>
      </c>
      <c r="J51">
        <v>1792.2447798631272</v>
      </c>
      <c r="K51">
        <v>0</v>
      </c>
      <c r="L51">
        <v>230471.61659446461</v>
      </c>
      <c r="M51">
        <v>1926</v>
      </c>
      <c r="N51">
        <v>126</v>
      </c>
      <c r="O51">
        <v>6.54205607476636E-2</v>
      </c>
    </row>
    <row r="52" spans="1:15" x14ac:dyDescent="0.25">
      <c r="A52" t="s">
        <v>282</v>
      </c>
      <c r="B52" t="s">
        <v>893</v>
      </c>
      <c r="C52">
        <v>140206.21894335721</v>
      </c>
      <c r="D52">
        <v>0</v>
      </c>
      <c r="E52">
        <v>67063.045411848332</v>
      </c>
      <c r="F52">
        <v>92180.089839255073</v>
      </c>
      <c r="G52">
        <v>299449.35419446061</v>
      </c>
      <c r="H52">
        <v>269472.02204540896</v>
      </c>
      <c r="I52">
        <v>29977.332149051654</v>
      </c>
      <c r="J52">
        <v>2079.3584588335257</v>
      </c>
      <c r="K52">
        <v>0</v>
      </c>
      <c r="L52">
        <v>267392.66358657542</v>
      </c>
      <c r="M52">
        <v>1236</v>
      </c>
      <c r="N52">
        <v>163</v>
      </c>
      <c r="O52">
        <v>0.131877022653722</v>
      </c>
    </row>
    <row r="53" spans="1:15" x14ac:dyDescent="0.25">
      <c r="A53" t="s">
        <v>151</v>
      </c>
      <c r="B53" t="s">
        <v>895</v>
      </c>
      <c r="C53">
        <v>500613.61610450258</v>
      </c>
      <c r="D53">
        <v>0</v>
      </c>
      <c r="E53">
        <v>239452.10079567935</v>
      </c>
      <c r="F53">
        <v>329133.81770826073</v>
      </c>
      <c r="G53">
        <v>1069199.5346084428</v>
      </c>
      <c r="H53">
        <v>929546.44815113943</v>
      </c>
      <c r="I53">
        <v>139653.08645730338</v>
      </c>
      <c r="J53">
        <v>7172.7679006172402</v>
      </c>
      <c r="K53">
        <v>0</v>
      </c>
      <c r="L53">
        <v>922373.68025052221</v>
      </c>
      <c r="M53">
        <v>10259</v>
      </c>
      <c r="N53">
        <v>582</v>
      </c>
      <c r="O53">
        <v>5.6730675504435099E-2</v>
      </c>
    </row>
    <row r="54" spans="1:15" x14ac:dyDescent="0.25">
      <c r="A54" t="s">
        <v>153</v>
      </c>
      <c r="B54" t="s">
        <v>897</v>
      </c>
      <c r="C54">
        <v>1217987.7670171401</v>
      </c>
      <c r="D54">
        <v>0</v>
      </c>
      <c r="E54">
        <v>0</v>
      </c>
      <c r="F54">
        <v>0</v>
      </c>
      <c r="G54">
        <v>1217987.7670171401</v>
      </c>
      <c r="H54">
        <v>1106972.768390961</v>
      </c>
      <c r="I54">
        <v>111014.99862617906</v>
      </c>
      <c r="J54">
        <v>8541.8633525681289</v>
      </c>
      <c r="K54">
        <v>0</v>
      </c>
      <c r="L54">
        <v>1098430.9050383929</v>
      </c>
      <c r="M54">
        <v>35606</v>
      </c>
      <c r="N54">
        <v>1416</v>
      </c>
      <c r="O54">
        <v>3.9768578329495E-2</v>
      </c>
    </row>
    <row r="55" spans="1:15" x14ac:dyDescent="0.25">
      <c r="A55" t="s">
        <v>155</v>
      </c>
      <c r="B55" t="s">
        <v>899</v>
      </c>
      <c r="C55">
        <v>307077.42431152478</v>
      </c>
      <c r="D55">
        <v>0</v>
      </c>
      <c r="E55">
        <v>146880.41234374148</v>
      </c>
      <c r="F55">
        <v>201891.3624086752</v>
      </c>
      <c r="G55">
        <v>655849.19906394137</v>
      </c>
      <c r="H55">
        <v>561531.61135620589</v>
      </c>
      <c r="I55">
        <v>94317.587707735482</v>
      </c>
      <c r="J55">
        <v>4333.0120029276695</v>
      </c>
      <c r="K55">
        <v>0</v>
      </c>
      <c r="L55">
        <v>557198.59935327817</v>
      </c>
      <c r="M55">
        <v>2643</v>
      </c>
      <c r="N55">
        <v>357</v>
      </c>
      <c r="O55">
        <v>0.13507377979568699</v>
      </c>
    </row>
    <row r="56" spans="1:15" x14ac:dyDescent="0.25">
      <c r="A56" t="s">
        <v>157</v>
      </c>
      <c r="B56" t="s">
        <v>901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27</v>
      </c>
      <c r="N56">
        <v>9</v>
      </c>
      <c r="O56">
        <v>0.33333333333333298</v>
      </c>
    </row>
    <row r="57" spans="1:15" x14ac:dyDescent="0.25">
      <c r="A57" t="s">
        <v>159</v>
      </c>
      <c r="B57" t="s">
        <v>903</v>
      </c>
      <c r="C57">
        <v>66232.385635819053</v>
      </c>
      <c r="D57">
        <v>0</v>
      </c>
      <c r="E57">
        <v>31680.088936885408</v>
      </c>
      <c r="F57">
        <v>43545.195813635837</v>
      </c>
      <c r="G57">
        <v>141457.67038634029</v>
      </c>
      <c r="H57">
        <v>121706.4918635683</v>
      </c>
      <c r="I57">
        <v>19751.178522771996</v>
      </c>
      <c r="J57">
        <v>939.13802787592965</v>
      </c>
      <c r="K57">
        <v>0</v>
      </c>
      <c r="L57">
        <v>120767.35383569237</v>
      </c>
      <c r="M57">
        <v>827</v>
      </c>
      <c r="N57">
        <v>77</v>
      </c>
      <c r="O57">
        <v>9.3107617896009701E-2</v>
      </c>
    </row>
    <row r="58" spans="1:15" x14ac:dyDescent="0.25">
      <c r="A58" t="s">
        <v>161</v>
      </c>
      <c r="B58" t="s">
        <v>916</v>
      </c>
      <c r="C58">
        <v>288426.75180354732</v>
      </c>
      <c r="D58">
        <v>0</v>
      </c>
      <c r="E58">
        <v>140202.62868930915</v>
      </c>
      <c r="F58">
        <v>193330.12430754534</v>
      </c>
      <c r="G58">
        <v>621959.50480040186</v>
      </c>
      <c r="H58">
        <v>621959.50480040186</v>
      </c>
      <c r="I58">
        <v>0</v>
      </c>
      <c r="J58">
        <v>4799.2988197516661</v>
      </c>
      <c r="K58">
        <v>0</v>
      </c>
      <c r="L58">
        <v>617160.20598065015</v>
      </c>
      <c r="M58">
        <v>4352</v>
      </c>
      <c r="N58">
        <v>307</v>
      </c>
      <c r="O58">
        <v>7.0542279411764705E-2</v>
      </c>
    </row>
    <row r="59" spans="1:15" x14ac:dyDescent="0.25">
      <c r="A59" t="s">
        <v>163</v>
      </c>
      <c r="B59" t="s">
        <v>928</v>
      </c>
      <c r="C59">
        <v>1294542.0828819177</v>
      </c>
      <c r="D59">
        <v>0</v>
      </c>
      <c r="E59">
        <v>786653.63697824569</v>
      </c>
      <c r="F59">
        <v>1081278.1090346978</v>
      </c>
      <c r="G59">
        <v>3162473.828894861</v>
      </c>
      <c r="H59">
        <v>2669378.6721102325</v>
      </c>
      <c r="I59">
        <v>493095.15678462852</v>
      </c>
      <c r="J59">
        <v>20598.038637001358</v>
      </c>
      <c r="K59">
        <v>0</v>
      </c>
      <c r="L59">
        <v>2648780.633473231</v>
      </c>
      <c r="M59">
        <v>12544</v>
      </c>
      <c r="N59">
        <v>1505</v>
      </c>
      <c r="O59">
        <v>0.11997767857142901</v>
      </c>
    </row>
    <row r="60" spans="1:15" x14ac:dyDescent="0.25">
      <c r="A60" t="s">
        <v>465</v>
      </c>
      <c r="B60" t="s">
        <v>930</v>
      </c>
      <c r="C60">
        <v>64512.063930992575</v>
      </c>
      <c r="D60">
        <v>0</v>
      </c>
      <c r="E60">
        <v>30857.229483979296</v>
      </c>
      <c r="F60">
        <v>42414.151766528419</v>
      </c>
      <c r="G60">
        <v>137783.44518150028</v>
      </c>
      <c r="H60">
        <v>121188.37109456249</v>
      </c>
      <c r="I60">
        <v>16595.074086937791</v>
      </c>
      <c r="J60">
        <v>935.1399920295662</v>
      </c>
      <c r="K60">
        <v>0</v>
      </c>
      <c r="L60">
        <v>120253.23110253293</v>
      </c>
      <c r="M60">
        <v>572</v>
      </c>
      <c r="N60">
        <v>75</v>
      </c>
      <c r="O60">
        <v>0.13111888111888101</v>
      </c>
    </row>
    <row r="61" spans="1:15" x14ac:dyDescent="0.25">
      <c r="A61" t="s">
        <v>165</v>
      </c>
      <c r="B61" t="s">
        <v>932</v>
      </c>
      <c r="C61">
        <v>887685.99969045783</v>
      </c>
      <c r="D61">
        <v>0</v>
      </c>
      <c r="E61">
        <v>494744.24605980143</v>
      </c>
      <c r="F61">
        <v>680040.23332333902</v>
      </c>
      <c r="G61">
        <v>2062470.479073598</v>
      </c>
      <c r="H61">
        <v>1845362.7878616955</v>
      </c>
      <c r="I61">
        <v>217107.69121190254</v>
      </c>
      <c r="J61">
        <v>14239.588560738333</v>
      </c>
      <c r="K61">
        <v>0</v>
      </c>
      <c r="L61">
        <v>1831123.1993009571</v>
      </c>
      <c r="M61">
        <v>12016</v>
      </c>
      <c r="N61">
        <v>1032</v>
      </c>
      <c r="O61">
        <v>8.5885486018641793E-2</v>
      </c>
    </row>
    <row r="62" spans="1:15" x14ac:dyDescent="0.25">
      <c r="A62" t="s">
        <v>167</v>
      </c>
      <c r="B62" t="s">
        <v>934</v>
      </c>
      <c r="C62">
        <v>180633.77900677925</v>
      </c>
      <c r="D62">
        <v>0</v>
      </c>
      <c r="E62">
        <v>86400.242555142046</v>
      </c>
      <c r="F62">
        <v>118759.62494627957</v>
      </c>
      <c r="G62">
        <v>385793.64650820085</v>
      </c>
      <c r="H62">
        <v>343163.28469214559</v>
      </c>
      <c r="I62">
        <v>42630.361816055258</v>
      </c>
      <c r="J62">
        <v>2647.9909616200071</v>
      </c>
      <c r="K62">
        <v>0</v>
      </c>
      <c r="L62">
        <v>340515.29373052559</v>
      </c>
      <c r="M62">
        <v>1801</v>
      </c>
      <c r="N62">
        <v>210</v>
      </c>
      <c r="O62">
        <v>0.116601887840089</v>
      </c>
    </row>
    <row r="63" spans="1:15" x14ac:dyDescent="0.25">
      <c r="A63" t="s">
        <v>169</v>
      </c>
      <c r="B63" t="s">
        <v>936</v>
      </c>
      <c r="C63">
        <v>126358.38650441123</v>
      </c>
      <c r="D63">
        <v>0</v>
      </c>
      <c r="E63">
        <v>0</v>
      </c>
      <c r="F63">
        <v>0</v>
      </c>
      <c r="G63">
        <v>126358.38650441123</v>
      </c>
      <c r="H63">
        <v>126358.38650441123</v>
      </c>
      <c r="I63">
        <v>0</v>
      </c>
      <c r="J63">
        <v>975.03398619329846</v>
      </c>
      <c r="K63">
        <v>0</v>
      </c>
      <c r="L63">
        <v>125383.35251821793</v>
      </c>
      <c r="M63">
        <v>4878</v>
      </c>
      <c r="N63">
        <v>118</v>
      </c>
      <c r="O63">
        <v>2.4190241902418998E-2</v>
      </c>
    </row>
    <row r="64" spans="1:15" x14ac:dyDescent="0.25">
      <c r="A64" t="s">
        <v>171</v>
      </c>
      <c r="B64" t="s">
        <v>938</v>
      </c>
      <c r="C64">
        <v>178913.45730195273</v>
      </c>
      <c r="D64">
        <v>0</v>
      </c>
      <c r="E64">
        <v>85577.383102235937</v>
      </c>
      <c r="F64">
        <v>117628.5808991721</v>
      </c>
      <c r="G64">
        <v>382119.42130336078</v>
      </c>
      <c r="H64">
        <v>366312.13895083132</v>
      </c>
      <c r="I64">
        <v>15807.282352529466</v>
      </c>
      <c r="J64">
        <v>2826.6171713086383</v>
      </c>
      <c r="K64">
        <v>0</v>
      </c>
      <c r="L64">
        <v>363485.52177952265</v>
      </c>
      <c r="M64">
        <v>1705</v>
      </c>
      <c r="N64">
        <v>208</v>
      </c>
      <c r="O64">
        <v>0.121994134897361</v>
      </c>
    </row>
    <row r="65" spans="1:15" x14ac:dyDescent="0.25">
      <c r="A65" t="s">
        <v>173</v>
      </c>
      <c r="B65" t="s">
        <v>944</v>
      </c>
      <c r="C65">
        <v>374169.97079975705</v>
      </c>
      <c r="D65">
        <v>0</v>
      </c>
      <c r="E65">
        <v>178971.93100707998</v>
      </c>
      <c r="F65">
        <v>246002.08024586481</v>
      </c>
      <c r="G65">
        <v>799143.98205270187</v>
      </c>
      <c r="H65">
        <v>697993.03641485982</v>
      </c>
      <c r="I65">
        <v>101150.94563784206</v>
      </c>
      <c r="J65">
        <v>5386.0052463315205</v>
      </c>
      <c r="K65">
        <v>0</v>
      </c>
      <c r="L65">
        <v>692607.03116852825</v>
      </c>
      <c r="M65">
        <v>6648</v>
      </c>
      <c r="N65">
        <v>435</v>
      </c>
      <c r="O65">
        <v>6.5433212996389906E-2</v>
      </c>
    </row>
    <row r="66" spans="1:15" x14ac:dyDescent="0.25">
      <c r="A66" t="s">
        <v>175</v>
      </c>
      <c r="B66" t="s">
        <v>958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41</v>
      </c>
      <c r="N66">
        <v>3</v>
      </c>
      <c r="O66">
        <v>7.3170731707317097E-2</v>
      </c>
    </row>
    <row r="67" spans="1:15" x14ac:dyDescent="0.25">
      <c r="A67" t="s">
        <v>286</v>
      </c>
      <c r="B67" t="s">
        <v>962</v>
      </c>
      <c r="C67">
        <v>1996433.338451117</v>
      </c>
      <c r="D67">
        <v>0</v>
      </c>
      <c r="E67">
        <v>1302380.7990871524</v>
      </c>
      <c r="F67">
        <v>1790159.9655592758</v>
      </c>
      <c r="G67">
        <v>5088974.103097545</v>
      </c>
      <c r="H67">
        <v>4281251.2164620981</v>
      </c>
      <c r="I67">
        <v>807722.88663544692</v>
      </c>
      <c r="J67">
        <v>33035.919142068327</v>
      </c>
      <c r="K67">
        <v>0</v>
      </c>
      <c r="L67">
        <v>4248215.2973200297</v>
      </c>
      <c r="M67">
        <v>16936</v>
      </c>
      <c r="N67">
        <v>2321</v>
      </c>
      <c r="O67">
        <v>0.13704534718941899</v>
      </c>
    </row>
    <row r="68" spans="1:15" x14ac:dyDescent="0.25">
      <c r="A68" t="s">
        <v>485</v>
      </c>
      <c r="B68" t="s">
        <v>964</v>
      </c>
      <c r="C68">
        <v>188375.22667849838</v>
      </c>
      <c r="D68">
        <v>0</v>
      </c>
      <c r="E68">
        <v>90103.110093219555</v>
      </c>
      <c r="F68">
        <v>123849.32315826297</v>
      </c>
      <c r="G68">
        <v>402327.65992998087</v>
      </c>
      <c r="H68">
        <v>352100.27792206168</v>
      </c>
      <c r="I68">
        <v>50227.382007919194</v>
      </c>
      <c r="J68">
        <v>2716.9525270103927</v>
      </c>
      <c r="K68">
        <v>0</v>
      </c>
      <c r="L68">
        <v>349383.32539505127</v>
      </c>
      <c r="M68">
        <v>1613</v>
      </c>
      <c r="N68">
        <v>219</v>
      </c>
      <c r="O68">
        <v>0.135771853688779</v>
      </c>
    </row>
    <row r="69" spans="1:15" x14ac:dyDescent="0.25">
      <c r="A69" t="s">
        <v>177</v>
      </c>
      <c r="B69" t="s">
        <v>976</v>
      </c>
      <c r="C69">
        <v>207392.56915397925</v>
      </c>
      <c r="D69">
        <v>0</v>
      </c>
      <c r="E69">
        <v>100812.36634326512</v>
      </c>
      <c r="F69">
        <v>139013.56557352067</v>
      </c>
      <c r="G69">
        <v>447218.50107076502</v>
      </c>
      <c r="H69">
        <v>447218.50107076502</v>
      </c>
      <c r="I69">
        <v>0</v>
      </c>
      <c r="J69">
        <v>3450.9243894404831</v>
      </c>
      <c r="K69">
        <v>0</v>
      </c>
      <c r="L69">
        <v>443767.57668132451</v>
      </c>
      <c r="M69">
        <v>2210</v>
      </c>
      <c r="N69">
        <v>208</v>
      </c>
      <c r="O69">
        <v>9.41176470588235E-2</v>
      </c>
    </row>
    <row r="70" spans="1:15" x14ac:dyDescent="0.25">
      <c r="A70" t="s">
        <v>179</v>
      </c>
      <c r="B70" t="s">
        <v>982</v>
      </c>
      <c r="C70">
        <v>492012.00758037</v>
      </c>
      <c r="D70">
        <v>0</v>
      </c>
      <c r="E70">
        <v>235337.80353114882</v>
      </c>
      <c r="F70">
        <v>323478.59747272334</v>
      </c>
      <c r="G70">
        <v>1050828.4085842422</v>
      </c>
      <c r="H70">
        <v>969649.77957572986</v>
      </c>
      <c r="I70">
        <v>81178.629008512362</v>
      </c>
      <c r="J70">
        <v>7482.2219240522763</v>
      </c>
      <c r="K70">
        <v>0</v>
      </c>
      <c r="L70">
        <v>962167.55765167763</v>
      </c>
      <c r="M70">
        <v>7166</v>
      </c>
      <c r="N70">
        <v>572</v>
      </c>
      <c r="O70">
        <v>7.9821378732905401E-2</v>
      </c>
    </row>
    <row r="71" spans="1:15" x14ac:dyDescent="0.25">
      <c r="A71" t="s">
        <v>181</v>
      </c>
      <c r="B71" t="s">
        <v>988</v>
      </c>
      <c r="C71">
        <v>1296262.4045867445</v>
      </c>
      <c r="D71">
        <v>0</v>
      </c>
      <c r="E71">
        <v>798988.07563776523</v>
      </c>
      <c r="F71">
        <v>1101751.5536431181</v>
      </c>
      <c r="G71">
        <v>3197002.0338676278</v>
      </c>
      <c r="H71">
        <v>3197002.0338676278</v>
      </c>
      <c r="I71">
        <v>0</v>
      </c>
      <c r="J71">
        <v>24669.400450449826</v>
      </c>
      <c r="K71">
        <v>0</v>
      </c>
      <c r="L71">
        <v>3172332.6334171779</v>
      </c>
      <c r="M71">
        <v>17009</v>
      </c>
      <c r="N71">
        <v>1507</v>
      </c>
      <c r="O71">
        <v>8.86001528602504E-2</v>
      </c>
    </row>
    <row r="72" spans="1:15" x14ac:dyDescent="0.25">
      <c r="A72" t="s">
        <v>183</v>
      </c>
      <c r="B72" t="s">
        <v>992</v>
      </c>
      <c r="C72">
        <v>872203.10434701981</v>
      </c>
      <c r="D72">
        <v>0</v>
      </c>
      <c r="E72">
        <v>0</v>
      </c>
      <c r="F72">
        <v>0</v>
      </c>
      <c r="G72">
        <v>872203.10434701981</v>
      </c>
      <c r="H72">
        <v>778988.15624217771</v>
      </c>
      <c r="I72">
        <v>93214.9481048421</v>
      </c>
      <c r="J72">
        <v>6010.9973559346017</v>
      </c>
      <c r="K72">
        <v>0</v>
      </c>
      <c r="L72">
        <v>772977.15888624312</v>
      </c>
      <c r="M72">
        <v>26236</v>
      </c>
      <c r="N72">
        <v>1014</v>
      </c>
      <c r="O72">
        <v>3.8649184326879103E-2</v>
      </c>
    </row>
    <row r="73" spans="1:15" x14ac:dyDescent="0.25">
      <c r="A73" t="s">
        <v>185</v>
      </c>
      <c r="B73" t="s">
        <v>994</v>
      </c>
      <c r="C73">
        <v>384569.00240472978</v>
      </c>
      <c r="D73">
        <v>0</v>
      </c>
      <c r="E73">
        <v>186936.83825241221</v>
      </c>
      <c r="F73">
        <v>257773.49907672699</v>
      </c>
      <c r="G73">
        <v>829279.33973386895</v>
      </c>
      <c r="H73">
        <v>829279.33973386895</v>
      </c>
      <c r="I73">
        <v>0</v>
      </c>
      <c r="J73">
        <v>6399.0650930022211</v>
      </c>
      <c r="K73">
        <v>0</v>
      </c>
      <c r="L73">
        <v>822880.27464086679</v>
      </c>
      <c r="M73">
        <v>6006</v>
      </c>
      <c r="N73">
        <v>414</v>
      </c>
      <c r="O73">
        <v>6.8931068931068901E-2</v>
      </c>
    </row>
    <row r="74" spans="1:15" x14ac:dyDescent="0.25">
      <c r="A74" t="s">
        <v>187</v>
      </c>
      <c r="B74" t="s">
        <v>996</v>
      </c>
      <c r="C74">
        <v>14622.734491024985</v>
      </c>
      <c r="D74">
        <v>0</v>
      </c>
      <c r="E74">
        <v>6994.3053497019737</v>
      </c>
      <c r="F74">
        <v>9613.874400413104</v>
      </c>
      <c r="G74">
        <v>31230.914241140064</v>
      </c>
      <c r="H74">
        <v>26196.967318392428</v>
      </c>
      <c r="I74">
        <v>5033.9469227476366</v>
      </c>
      <c r="J74">
        <v>202.14672074604258</v>
      </c>
      <c r="K74">
        <v>0</v>
      </c>
      <c r="L74">
        <v>25994.820597646387</v>
      </c>
      <c r="M74">
        <v>126</v>
      </c>
      <c r="N74">
        <v>17</v>
      </c>
      <c r="O74">
        <v>0.134920634920635</v>
      </c>
    </row>
    <row r="75" spans="1:15" x14ac:dyDescent="0.25">
      <c r="A75" t="s">
        <v>288</v>
      </c>
      <c r="B75" t="s">
        <v>1004</v>
      </c>
      <c r="C75">
        <v>28155.944818917713</v>
      </c>
      <c r="D75">
        <v>0</v>
      </c>
      <c r="E75">
        <v>13686.447086337319</v>
      </c>
      <c r="F75">
        <v>18872.702610974666</v>
      </c>
      <c r="G75">
        <v>60715.094516229699</v>
      </c>
      <c r="H75">
        <v>60715.094516229699</v>
      </c>
      <c r="I75">
        <v>0</v>
      </c>
      <c r="J75">
        <v>468.50298002337689</v>
      </c>
      <c r="K75">
        <v>0</v>
      </c>
      <c r="L75">
        <v>60246.591536206324</v>
      </c>
      <c r="M75">
        <v>310</v>
      </c>
      <c r="N75">
        <v>32</v>
      </c>
      <c r="O75">
        <v>0.103225806451613</v>
      </c>
    </row>
    <row r="76" spans="1:15" x14ac:dyDescent="0.25">
      <c r="A76" t="s">
        <v>189</v>
      </c>
      <c r="B76" t="s">
        <v>1008</v>
      </c>
      <c r="C76">
        <v>938435.48998283874</v>
      </c>
      <c r="D76">
        <v>0</v>
      </c>
      <c r="E76">
        <v>531155.77685089677</v>
      </c>
      <c r="F76">
        <v>730088.93240784237</v>
      </c>
      <c r="G76">
        <v>2199680.1992415781</v>
      </c>
      <c r="H76">
        <v>2037500.76826218</v>
      </c>
      <c r="I76">
        <v>162179.43097939808</v>
      </c>
      <c r="J76">
        <v>15722.205315443996</v>
      </c>
      <c r="K76">
        <v>0</v>
      </c>
      <c r="L76">
        <v>2021778.5629467361</v>
      </c>
      <c r="M76">
        <v>10394</v>
      </c>
      <c r="N76">
        <v>1091</v>
      </c>
      <c r="O76">
        <v>0.104964402539927</v>
      </c>
    </row>
    <row r="77" spans="1:15" x14ac:dyDescent="0.25">
      <c r="A77" t="s">
        <v>521</v>
      </c>
      <c r="B77" t="s">
        <v>1016</v>
      </c>
      <c r="C77">
        <v>67952.70734064556</v>
      </c>
      <c r="D77">
        <v>0</v>
      </c>
      <c r="E77">
        <v>32502.948389791527</v>
      </c>
      <c r="F77">
        <v>44676.239860743241</v>
      </c>
      <c r="G77">
        <v>145131.89559118031</v>
      </c>
      <c r="H77">
        <v>137844.88045702191</v>
      </c>
      <c r="I77">
        <v>7287.0151341583987</v>
      </c>
      <c r="J77">
        <v>1063.6685619886155</v>
      </c>
      <c r="K77">
        <v>0</v>
      </c>
      <c r="L77">
        <v>136781.21189503328</v>
      </c>
      <c r="M77">
        <v>587</v>
      </c>
      <c r="N77">
        <v>79</v>
      </c>
      <c r="O77">
        <v>0.13458262350937</v>
      </c>
    </row>
    <row r="78" spans="1:15" x14ac:dyDescent="0.25">
      <c r="A78" t="s">
        <v>290</v>
      </c>
      <c r="B78" t="s">
        <v>1018</v>
      </c>
      <c r="C78">
        <v>18923.538753091165</v>
      </c>
      <c r="D78">
        <v>0</v>
      </c>
      <c r="E78">
        <v>9051.4539819672646</v>
      </c>
      <c r="F78">
        <v>12441.484518181671</v>
      </c>
      <c r="G78">
        <v>40416.477253240097</v>
      </c>
      <c r="H78">
        <v>40416.477253240097</v>
      </c>
      <c r="I78">
        <v>0</v>
      </c>
      <c r="J78">
        <v>311.87038719224017</v>
      </c>
      <c r="K78">
        <v>0</v>
      </c>
      <c r="L78">
        <v>40104.606866047856</v>
      </c>
      <c r="M78">
        <v>177</v>
      </c>
      <c r="N78">
        <v>22</v>
      </c>
      <c r="O78">
        <v>0.124293785310734</v>
      </c>
    </row>
    <row r="79" spans="1:15" x14ac:dyDescent="0.25">
      <c r="A79" t="s">
        <v>292</v>
      </c>
      <c r="B79" t="s">
        <v>1026</v>
      </c>
      <c r="C79">
        <v>148807.82746748955</v>
      </c>
      <c r="D79">
        <v>0</v>
      </c>
      <c r="E79">
        <v>71177.342676378932</v>
      </c>
      <c r="F79">
        <v>97835.310074792185</v>
      </c>
      <c r="G79">
        <v>317820.48021866067</v>
      </c>
      <c r="H79">
        <v>317820.48021866067</v>
      </c>
      <c r="I79">
        <v>0</v>
      </c>
      <c r="J79">
        <v>2452.4353174662515</v>
      </c>
      <c r="K79">
        <v>0</v>
      </c>
      <c r="L79">
        <v>315368.0449011944</v>
      </c>
      <c r="M79">
        <v>3249</v>
      </c>
      <c r="N79">
        <v>173</v>
      </c>
      <c r="O79">
        <v>5.32471529701447E-2</v>
      </c>
    </row>
    <row r="80" spans="1:15" x14ac:dyDescent="0.25">
      <c r="A80" t="s">
        <v>533</v>
      </c>
      <c r="B80" t="s">
        <v>1032</v>
      </c>
      <c r="C80">
        <v>15794.798313051404</v>
      </c>
      <c r="D80">
        <v>0</v>
      </c>
      <c r="E80">
        <v>0</v>
      </c>
      <c r="F80">
        <v>0</v>
      </c>
      <c r="G80">
        <v>15794.798313051404</v>
      </c>
      <c r="H80">
        <v>15794.798313051404</v>
      </c>
      <c r="I80">
        <v>0</v>
      </c>
      <c r="J80">
        <v>121.87924827416231</v>
      </c>
      <c r="K80">
        <v>0</v>
      </c>
      <c r="L80">
        <v>15672.919064777241</v>
      </c>
      <c r="M80">
        <v>237</v>
      </c>
      <c r="N80">
        <v>11</v>
      </c>
      <c r="O80">
        <v>4.6413502109704602E-2</v>
      </c>
    </row>
    <row r="81" spans="1:15" x14ac:dyDescent="0.25">
      <c r="A81" t="s">
        <v>191</v>
      </c>
      <c r="B81" t="s">
        <v>1038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87</v>
      </c>
      <c r="N81">
        <v>7</v>
      </c>
      <c r="O81">
        <v>8.04597701149425E-2</v>
      </c>
    </row>
    <row r="82" spans="1:15" x14ac:dyDescent="0.25">
      <c r="A82" t="s">
        <v>294</v>
      </c>
      <c r="B82" t="s">
        <v>1040</v>
      </c>
      <c r="C82">
        <v>28068.715943930685</v>
      </c>
      <c r="D82">
        <v>0</v>
      </c>
      <c r="E82">
        <v>12757.7724962539</v>
      </c>
      <c r="F82">
        <v>17278.449037065977</v>
      </c>
      <c r="G82">
        <v>58104.937477250562</v>
      </c>
      <c r="H82">
        <v>58104.937477250562</v>
      </c>
      <c r="I82">
        <v>0</v>
      </c>
      <c r="J82">
        <v>448.36192019576129</v>
      </c>
      <c r="K82">
        <v>0</v>
      </c>
      <c r="L82">
        <v>57656.575557054799</v>
      </c>
      <c r="M82">
        <v>249</v>
      </c>
      <c r="N82">
        <v>30</v>
      </c>
      <c r="O82">
        <v>0.120481927710843</v>
      </c>
    </row>
    <row r="83" spans="1:15" x14ac:dyDescent="0.25">
      <c r="A83" t="s">
        <v>193</v>
      </c>
      <c r="B83" t="s">
        <v>1042</v>
      </c>
      <c r="C83">
        <v>459325.89518866729</v>
      </c>
      <c r="D83">
        <v>0</v>
      </c>
      <c r="E83">
        <v>0</v>
      </c>
      <c r="F83">
        <v>0</v>
      </c>
      <c r="G83">
        <v>459325.89518866729</v>
      </c>
      <c r="H83">
        <v>459325.89518866729</v>
      </c>
      <c r="I83">
        <v>0</v>
      </c>
      <c r="J83">
        <v>3544.3500897502872</v>
      </c>
      <c r="K83">
        <v>0</v>
      </c>
      <c r="L83">
        <v>455781.54509891698</v>
      </c>
      <c r="M83">
        <v>11683</v>
      </c>
      <c r="N83">
        <v>534</v>
      </c>
      <c r="O83">
        <v>4.5707438158007402E-2</v>
      </c>
    </row>
    <row r="84" spans="1:15" x14ac:dyDescent="0.25">
      <c r="A84" t="s">
        <v>83</v>
      </c>
      <c r="B84" t="s">
        <v>1043</v>
      </c>
      <c r="C84">
        <v>22135.269524215433</v>
      </c>
      <c r="D84">
        <v>0</v>
      </c>
      <c r="E84">
        <v>12875.89906302871</v>
      </c>
      <c r="F84">
        <v>17755.010656348441</v>
      </c>
      <c r="G84">
        <v>52766.179243592589</v>
      </c>
      <c r="H84">
        <v>52766.179243592589</v>
      </c>
      <c r="I84">
        <v>0</v>
      </c>
      <c r="J84">
        <v>407.16583605848803</v>
      </c>
      <c r="K84">
        <v>0</v>
      </c>
      <c r="L84">
        <v>52359.013407534097</v>
      </c>
      <c r="M84">
        <v>261</v>
      </c>
      <c r="N84">
        <v>19</v>
      </c>
      <c r="O84">
        <v>7.3433484055390894E-2</v>
      </c>
    </row>
    <row r="85" spans="1:15" x14ac:dyDescent="0.25">
      <c r="A85" t="s">
        <v>58</v>
      </c>
      <c r="B85" t="s">
        <v>1057</v>
      </c>
      <c r="C85">
        <v>282992.92044395412</v>
      </c>
      <c r="D85">
        <v>0</v>
      </c>
      <c r="E85">
        <v>135360.38000305585</v>
      </c>
      <c r="F85">
        <v>186056.7457491713</v>
      </c>
      <c r="G85">
        <v>604410.04619618133</v>
      </c>
      <c r="H85">
        <v>547611.10793170752</v>
      </c>
      <c r="I85">
        <v>56798.938264473807</v>
      </c>
      <c r="J85">
        <v>4225.5955953643115</v>
      </c>
      <c r="K85">
        <v>0</v>
      </c>
      <c r="L85">
        <v>543385.51233634318</v>
      </c>
      <c r="M85">
        <v>3236</v>
      </c>
      <c r="N85">
        <v>329</v>
      </c>
      <c r="O85">
        <v>0.10166872682323901</v>
      </c>
    </row>
    <row r="86" spans="1:15" x14ac:dyDescent="0.25">
      <c r="A86" t="s">
        <v>195</v>
      </c>
      <c r="B86" t="s">
        <v>1059</v>
      </c>
      <c r="C86">
        <v>1586996.7727024178</v>
      </c>
      <c r="D86">
        <v>0</v>
      </c>
      <c r="E86">
        <v>996482.79746930464</v>
      </c>
      <c r="F86">
        <v>1369694.3410470914</v>
      </c>
      <c r="G86">
        <v>3953173.9112188136</v>
      </c>
      <c r="H86">
        <v>3538992.8665528246</v>
      </c>
      <c r="I86">
        <v>414181.044665989</v>
      </c>
      <c r="J86">
        <v>27308.344283615752</v>
      </c>
      <c r="K86">
        <v>0</v>
      </c>
      <c r="L86">
        <v>3511684.5222692089</v>
      </c>
      <c r="M86">
        <v>25544</v>
      </c>
      <c r="N86">
        <v>1845</v>
      </c>
      <c r="O86">
        <v>7.2228311932352005E-2</v>
      </c>
    </row>
    <row r="87" spans="1:15" x14ac:dyDescent="0.25">
      <c r="A87" t="s">
        <v>563</v>
      </c>
      <c r="B87" t="s">
        <v>1079</v>
      </c>
      <c r="C87">
        <v>1969773.5181575539</v>
      </c>
      <c r="D87">
        <v>0</v>
      </c>
      <c r="E87">
        <v>1285762.870604235</v>
      </c>
      <c r="F87">
        <v>1767318.1436424465</v>
      </c>
      <c r="G87">
        <v>5022854.5324042346</v>
      </c>
      <c r="H87">
        <v>4773064.0653591305</v>
      </c>
      <c r="I87">
        <v>249790.46704510413</v>
      </c>
      <c r="J87">
        <v>36830.952109701349</v>
      </c>
      <c r="K87">
        <v>0</v>
      </c>
      <c r="L87">
        <v>4736233.1132494295</v>
      </c>
      <c r="M87">
        <v>17463</v>
      </c>
      <c r="N87">
        <v>2290</v>
      </c>
      <c r="O87">
        <v>0.131131557023759</v>
      </c>
    </row>
    <row r="88" spans="1:15" x14ac:dyDescent="0.25">
      <c r="A88" t="s">
        <v>199</v>
      </c>
      <c r="B88" t="s">
        <v>1083</v>
      </c>
      <c r="C88">
        <v>1156056.185643387</v>
      </c>
      <c r="D88">
        <v>0</v>
      </c>
      <c r="E88">
        <v>687293.35803983232</v>
      </c>
      <c r="F88">
        <v>944704.54034647637</v>
      </c>
      <c r="G88">
        <v>2788054.0840296955</v>
      </c>
      <c r="H88">
        <v>2673798.0629778979</v>
      </c>
      <c r="I88">
        <v>114256.02105179755</v>
      </c>
      <c r="J88">
        <v>20632.14049927938</v>
      </c>
      <c r="K88">
        <v>0</v>
      </c>
      <c r="L88">
        <v>2653165.9224786186</v>
      </c>
      <c r="M88">
        <v>15487</v>
      </c>
      <c r="N88">
        <v>1344</v>
      </c>
      <c r="O88">
        <v>8.6782462710660604E-2</v>
      </c>
    </row>
    <row r="89" spans="1:15" x14ac:dyDescent="0.25">
      <c r="A89" t="s">
        <v>201</v>
      </c>
      <c r="B89" t="s">
        <v>1085</v>
      </c>
      <c r="C89">
        <v>181983.54578080957</v>
      </c>
      <c r="D89">
        <v>0</v>
      </c>
      <c r="E89">
        <v>0</v>
      </c>
      <c r="F89">
        <v>0</v>
      </c>
      <c r="G89">
        <v>181983.54578080957</v>
      </c>
      <c r="H89">
        <v>181983.54578080957</v>
      </c>
      <c r="I89">
        <v>0</v>
      </c>
      <c r="J89">
        <v>1404.2609040283912</v>
      </c>
      <c r="K89">
        <v>0</v>
      </c>
      <c r="L89">
        <v>180579.28487678117</v>
      </c>
      <c r="M89">
        <v>4134</v>
      </c>
      <c r="N89">
        <v>179</v>
      </c>
      <c r="O89">
        <v>4.3299467827769701E-2</v>
      </c>
    </row>
    <row r="90" spans="1:15" x14ac:dyDescent="0.25">
      <c r="A90" t="s">
        <v>203</v>
      </c>
      <c r="B90" t="s">
        <v>1087</v>
      </c>
      <c r="C90">
        <v>50749.490292380833</v>
      </c>
      <c r="D90">
        <v>0</v>
      </c>
      <c r="E90">
        <v>24274.353860730382</v>
      </c>
      <c r="F90">
        <v>33365.799389669024</v>
      </c>
      <c r="G90">
        <v>108389.64354278025</v>
      </c>
      <c r="H90">
        <v>95397.375332811673</v>
      </c>
      <c r="I90">
        <v>12992.268209968577</v>
      </c>
      <c r="J90">
        <v>736.12591705483965</v>
      </c>
      <c r="K90">
        <v>0</v>
      </c>
      <c r="L90">
        <v>94661.249415756829</v>
      </c>
      <c r="M90">
        <v>421</v>
      </c>
      <c r="N90">
        <v>59</v>
      </c>
      <c r="O90">
        <v>0.140142517814727</v>
      </c>
    </row>
    <row r="91" spans="1:15" x14ac:dyDescent="0.25">
      <c r="A91" t="s">
        <v>296</v>
      </c>
      <c r="B91" t="s">
        <v>1089</v>
      </c>
      <c r="C91">
        <v>234823.912708813</v>
      </c>
      <c r="D91">
        <v>0</v>
      </c>
      <c r="E91">
        <v>112320.31532168464</v>
      </c>
      <c r="F91">
        <v>154387.51243016342</v>
      </c>
      <c r="G91">
        <v>501531.74046066112</v>
      </c>
      <c r="H91">
        <v>472919.01794593176</v>
      </c>
      <c r="I91">
        <v>28612.722514729365</v>
      </c>
      <c r="J91">
        <v>3649.2402916077458</v>
      </c>
      <c r="K91">
        <v>0</v>
      </c>
      <c r="L91">
        <v>469269.77765432402</v>
      </c>
      <c r="M91">
        <v>2040</v>
      </c>
      <c r="N91">
        <v>273</v>
      </c>
      <c r="O91">
        <v>0.13382352941176501</v>
      </c>
    </row>
    <row r="92" spans="1:15" x14ac:dyDescent="0.25">
      <c r="A92" t="s">
        <v>205</v>
      </c>
      <c r="B92" t="s">
        <v>1091</v>
      </c>
      <c r="C92">
        <v>143526.64554033664</v>
      </c>
      <c r="D92">
        <v>0</v>
      </c>
      <c r="E92">
        <v>0</v>
      </c>
      <c r="F92">
        <v>0</v>
      </c>
      <c r="G92">
        <v>143526.64554033664</v>
      </c>
      <c r="H92">
        <v>143526.64554033664</v>
      </c>
      <c r="I92">
        <v>0</v>
      </c>
      <c r="J92">
        <v>1107.5114299695615</v>
      </c>
      <c r="K92">
        <v>0</v>
      </c>
      <c r="L92">
        <v>142419.13411036707</v>
      </c>
      <c r="M92">
        <v>3807</v>
      </c>
      <c r="N92">
        <v>131</v>
      </c>
      <c r="O92">
        <v>3.4410296821644301E-2</v>
      </c>
    </row>
    <row r="93" spans="1:15" x14ac:dyDescent="0.25">
      <c r="A93" t="s">
        <v>1423</v>
      </c>
      <c r="B93" t="s">
        <v>1424</v>
      </c>
      <c r="C93">
        <v>9790.2826833605595</v>
      </c>
      <c r="D93">
        <v>0</v>
      </c>
      <c r="E93">
        <v>6931.9852383167336</v>
      </c>
      <c r="F93">
        <v>9528.213610167084</v>
      </c>
      <c r="G93">
        <v>26250.481531844376</v>
      </c>
      <c r="H93">
        <v>26250.481531844376</v>
      </c>
      <c r="I93">
        <v>0</v>
      </c>
      <c r="J93">
        <v>202.5596587258911</v>
      </c>
      <c r="K93">
        <v>0</v>
      </c>
      <c r="L93">
        <v>26047.921873118485</v>
      </c>
      <c r="M93">
        <v>69</v>
      </c>
      <c r="N93">
        <v>11</v>
      </c>
      <c r="O93">
        <v>0.164258734035196</v>
      </c>
    </row>
    <row r="94" spans="1:15" x14ac:dyDescent="0.25">
      <c r="A94" t="s">
        <v>207</v>
      </c>
      <c r="B94" t="s">
        <v>1101</v>
      </c>
      <c r="C94">
        <v>82407.643372442079</v>
      </c>
      <c r="D94">
        <v>0</v>
      </c>
      <c r="E94">
        <v>40057.893911231185</v>
      </c>
      <c r="F94">
        <v>55237.178373584364</v>
      </c>
      <c r="G94">
        <v>177702.71565725765</v>
      </c>
      <c r="H94">
        <v>177702.71565725765</v>
      </c>
      <c r="I94">
        <v>0</v>
      </c>
      <c r="J94">
        <v>1371.2282342147616</v>
      </c>
      <c r="K94">
        <v>0</v>
      </c>
      <c r="L94">
        <v>176331.48742304288</v>
      </c>
      <c r="M94">
        <v>890</v>
      </c>
      <c r="N94">
        <v>80</v>
      </c>
      <c r="O94">
        <v>8.98876404494382E-2</v>
      </c>
    </row>
    <row r="95" spans="1:15" x14ac:dyDescent="0.25">
      <c r="A95" t="s">
        <v>82</v>
      </c>
      <c r="B95" t="s">
        <v>1104</v>
      </c>
      <c r="C95">
        <v>18827.466698770306</v>
      </c>
      <c r="D95">
        <v>0</v>
      </c>
      <c r="E95">
        <v>13330.740842916792</v>
      </c>
      <c r="F95">
        <v>18323.487711859776</v>
      </c>
      <c r="G95">
        <v>50481.695253546874</v>
      </c>
      <c r="H95">
        <v>44509.731700791599</v>
      </c>
      <c r="I95">
        <v>5971.9635527552746</v>
      </c>
      <c r="J95">
        <v>343.45564489383526</v>
      </c>
      <c r="K95">
        <v>0</v>
      </c>
      <c r="L95">
        <v>44166.276055897761</v>
      </c>
      <c r="M95">
        <v>135</v>
      </c>
      <c r="N95">
        <v>22</v>
      </c>
      <c r="O95">
        <v>0.161856985222221</v>
      </c>
    </row>
    <row r="96" spans="1:15" x14ac:dyDescent="0.25">
      <c r="A96" t="s">
        <v>81</v>
      </c>
      <c r="B96" t="s">
        <v>1105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60</v>
      </c>
      <c r="N96">
        <v>4</v>
      </c>
      <c r="O96">
        <v>6.2864453766556805E-2</v>
      </c>
    </row>
    <row r="97" spans="1:15" x14ac:dyDescent="0.25">
      <c r="A97" t="s">
        <v>300</v>
      </c>
      <c r="B97" t="s">
        <v>1108</v>
      </c>
      <c r="C97">
        <v>528998.92423413903</v>
      </c>
      <c r="D97">
        <v>0</v>
      </c>
      <c r="E97">
        <v>253029.28176863026</v>
      </c>
      <c r="F97">
        <v>347796.04448553291</v>
      </c>
      <c r="G97">
        <v>1129824.2504883022</v>
      </c>
      <c r="H97">
        <v>1019263.7219608976</v>
      </c>
      <c r="I97">
        <v>110560.52852740465</v>
      </c>
      <c r="J97">
        <v>7865.0637864156097</v>
      </c>
      <c r="K97">
        <v>0</v>
      </c>
      <c r="L97">
        <v>1011398.6581744819</v>
      </c>
      <c r="M97">
        <v>5146</v>
      </c>
      <c r="N97">
        <v>615</v>
      </c>
      <c r="O97">
        <v>0.11951029926156199</v>
      </c>
    </row>
    <row r="98" spans="1:15" x14ac:dyDescent="0.25">
      <c r="A98" t="s">
        <v>574</v>
      </c>
      <c r="B98" t="s">
        <v>1110</v>
      </c>
      <c r="C98">
        <v>402555.27892939385</v>
      </c>
      <c r="D98">
        <v>0</v>
      </c>
      <c r="E98">
        <v>192549.11198003078</v>
      </c>
      <c r="F98">
        <v>264664.30702313728</v>
      </c>
      <c r="G98">
        <v>859768.69793256186</v>
      </c>
      <c r="H98">
        <v>775638.29078613815</v>
      </c>
      <c r="I98">
        <v>84130.407146423706</v>
      </c>
      <c r="J98">
        <v>5985.1483975934052</v>
      </c>
      <c r="K98">
        <v>0</v>
      </c>
      <c r="L98">
        <v>769653.14238854474</v>
      </c>
      <c r="M98">
        <v>4177</v>
      </c>
      <c r="N98">
        <v>468</v>
      </c>
      <c r="O98">
        <v>0.11204213550394999</v>
      </c>
    </row>
    <row r="99" spans="1:15" x14ac:dyDescent="0.25">
      <c r="A99" t="s">
        <v>209</v>
      </c>
      <c r="B99" t="s">
        <v>1116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22</v>
      </c>
      <c r="N99">
        <v>1</v>
      </c>
      <c r="O99">
        <v>4.5454545454545497E-2</v>
      </c>
    </row>
    <row r="100" spans="1:15" x14ac:dyDescent="0.25">
      <c r="A100" t="s">
        <v>211</v>
      </c>
      <c r="B100" t="s">
        <v>1120</v>
      </c>
      <c r="C100">
        <v>556251.59276398411</v>
      </c>
      <c r="D100">
        <v>0</v>
      </c>
      <c r="E100">
        <v>290252.82296512934</v>
      </c>
      <c r="F100">
        <v>400239.38829859684</v>
      </c>
      <c r="G100">
        <v>1246743.8040277101</v>
      </c>
      <c r="H100">
        <v>1246743.8040277101</v>
      </c>
      <c r="I100">
        <v>0</v>
      </c>
      <c r="J100">
        <v>9620.3949308936189</v>
      </c>
      <c r="K100">
        <v>0</v>
      </c>
      <c r="L100">
        <v>1237123.4090968166</v>
      </c>
      <c r="M100">
        <v>10315</v>
      </c>
      <c r="N100">
        <v>620</v>
      </c>
      <c r="O100">
        <v>6.0106640814348002E-2</v>
      </c>
    </row>
    <row r="101" spans="1:15" x14ac:dyDescent="0.25">
      <c r="A101" t="s">
        <v>302</v>
      </c>
      <c r="B101" t="s">
        <v>1122</v>
      </c>
      <c r="C101">
        <v>11182.091081372046</v>
      </c>
      <c r="D101">
        <v>0</v>
      </c>
      <c r="E101">
        <v>5348.5864438897461</v>
      </c>
      <c r="F101">
        <v>7351.7863061982562</v>
      </c>
      <c r="G101">
        <v>23882.463831460049</v>
      </c>
      <c r="H101">
        <v>21649.97083862641</v>
      </c>
      <c r="I101">
        <v>2232.4929928336387</v>
      </c>
      <c r="J101">
        <v>167.06020036919065</v>
      </c>
      <c r="K101">
        <v>0</v>
      </c>
      <c r="L101">
        <v>21482.910638257221</v>
      </c>
      <c r="M101">
        <v>127</v>
      </c>
      <c r="N101">
        <v>13</v>
      </c>
      <c r="O101">
        <v>0.102362204724409</v>
      </c>
    </row>
    <row r="102" spans="1:15" x14ac:dyDescent="0.25">
      <c r="A102" t="s">
        <v>213</v>
      </c>
      <c r="B102" t="s">
        <v>1124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68</v>
      </c>
      <c r="N102">
        <v>6</v>
      </c>
      <c r="O102">
        <v>8.8235294117647106E-2</v>
      </c>
    </row>
    <row r="103" spans="1:15" x14ac:dyDescent="0.25">
      <c r="A103" t="s">
        <v>215</v>
      </c>
      <c r="B103" t="s">
        <v>1126</v>
      </c>
      <c r="C103">
        <v>477389.27308934496</v>
      </c>
      <c r="D103">
        <v>0</v>
      </c>
      <c r="E103">
        <v>228343.49818144678</v>
      </c>
      <c r="F103">
        <v>313864.72307231021</v>
      </c>
      <c r="G103">
        <v>1019597.494343102</v>
      </c>
      <c r="H103">
        <v>768516.14768992912</v>
      </c>
      <c r="I103">
        <v>251081.34665317286</v>
      </c>
      <c r="J103">
        <v>5930.1909724042716</v>
      </c>
      <c r="K103">
        <v>0</v>
      </c>
      <c r="L103">
        <v>762585.95671752479</v>
      </c>
      <c r="M103">
        <v>10714</v>
      </c>
      <c r="N103">
        <v>555</v>
      </c>
      <c r="O103">
        <v>5.1801381370169902E-2</v>
      </c>
    </row>
    <row r="104" spans="1:15" x14ac:dyDescent="0.25">
      <c r="A104" t="s">
        <v>217</v>
      </c>
      <c r="B104" t="s">
        <v>1128</v>
      </c>
      <c r="C104">
        <v>271945.22312905901</v>
      </c>
      <c r="D104">
        <v>0</v>
      </c>
      <c r="E104">
        <v>0</v>
      </c>
      <c r="F104">
        <v>0</v>
      </c>
      <c r="G104">
        <v>271945.22312905901</v>
      </c>
      <c r="H104">
        <v>271945.22312905901</v>
      </c>
      <c r="I104">
        <v>0</v>
      </c>
      <c r="J104">
        <v>2098.4427094160123</v>
      </c>
      <c r="K104">
        <v>0</v>
      </c>
      <c r="L104">
        <v>269846.78041964298</v>
      </c>
      <c r="M104">
        <v>7736</v>
      </c>
      <c r="N104">
        <v>276</v>
      </c>
      <c r="O104">
        <v>3.5677352637021702E-2</v>
      </c>
    </row>
    <row r="105" spans="1:15" x14ac:dyDescent="0.25">
      <c r="A105" t="s">
        <v>219</v>
      </c>
      <c r="B105" t="s">
        <v>1134</v>
      </c>
      <c r="C105">
        <v>990045.14112763293</v>
      </c>
      <c r="D105">
        <v>0</v>
      </c>
      <c r="E105">
        <v>568184.45223167201</v>
      </c>
      <c r="F105">
        <v>780985.91452767618</v>
      </c>
      <c r="G105">
        <v>2339215.5078869811</v>
      </c>
      <c r="H105">
        <v>2099477.4689440927</v>
      </c>
      <c r="I105">
        <v>239738.03894288838</v>
      </c>
      <c r="J105">
        <v>16200.443374576578</v>
      </c>
      <c r="K105">
        <v>0</v>
      </c>
      <c r="L105">
        <v>2083277.0255695162</v>
      </c>
      <c r="M105">
        <v>11670</v>
      </c>
      <c r="N105">
        <v>1151</v>
      </c>
      <c r="O105">
        <v>9.8628963153384805E-2</v>
      </c>
    </row>
    <row r="106" spans="1:15" x14ac:dyDescent="0.25">
      <c r="A106" t="s">
        <v>221</v>
      </c>
      <c r="B106" t="s">
        <v>1136</v>
      </c>
      <c r="C106">
        <v>122924.73469722614</v>
      </c>
      <c r="D106">
        <v>0</v>
      </c>
      <c r="E106">
        <v>59753.025084253168</v>
      </c>
      <c r="F106">
        <v>82395.457740596685</v>
      </c>
      <c r="G106">
        <v>265073.21752207598</v>
      </c>
      <c r="H106">
        <v>265073.21752207598</v>
      </c>
      <c r="I106">
        <v>0</v>
      </c>
      <c r="J106">
        <v>2045.4154493703527</v>
      </c>
      <c r="K106">
        <v>0</v>
      </c>
      <c r="L106">
        <v>263027.80207270564</v>
      </c>
      <c r="M106">
        <v>1757</v>
      </c>
      <c r="N106">
        <v>123</v>
      </c>
      <c r="O106">
        <v>7.0005691519635704E-2</v>
      </c>
    </row>
    <row r="107" spans="1:15" x14ac:dyDescent="0.25">
      <c r="A107" t="s">
        <v>78</v>
      </c>
      <c r="B107" t="s">
        <v>1140</v>
      </c>
      <c r="C107">
        <v>99378.88669667895</v>
      </c>
      <c r="D107">
        <v>0</v>
      </c>
      <c r="E107">
        <v>83747.29238051553</v>
      </c>
      <c r="F107">
        <v>115113.06842719646</v>
      </c>
      <c r="G107">
        <v>298239.24750439095</v>
      </c>
      <c r="H107">
        <v>266052.66110831359</v>
      </c>
      <c r="I107">
        <v>32186.586396077357</v>
      </c>
      <c r="J107">
        <v>2052.9732443894227</v>
      </c>
      <c r="K107">
        <v>0</v>
      </c>
      <c r="L107">
        <v>263999.68786392419</v>
      </c>
      <c r="M107">
        <v>965</v>
      </c>
      <c r="N107">
        <v>116</v>
      </c>
      <c r="O107">
        <v>0.119739117473186</v>
      </c>
    </row>
    <row r="108" spans="1:15" x14ac:dyDescent="0.25">
      <c r="A108" t="s">
        <v>590</v>
      </c>
      <c r="B108" t="s">
        <v>1144</v>
      </c>
      <c r="C108">
        <v>15482.89534343822</v>
      </c>
      <c r="D108">
        <v>0</v>
      </c>
      <c r="E108">
        <v>7405.7350761550333</v>
      </c>
      <c r="F108">
        <v>10179.396423966815</v>
      </c>
      <c r="G108">
        <v>33068.026843560066</v>
      </c>
      <c r="H108">
        <v>33068.026843560066</v>
      </c>
      <c r="I108">
        <v>0</v>
      </c>
      <c r="J108">
        <v>255.16668043001457</v>
      </c>
      <c r="K108">
        <v>0</v>
      </c>
      <c r="L108">
        <v>32812.860163130055</v>
      </c>
      <c r="M108">
        <v>155</v>
      </c>
      <c r="N108">
        <v>18</v>
      </c>
      <c r="O108">
        <v>0.11612903225806499</v>
      </c>
    </row>
    <row r="109" spans="1:15" x14ac:dyDescent="0.25">
      <c r="A109" t="s">
        <v>223</v>
      </c>
      <c r="B109" t="s">
        <v>1146</v>
      </c>
      <c r="C109">
        <v>351805.78863701288</v>
      </c>
      <c r="D109">
        <v>0</v>
      </c>
      <c r="E109">
        <v>168274.75811930044</v>
      </c>
      <c r="F109">
        <v>231298.50763346831</v>
      </c>
      <c r="G109">
        <v>751379.05438978155</v>
      </c>
      <c r="H109">
        <v>665191.65478063922</v>
      </c>
      <c r="I109">
        <v>86187.399609142332</v>
      </c>
      <c r="J109">
        <v>5132.8961114950662</v>
      </c>
      <c r="K109">
        <v>0</v>
      </c>
      <c r="L109">
        <v>660058.75866914412</v>
      </c>
      <c r="M109">
        <v>5413</v>
      </c>
      <c r="N109">
        <v>409</v>
      </c>
      <c r="O109">
        <v>7.5558839830038804E-2</v>
      </c>
    </row>
    <row r="110" spans="1:15" x14ac:dyDescent="0.25">
      <c r="A110" t="s">
        <v>225</v>
      </c>
      <c r="B110" t="s">
        <v>1148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25</v>
      </c>
      <c r="N110">
        <v>4</v>
      </c>
      <c r="O110">
        <v>0.16</v>
      </c>
    </row>
    <row r="111" spans="1:15" x14ac:dyDescent="0.25">
      <c r="A111" t="s">
        <v>227</v>
      </c>
      <c r="B111" t="s">
        <v>1152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15</v>
      </c>
      <c r="N111">
        <v>3</v>
      </c>
      <c r="O111">
        <v>0.2</v>
      </c>
    </row>
    <row r="112" spans="1:15" x14ac:dyDescent="0.25">
      <c r="A112" t="s">
        <v>229</v>
      </c>
      <c r="B112" t="s">
        <v>1154</v>
      </c>
      <c r="C112">
        <v>231383.26929916017</v>
      </c>
      <c r="D112">
        <v>0</v>
      </c>
      <c r="E112">
        <v>110674.59641587241</v>
      </c>
      <c r="F112">
        <v>152125.42433594854</v>
      </c>
      <c r="G112">
        <v>494183.2900509811</v>
      </c>
      <c r="H112">
        <v>445618.50841436733</v>
      </c>
      <c r="I112">
        <v>48564.78163661377</v>
      </c>
      <c r="J112">
        <v>3438.5781791033246</v>
      </c>
      <c r="K112">
        <v>0</v>
      </c>
      <c r="L112">
        <v>442179.93023526401</v>
      </c>
      <c r="M112">
        <v>3953</v>
      </c>
      <c r="N112">
        <v>269</v>
      </c>
      <c r="O112">
        <v>6.8049582595497093E-2</v>
      </c>
    </row>
    <row r="113" spans="1:15" x14ac:dyDescent="0.25">
      <c r="A113" t="s">
        <v>231</v>
      </c>
      <c r="B113" t="s">
        <v>1160</v>
      </c>
      <c r="C113">
        <v>187515.06582608508</v>
      </c>
      <c r="D113">
        <v>0</v>
      </c>
      <c r="E113">
        <v>89691.680366766537</v>
      </c>
      <c r="F113">
        <v>123283.80113470924</v>
      </c>
      <c r="G113">
        <v>400490.54732756084</v>
      </c>
      <c r="H113">
        <v>389399.03846453916</v>
      </c>
      <c r="I113">
        <v>11091.508863021678</v>
      </c>
      <c r="J113">
        <v>3004.7653123575019</v>
      </c>
      <c r="K113">
        <v>0</v>
      </c>
      <c r="L113">
        <v>386394.27315218165</v>
      </c>
      <c r="M113">
        <v>2497</v>
      </c>
      <c r="N113">
        <v>218</v>
      </c>
      <c r="O113">
        <v>8.7304765718862601E-2</v>
      </c>
    </row>
    <row r="114" spans="1:15" x14ac:dyDescent="0.25">
      <c r="A114" t="s">
        <v>80</v>
      </c>
      <c r="B114" t="s">
        <v>1162</v>
      </c>
      <c r="C114">
        <v>19899.722820571154</v>
      </c>
      <c r="D114">
        <v>0</v>
      </c>
      <c r="E114">
        <v>15854.266576331305</v>
      </c>
      <c r="F114">
        <v>21792.146604238733</v>
      </c>
      <c r="G114">
        <v>57546.136001141189</v>
      </c>
      <c r="H114">
        <v>57546.136001141189</v>
      </c>
      <c r="I114">
        <v>0</v>
      </c>
      <c r="J114">
        <v>444.04997505452923</v>
      </c>
      <c r="K114">
        <v>0</v>
      </c>
      <c r="L114">
        <v>57102.086026086661</v>
      </c>
      <c r="M114">
        <v>176</v>
      </c>
      <c r="N114">
        <v>23</v>
      </c>
      <c r="O114">
        <v>0.131638364498464</v>
      </c>
    </row>
    <row r="115" spans="1:15" x14ac:dyDescent="0.25">
      <c r="A115" t="s">
        <v>73</v>
      </c>
      <c r="B115" t="s">
        <v>1163</v>
      </c>
      <c r="C115">
        <v>37045.17896189195</v>
      </c>
      <c r="D115">
        <v>0</v>
      </c>
      <c r="E115">
        <v>31197.710760127236</v>
      </c>
      <c r="F115">
        <v>42882.153099172276</v>
      </c>
      <c r="G115">
        <v>111125.04282119146</v>
      </c>
      <c r="H115">
        <v>93102.756183284175</v>
      </c>
      <c r="I115">
        <v>18022.28663790728</v>
      </c>
      <c r="J115">
        <v>718.4196791227721</v>
      </c>
      <c r="K115">
        <v>0</v>
      </c>
      <c r="L115">
        <v>92384.336504161402</v>
      </c>
      <c r="M115">
        <v>300</v>
      </c>
      <c r="N115">
        <v>43</v>
      </c>
      <c r="O115">
        <v>0.14347816454064499</v>
      </c>
    </row>
    <row r="116" spans="1:15" x14ac:dyDescent="0.25">
      <c r="A116" t="s">
        <v>233</v>
      </c>
      <c r="B116" t="s">
        <v>1167</v>
      </c>
      <c r="C116">
        <v>468787.66456521297</v>
      </c>
      <c r="D116">
        <v>0</v>
      </c>
      <c r="E116">
        <v>224229.20091691625</v>
      </c>
      <c r="F116">
        <v>308209.50283677311</v>
      </c>
      <c r="G116">
        <v>1001226.3683189023</v>
      </c>
      <c r="H116">
        <v>1001226.3683189023</v>
      </c>
      <c r="I116">
        <v>0</v>
      </c>
      <c r="J116">
        <v>7725.8800463532207</v>
      </c>
      <c r="K116">
        <v>0</v>
      </c>
      <c r="L116">
        <v>993500.48827254912</v>
      </c>
      <c r="M116">
        <v>10613</v>
      </c>
      <c r="N116">
        <v>545</v>
      </c>
      <c r="O116">
        <v>5.1352115330255403E-2</v>
      </c>
    </row>
    <row r="117" spans="1:15" x14ac:dyDescent="0.25">
      <c r="A117" t="s">
        <v>62</v>
      </c>
      <c r="B117" t="s">
        <v>1171</v>
      </c>
      <c r="C117">
        <v>3738537.0414090063</v>
      </c>
      <c r="D117">
        <v>0</v>
      </c>
      <c r="E117">
        <v>2978522.03241322</v>
      </c>
      <c r="F117">
        <v>4094064.4262412712</v>
      </c>
      <c r="G117">
        <v>10811123.500063498</v>
      </c>
      <c r="H117">
        <v>10316420.056923801</v>
      </c>
      <c r="I117">
        <v>494703.44313969649</v>
      </c>
      <c r="J117">
        <v>79605.797839114923</v>
      </c>
      <c r="K117">
        <v>0</v>
      </c>
      <c r="L117">
        <v>10236814.259084687</v>
      </c>
      <c r="M117">
        <v>32613</v>
      </c>
      <c r="N117">
        <v>4346</v>
      </c>
      <c r="O117">
        <v>0.13326873378378801</v>
      </c>
    </row>
    <row r="118" spans="1:15" x14ac:dyDescent="0.25">
      <c r="A118" t="s">
        <v>235</v>
      </c>
      <c r="B118" t="s">
        <v>1175</v>
      </c>
      <c r="C118">
        <v>332022.08903150854</v>
      </c>
      <c r="D118">
        <v>0</v>
      </c>
      <c r="E118">
        <v>0</v>
      </c>
      <c r="F118">
        <v>0</v>
      </c>
      <c r="G118">
        <v>332022.08903150854</v>
      </c>
      <c r="H118">
        <v>321171.98309215502</v>
      </c>
      <c r="I118">
        <v>10850.105939353525</v>
      </c>
      <c r="J118">
        <v>2478.2969108031321</v>
      </c>
      <c r="K118">
        <v>0</v>
      </c>
      <c r="L118">
        <v>318693.68618135189</v>
      </c>
      <c r="M118">
        <v>9053</v>
      </c>
      <c r="N118">
        <v>386</v>
      </c>
      <c r="O118">
        <v>4.2637799624433897E-2</v>
      </c>
    </row>
    <row r="119" spans="1:15" x14ac:dyDescent="0.25">
      <c r="A119" t="s">
        <v>304</v>
      </c>
      <c r="B119" t="s">
        <v>1179</v>
      </c>
      <c r="C119">
        <v>167731.3662205807</v>
      </c>
      <c r="D119">
        <v>0</v>
      </c>
      <c r="E119">
        <v>80228.796658346153</v>
      </c>
      <c r="F119">
        <v>110276.79459297389</v>
      </c>
      <c r="G119">
        <v>358236.95747190074</v>
      </c>
      <c r="H119">
        <v>330912.22636314598</v>
      </c>
      <c r="I119">
        <v>27324.731108754757</v>
      </c>
      <c r="J119">
        <v>2553.4566883670473</v>
      </c>
      <c r="K119">
        <v>0</v>
      </c>
      <c r="L119">
        <v>328358.76967477892</v>
      </c>
      <c r="M119">
        <v>1509</v>
      </c>
      <c r="N119">
        <v>195</v>
      </c>
      <c r="O119">
        <v>0.12922465208747499</v>
      </c>
    </row>
    <row r="120" spans="1:15" x14ac:dyDescent="0.25">
      <c r="A120" t="s">
        <v>241</v>
      </c>
      <c r="B120" t="s">
        <v>1183</v>
      </c>
      <c r="C120">
        <v>75694.155012364659</v>
      </c>
      <c r="D120">
        <v>0</v>
      </c>
      <c r="E120">
        <v>36205.815927869058</v>
      </c>
      <c r="F120">
        <v>49765.938072726683</v>
      </c>
      <c r="G120">
        <v>161665.90901296039</v>
      </c>
      <c r="H120">
        <v>161665.90901296039</v>
      </c>
      <c r="I120">
        <v>0</v>
      </c>
      <c r="J120">
        <v>1247.4815487689607</v>
      </c>
      <c r="K120">
        <v>0</v>
      </c>
      <c r="L120">
        <v>160418.42746419142</v>
      </c>
      <c r="M120">
        <v>852</v>
      </c>
      <c r="N120">
        <v>88</v>
      </c>
      <c r="O120">
        <v>0.10328638497652599</v>
      </c>
    </row>
    <row r="121" spans="1:15" x14ac:dyDescent="0.25">
      <c r="A121" t="s">
        <v>243</v>
      </c>
      <c r="B121" t="s">
        <v>1189</v>
      </c>
      <c r="C121">
        <v>24084.503867570565</v>
      </c>
      <c r="D121">
        <v>0</v>
      </c>
      <c r="E121">
        <v>11520.032340685602</v>
      </c>
      <c r="F121">
        <v>15834.616659503943</v>
      </c>
      <c r="G121">
        <v>51439.152867760116</v>
      </c>
      <c r="H121">
        <v>42189.007941912379</v>
      </c>
      <c r="I121">
        <v>9250.1449258477369</v>
      </c>
      <c r="J121">
        <v>325.54797291359432</v>
      </c>
      <c r="K121">
        <v>0</v>
      </c>
      <c r="L121">
        <v>41863.459968998788</v>
      </c>
      <c r="M121">
        <v>218</v>
      </c>
      <c r="N121">
        <v>28</v>
      </c>
      <c r="O121">
        <v>0.12844036697247699</v>
      </c>
    </row>
    <row r="122" spans="1:15" x14ac:dyDescent="0.25">
      <c r="A122" t="s">
        <v>245</v>
      </c>
      <c r="B122" t="s">
        <v>1191</v>
      </c>
      <c r="C122">
        <v>64512.063930992575</v>
      </c>
      <c r="D122">
        <v>0</v>
      </c>
      <c r="E122">
        <v>30857.229483979296</v>
      </c>
      <c r="F122">
        <v>42414.151766528419</v>
      </c>
      <c r="G122">
        <v>137783.44518150028</v>
      </c>
      <c r="H122">
        <v>133904.01717950558</v>
      </c>
      <c r="I122">
        <v>3879.4280019947037</v>
      </c>
      <c r="J122">
        <v>1033.2592180834099</v>
      </c>
      <c r="K122">
        <v>0</v>
      </c>
      <c r="L122">
        <v>132870.75796142218</v>
      </c>
      <c r="M122">
        <v>768</v>
      </c>
      <c r="N122">
        <v>75</v>
      </c>
      <c r="O122">
        <v>9.765625E-2</v>
      </c>
    </row>
    <row r="123" spans="1:15" x14ac:dyDescent="0.25">
      <c r="A123" t="s">
        <v>247</v>
      </c>
      <c r="B123" t="s">
        <v>1196</v>
      </c>
      <c r="C123">
        <v>565125.68003549497</v>
      </c>
      <c r="D123">
        <v>0</v>
      </c>
      <c r="E123">
        <v>270309.33027965861</v>
      </c>
      <c r="F123">
        <v>371547.96947478881</v>
      </c>
      <c r="G123">
        <v>1206982.9797899423</v>
      </c>
      <c r="H123">
        <v>1155272.617306645</v>
      </c>
      <c r="I123">
        <v>51710.362483297242</v>
      </c>
      <c r="J123">
        <v>8914.5651219053743</v>
      </c>
      <c r="K123">
        <v>0</v>
      </c>
      <c r="L123">
        <v>1146358.0521847396</v>
      </c>
      <c r="M123">
        <v>6863</v>
      </c>
      <c r="N123">
        <v>657</v>
      </c>
      <c r="O123">
        <v>9.5730730001457098E-2</v>
      </c>
    </row>
    <row r="124" spans="1:15" x14ac:dyDescent="0.25">
      <c r="A124" t="s">
        <v>249</v>
      </c>
      <c r="B124" t="s">
        <v>1200</v>
      </c>
      <c r="C124">
        <v>397394.31381491438</v>
      </c>
      <c r="D124">
        <v>0</v>
      </c>
      <c r="E124">
        <v>190080.53362131256</v>
      </c>
      <c r="F124">
        <v>261271.17488181501</v>
      </c>
      <c r="G124">
        <v>848746.02231804188</v>
      </c>
      <c r="H124">
        <v>794473.7410477649</v>
      </c>
      <c r="I124">
        <v>54272.281270276988</v>
      </c>
      <c r="J124">
        <v>6130.4905838811219</v>
      </c>
      <c r="K124">
        <v>0</v>
      </c>
      <c r="L124">
        <v>788343.25046388374</v>
      </c>
      <c r="M124">
        <v>5685</v>
      </c>
      <c r="N124">
        <v>462</v>
      </c>
      <c r="O124">
        <v>8.1266490765171506E-2</v>
      </c>
    </row>
    <row r="125" spans="1:15" x14ac:dyDescent="0.25">
      <c r="A125" t="s">
        <v>63</v>
      </c>
      <c r="B125" t="s">
        <v>1203</v>
      </c>
      <c r="C125">
        <v>2411835.8047627471</v>
      </c>
      <c r="D125">
        <v>0</v>
      </c>
      <c r="E125">
        <v>1707694.3267709934</v>
      </c>
      <c r="F125">
        <v>2347275.0975297205</v>
      </c>
      <c r="G125">
        <v>6466805.2290634606</v>
      </c>
      <c r="H125">
        <v>6466805.2290634606</v>
      </c>
      <c r="I125">
        <v>0</v>
      </c>
      <c r="J125">
        <v>49900.56501084943</v>
      </c>
      <c r="K125">
        <v>0</v>
      </c>
      <c r="L125">
        <v>6416904.6640526112</v>
      </c>
      <c r="M125">
        <v>24506</v>
      </c>
      <c r="N125">
        <v>2804</v>
      </c>
      <c r="O125">
        <v>0.114417762498545</v>
      </c>
    </row>
    <row r="126" spans="1:15" x14ac:dyDescent="0.25">
      <c r="A126" t="s">
        <v>251</v>
      </c>
      <c r="B126" t="s">
        <v>1205</v>
      </c>
      <c r="C126">
        <v>103696.28457698962</v>
      </c>
      <c r="D126">
        <v>0</v>
      </c>
      <c r="E126">
        <v>50406.183171632561</v>
      </c>
      <c r="F126">
        <v>69506.782786760334</v>
      </c>
      <c r="G126">
        <v>223609.25053538251</v>
      </c>
      <c r="H126">
        <v>223609.25053538251</v>
      </c>
      <c r="I126">
        <v>0</v>
      </c>
      <c r="J126">
        <v>1725.4621947202415</v>
      </c>
      <c r="K126">
        <v>0</v>
      </c>
      <c r="L126">
        <v>221883.78834066226</v>
      </c>
      <c r="M126">
        <v>1410</v>
      </c>
      <c r="N126">
        <v>117</v>
      </c>
      <c r="O126">
        <v>8.29787234042553E-2</v>
      </c>
    </row>
    <row r="127" spans="1:15" x14ac:dyDescent="0.25">
      <c r="A127" t="s">
        <v>620</v>
      </c>
      <c r="B127" t="s">
        <v>1213</v>
      </c>
      <c r="C127">
        <v>707912.38153609214</v>
      </c>
      <c r="D127">
        <v>0</v>
      </c>
      <c r="E127">
        <v>365761.02681676799</v>
      </c>
      <c r="F127">
        <v>502749.07893925015</v>
      </c>
      <c r="G127">
        <v>1576422.4872921105</v>
      </c>
      <c r="H127">
        <v>1515574.7143018669</v>
      </c>
      <c r="I127">
        <v>60847.772990243509</v>
      </c>
      <c r="J127">
        <v>11694.80630403531</v>
      </c>
      <c r="K127">
        <v>0</v>
      </c>
      <c r="L127">
        <v>1503879.9079978317</v>
      </c>
      <c r="M127">
        <v>5917</v>
      </c>
      <c r="N127">
        <v>823</v>
      </c>
      <c r="O127">
        <v>0.13909075545039701</v>
      </c>
    </row>
    <row r="128" spans="1:15" x14ac:dyDescent="0.25">
      <c r="A128" t="s">
        <v>253</v>
      </c>
      <c r="B128" t="s">
        <v>1219</v>
      </c>
      <c r="C128">
        <v>239124.71697087921</v>
      </c>
      <c r="D128">
        <v>0</v>
      </c>
      <c r="E128">
        <v>114377.4639539499</v>
      </c>
      <c r="F128">
        <v>157215.12254793203</v>
      </c>
      <c r="G128">
        <v>510717.30347276112</v>
      </c>
      <c r="H128">
        <v>481746.63651937048</v>
      </c>
      <c r="I128">
        <v>28970.666953390639</v>
      </c>
      <c r="J128">
        <v>3717.357876552956</v>
      </c>
      <c r="K128">
        <v>0</v>
      </c>
      <c r="L128">
        <v>478029.27864281752</v>
      </c>
      <c r="M128">
        <v>3739</v>
      </c>
      <c r="N128">
        <v>278</v>
      </c>
      <c r="O128">
        <v>7.4351430863867404E-2</v>
      </c>
    </row>
    <row r="129" spans="1:15" x14ac:dyDescent="0.25">
      <c r="A129" t="s">
        <v>306</v>
      </c>
      <c r="B129" t="s">
        <v>1228</v>
      </c>
      <c r="C129">
        <v>374169.97079975705</v>
      </c>
      <c r="D129">
        <v>0</v>
      </c>
      <c r="E129">
        <v>178971.93100707998</v>
      </c>
      <c r="F129">
        <v>246002.08024586481</v>
      </c>
      <c r="G129">
        <v>799143.98205270187</v>
      </c>
      <c r="H129">
        <v>717691.70318508451</v>
      </c>
      <c r="I129">
        <v>81452.278867617366</v>
      </c>
      <c r="J129">
        <v>5538.0083710548251</v>
      </c>
      <c r="K129">
        <v>0</v>
      </c>
      <c r="L129">
        <v>712153.69481402973</v>
      </c>
      <c r="M129">
        <v>3207</v>
      </c>
      <c r="N129">
        <v>435</v>
      </c>
      <c r="O129">
        <v>0.135640785781104</v>
      </c>
    </row>
    <row r="130" spans="1:15" x14ac:dyDescent="0.25">
      <c r="A130" t="s">
        <v>255</v>
      </c>
      <c r="B130" t="s">
        <v>1230</v>
      </c>
      <c r="C130">
        <v>634798.70908096712</v>
      </c>
      <c r="D130">
        <v>0</v>
      </c>
      <c r="E130">
        <v>313303.73669400305</v>
      </c>
      <c r="F130">
        <v>430645.02093615168</v>
      </c>
      <c r="G130">
        <v>1378747.4667111218</v>
      </c>
      <c r="H130">
        <v>1236861.2475523625</v>
      </c>
      <c r="I130">
        <v>141886.21915875934</v>
      </c>
      <c r="J130">
        <v>9544.1370053177634</v>
      </c>
      <c r="K130">
        <v>0</v>
      </c>
      <c r="L130">
        <v>1227317.1105470448</v>
      </c>
      <c r="M130">
        <v>6288</v>
      </c>
      <c r="N130">
        <v>738</v>
      </c>
      <c r="O130">
        <v>0.11736641221374</v>
      </c>
    </row>
    <row r="131" spans="1:15" x14ac:dyDescent="0.25">
      <c r="A131" t="s">
        <v>68</v>
      </c>
      <c r="B131" t="s">
        <v>1231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75</v>
      </c>
      <c r="N131">
        <v>8</v>
      </c>
      <c r="O131">
        <v>0.106583047126301</v>
      </c>
    </row>
    <row r="132" spans="1:15" x14ac:dyDescent="0.25">
      <c r="A132" t="s">
        <v>256</v>
      </c>
      <c r="B132" t="s">
        <v>1235</v>
      </c>
      <c r="C132">
        <v>197778.34409386094</v>
      </c>
      <c r="D132">
        <v>0</v>
      </c>
      <c r="E132">
        <v>0</v>
      </c>
      <c r="F132">
        <v>0</v>
      </c>
      <c r="G132">
        <v>197778.34409386094</v>
      </c>
      <c r="H132">
        <v>197778.34409386094</v>
      </c>
      <c r="I132">
        <v>0</v>
      </c>
      <c r="J132">
        <v>1526.1401523025531</v>
      </c>
      <c r="K132">
        <v>0</v>
      </c>
      <c r="L132">
        <v>196252.2039415584</v>
      </c>
      <c r="M132">
        <v>4695</v>
      </c>
      <c r="N132">
        <v>229</v>
      </c>
      <c r="O132">
        <v>4.87752928647497E-2</v>
      </c>
    </row>
    <row r="133" spans="1:15" x14ac:dyDescent="0.25">
      <c r="A133" t="s">
        <v>307</v>
      </c>
      <c r="B133" t="s">
        <v>1237</v>
      </c>
      <c r="C133">
        <v>127303.8061571587</v>
      </c>
      <c r="D133">
        <v>0</v>
      </c>
      <c r="E133">
        <v>60891.599515052469</v>
      </c>
      <c r="F133">
        <v>83697.259485949413</v>
      </c>
      <c r="G133">
        <v>271892.66515816061</v>
      </c>
      <c r="H133">
        <v>252416.76801653919</v>
      </c>
      <c r="I133">
        <v>19475.897141621419</v>
      </c>
      <c r="J133">
        <v>1947.75300880091</v>
      </c>
      <c r="K133">
        <v>0</v>
      </c>
      <c r="L133">
        <v>250469.01500773829</v>
      </c>
      <c r="M133">
        <v>1210</v>
      </c>
      <c r="N133">
        <v>148</v>
      </c>
      <c r="O133">
        <v>0.122314049586777</v>
      </c>
    </row>
    <row r="134" spans="1:15" x14ac:dyDescent="0.25">
      <c r="A134" t="s">
        <v>258</v>
      </c>
      <c r="B134" t="s">
        <v>1240</v>
      </c>
      <c r="C134">
        <v>28385.308129636735</v>
      </c>
      <c r="D134">
        <v>0</v>
      </c>
      <c r="E134">
        <v>13577.18097295089</v>
      </c>
      <c r="F134">
        <v>18662.226777272503</v>
      </c>
      <c r="G134">
        <v>60624.71587986013</v>
      </c>
      <c r="H134">
        <v>52534.873657351862</v>
      </c>
      <c r="I134">
        <v>8089.8422225082686</v>
      </c>
      <c r="J134">
        <v>405.38098572903874</v>
      </c>
      <c r="K134">
        <v>0</v>
      </c>
      <c r="L134">
        <v>52129.492671622822</v>
      </c>
      <c r="M134">
        <v>226</v>
      </c>
      <c r="N134">
        <v>33</v>
      </c>
      <c r="O134">
        <v>0.146017699115044</v>
      </c>
    </row>
    <row r="135" spans="1:15" x14ac:dyDescent="0.25">
      <c r="A135" t="s">
        <v>643</v>
      </c>
      <c r="B135" t="s">
        <v>1252</v>
      </c>
      <c r="C135">
        <v>212459.73054606901</v>
      </c>
      <c r="D135">
        <v>0</v>
      </c>
      <c r="E135">
        <v>101623.14243390517</v>
      </c>
      <c r="F135">
        <v>139683.93981776695</v>
      </c>
      <c r="G135">
        <v>453766.81279774115</v>
      </c>
      <c r="H135">
        <v>411349.445933902</v>
      </c>
      <c r="I135">
        <v>42417.366863839154</v>
      </c>
      <c r="J135">
        <v>3174.1438070146241</v>
      </c>
      <c r="K135">
        <v>0</v>
      </c>
      <c r="L135">
        <v>408175.30212688737</v>
      </c>
      <c r="M135">
        <v>2649</v>
      </c>
      <c r="N135">
        <v>247</v>
      </c>
      <c r="O135">
        <v>9.3242733106832801E-2</v>
      </c>
    </row>
    <row r="136" spans="1:15" x14ac:dyDescent="0.25">
      <c r="A136" t="s">
        <v>647</v>
      </c>
      <c r="B136" t="s">
        <v>1256</v>
      </c>
      <c r="C136">
        <v>530719.2459389657</v>
      </c>
      <c r="D136">
        <v>0</v>
      </c>
      <c r="E136">
        <v>256704.33681447321</v>
      </c>
      <c r="F136">
        <v>353978.25141071988</v>
      </c>
      <c r="G136">
        <v>1141401.8341641589</v>
      </c>
      <c r="H136">
        <v>1141401.8341641589</v>
      </c>
      <c r="I136">
        <v>0</v>
      </c>
      <c r="J136">
        <v>8807.5323767652717</v>
      </c>
      <c r="K136">
        <v>0</v>
      </c>
      <c r="L136">
        <v>1132594.3017873936</v>
      </c>
      <c r="M136">
        <v>6528</v>
      </c>
      <c r="N136">
        <v>617</v>
      </c>
      <c r="O136">
        <v>9.4515931372549003E-2</v>
      </c>
    </row>
    <row r="137" spans="1:15" x14ac:dyDescent="0.25">
      <c r="A137" t="s">
        <v>309</v>
      </c>
      <c r="B137" t="s">
        <v>662</v>
      </c>
      <c r="C137">
        <v>705331.89897885255</v>
      </c>
      <c r="D137">
        <v>185512.81893637322</v>
      </c>
      <c r="E137">
        <v>436145.1946950042</v>
      </c>
      <c r="F137">
        <v>599494.1473809341</v>
      </c>
      <c r="G137">
        <v>1926484.0599911641</v>
      </c>
      <c r="H137">
        <v>1675519.025329435</v>
      </c>
      <c r="I137">
        <v>250965.03466172912</v>
      </c>
      <c r="J137">
        <v>12929.003285054105</v>
      </c>
      <c r="K137">
        <v>0</v>
      </c>
      <c r="L137">
        <v>1662590.0220443809</v>
      </c>
      <c r="M137">
        <v>3502</v>
      </c>
      <c r="N137">
        <v>820</v>
      </c>
      <c r="O137">
        <v>0.23415191319246101</v>
      </c>
    </row>
    <row r="138" spans="1:15" x14ac:dyDescent="0.25">
      <c r="A138" t="s">
        <v>312</v>
      </c>
      <c r="B138" t="s">
        <v>674</v>
      </c>
      <c r="C138">
        <v>2597685.7742879675</v>
      </c>
      <c r="D138">
        <v>683230.13803395978</v>
      </c>
      <c r="E138">
        <v>1877559.5566685265</v>
      </c>
      <c r="F138">
        <v>2580759.7544873646</v>
      </c>
      <c r="G138">
        <v>7739235.2234778181</v>
      </c>
      <c r="H138">
        <v>6741943.3857585592</v>
      </c>
      <c r="I138">
        <v>997291.83771925885</v>
      </c>
      <c r="J138">
        <v>52023.645726722083</v>
      </c>
      <c r="K138">
        <v>0</v>
      </c>
      <c r="L138">
        <v>6689919.7400318375</v>
      </c>
      <c r="M138">
        <v>18293</v>
      </c>
      <c r="N138">
        <v>3020</v>
      </c>
      <c r="O138">
        <v>0.16509047176515601</v>
      </c>
    </row>
    <row r="139" spans="1:15" x14ac:dyDescent="0.25">
      <c r="A139" t="s">
        <v>314</v>
      </c>
      <c r="B139" t="s">
        <v>687</v>
      </c>
      <c r="C139">
        <v>10906.893975764393</v>
      </c>
      <c r="D139">
        <v>2856.5758939464172</v>
      </c>
      <c r="E139">
        <v>6015.3466569807933</v>
      </c>
      <c r="F139">
        <v>8294.7639984994967</v>
      </c>
      <c r="G139">
        <v>28073.580525191101</v>
      </c>
      <c r="H139">
        <v>27553.880280457906</v>
      </c>
      <c r="I139">
        <v>519.70024473319427</v>
      </c>
      <c r="J139">
        <v>212.61722682736129</v>
      </c>
      <c r="K139">
        <v>0</v>
      </c>
      <c r="L139">
        <v>27341.263053630544</v>
      </c>
      <c r="M139">
        <v>78</v>
      </c>
      <c r="N139">
        <v>12</v>
      </c>
      <c r="O139">
        <v>0.15384615384615399</v>
      </c>
    </row>
    <row r="140" spans="1:15" x14ac:dyDescent="0.25">
      <c r="A140" t="s">
        <v>318</v>
      </c>
      <c r="B140" t="s">
        <v>691</v>
      </c>
      <c r="C140">
        <v>24084.503867570565</v>
      </c>
      <c r="D140">
        <v>3831.1206422324799</v>
      </c>
      <c r="E140">
        <v>11520.032340685602</v>
      </c>
      <c r="F140">
        <v>15834.616659503943</v>
      </c>
      <c r="G140">
        <v>55270.273509992592</v>
      </c>
      <c r="H140">
        <v>49748.682234204964</v>
      </c>
      <c r="I140">
        <v>5521.5912757876285</v>
      </c>
      <c r="J140">
        <v>383.88157120847058</v>
      </c>
      <c r="K140">
        <v>0</v>
      </c>
      <c r="L140">
        <v>49364.800662996495</v>
      </c>
      <c r="M140">
        <v>215</v>
      </c>
      <c r="N140">
        <v>28</v>
      </c>
      <c r="O140">
        <v>0.13023255813953499</v>
      </c>
    </row>
    <row r="141" spans="1:15" x14ac:dyDescent="0.25">
      <c r="A141" t="s">
        <v>55</v>
      </c>
      <c r="B141" t="s">
        <v>692</v>
      </c>
      <c r="C141">
        <v>818943.62050985161</v>
      </c>
      <c r="D141">
        <v>215394.39774479441</v>
      </c>
      <c r="E141">
        <v>457938.63271044398</v>
      </c>
      <c r="F141">
        <v>629449.8563982069</v>
      </c>
      <c r="G141">
        <v>2121726.507363297</v>
      </c>
      <c r="H141">
        <v>1832520.3649970335</v>
      </c>
      <c r="I141">
        <v>289206.14236626355</v>
      </c>
      <c r="J141">
        <v>14140.491072201832</v>
      </c>
      <c r="K141">
        <v>0</v>
      </c>
      <c r="L141">
        <v>1818379.8739248316</v>
      </c>
      <c r="M141">
        <v>4906</v>
      </c>
      <c r="N141">
        <v>952</v>
      </c>
      <c r="O141">
        <v>0.19407911484846699</v>
      </c>
    </row>
    <row r="142" spans="1:15" x14ac:dyDescent="0.25">
      <c r="A142" t="s">
        <v>322</v>
      </c>
      <c r="B142" t="s">
        <v>696</v>
      </c>
      <c r="C142">
        <v>152217.50260669328</v>
      </c>
      <c r="D142">
        <v>39577.771047698981</v>
      </c>
      <c r="E142">
        <v>110322.09072156889</v>
      </c>
      <c r="F142">
        <v>152126.84464236131</v>
      </c>
      <c r="G142">
        <v>454244.20901832241</v>
      </c>
      <c r="H142">
        <v>445972.91680634004</v>
      </c>
      <c r="I142">
        <v>8271.2922119823634</v>
      </c>
      <c r="J142">
        <v>3441.3129420005498</v>
      </c>
      <c r="K142">
        <v>0</v>
      </c>
      <c r="L142">
        <v>442531.60386433947</v>
      </c>
      <c r="M142">
        <v>677</v>
      </c>
      <c r="N142">
        <v>163</v>
      </c>
      <c r="O142">
        <v>0.24076809453471201</v>
      </c>
    </row>
    <row r="143" spans="1:15" x14ac:dyDescent="0.25">
      <c r="A143" t="s">
        <v>324</v>
      </c>
      <c r="B143" t="s">
        <v>698</v>
      </c>
      <c r="C143">
        <v>23268.04048163072</v>
      </c>
      <c r="D143">
        <v>6108.3489161976531</v>
      </c>
      <c r="E143">
        <v>16486.539034044137</v>
      </c>
      <c r="F143">
        <v>22733.843656499121</v>
      </c>
      <c r="G143">
        <v>68596.772088371625</v>
      </c>
      <c r="H143">
        <v>67314.273917028942</v>
      </c>
      <c r="I143">
        <v>1282.4981713426823</v>
      </c>
      <c r="J143">
        <v>519.42499932710837</v>
      </c>
      <c r="K143">
        <v>0</v>
      </c>
      <c r="L143">
        <v>66794.848917701835</v>
      </c>
      <c r="M143">
        <v>116</v>
      </c>
      <c r="N143">
        <v>27</v>
      </c>
      <c r="O143">
        <v>0.232758620689655</v>
      </c>
    </row>
    <row r="144" spans="1:15" x14ac:dyDescent="0.25">
      <c r="A144" t="s">
        <v>328</v>
      </c>
      <c r="B144" t="s">
        <v>704</v>
      </c>
      <c r="C144">
        <v>96338.015470282262</v>
      </c>
      <c r="D144">
        <v>25338.336244968072</v>
      </c>
      <c r="E144">
        <v>59789.207769652916</v>
      </c>
      <c r="F144">
        <v>82445.351263503588</v>
      </c>
      <c r="G144">
        <v>263910.91074840684</v>
      </c>
      <c r="H144">
        <v>258480.55597813337</v>
      </c>
      <c r="I144">
        <v>5430.354770273465</v>
      </c>
      <c r="J144">
        <v>1994.5437245672726</v>
      </c>
      <c r="K144">
        <v>0</v>
      </c>
      <c r="L144">
        <v>256486.01225356609</v>
      </c>
      <c r="M144">
        <v>550</v>
      </c>
      <c r="N144">
        <v>112</v>
      </c>
      <c r="O144">
        <v>0.203636363636364</v>
      </c>
    </row>
    <row r="145" spans="1:15" x14ac:dyDescent="0.25">
      <c r="A145" t="s">
        <v>334</v>
      </c>
      <c r="B145" t="s">
        <v>715</v>
      </c>
      <c r="C145">
        <v>23224.343015157338</v>
      </c>
      <c r="D145">
        <v>6108.3489161976531</v>
      </c>
      <c r="E145">
        <v>16955.523028545398</v>
      </c>
      <c r="F145">
        <v>23305.855355127336</v>
      </c>
      <c r="G145">
        <v>69594.070315027726</v>
      </c>
      <c r="H145">
        <v>51408.144873506972</v>
      </c>
      <c r="I145">
        <v>18185.925441520754</v>
      </c>
      <c r="J145">
        <v>396.68667672539652</v>
      </c>
      <c r="K145">
        <v>0</v>
      </c>
      <c r="L145">
        <v>51011.458196781576</v>
      </c>
      <c r="M145">
        <v>93</v>
      </c>
      <c r="N145">
        <v>27</v>
      </c>
      <c r="O145">
        <v>0.29032258064516098</v>
      </c>
    </row>
    <row r="146" spans="1:15" x14ac:dyDescent="0.25">
      <c r="A146" t="s">
        <v>336</v>
      </c>
      <c r="B146" t="s">
        <v>721</v>
      </c>
      <c r="C146">
        <v>662323.85635819065</v>
      </c>
      <c r="D146">
        <v>174201.06168415534</v>
      </c>
      <c r="E146">
        <v>348926.59784246102</v>
      </c>
      <c r="F146">
        <v>479609.67085370532</v>
      </c>
      <c r="G146">
        <v>1665061.1867385125</v>
      </c>
      <c r="H146">
        <v>1536573.5631600239</v>
      </c>
      <c r="I146">
        <v>128487.62357848859</v>
      </c>
      <c r="J146">
        <v>11856.842175765316</v>
      </c>
      <c r="K146">
        <v>0</v>
      </c>
      <c r="L146">
        <v>1524716.7209842585</v>
      </c>
      <c r="M146">
        <v>4274</v>
      </c>
      <c r="N146">
        <v>770</v>
      </c>
      <c r="O146">
        <v>0.18015910154422099</v>
      </c>
    </row>
    <row r="147" spans="1:15" x14ac:dyDescent="0.25">
      <c r="A147" t="s">
        <v>109</v>
      </c>
      <c r="B147" t="s">
        <v>729</v>
      </c>
      <c r="C147">
        <v>151969.38939565056</v>
      </c>
      <c r="D147">
        <v>39801.624122320078</v>
      </c>
      <c r="E147">
        <v>80540.048045916323</v>
      </c>
      <c r="F147">
        <v>111059.38345106077</v>
      </c>
      <c r="G147">
        <v>383370.44501494768</v>
      </c>
      <c r="H147">
        <v>376272.1849380912</v>
      </c>
      <c r="I147">
        <v>7098.2600768564735</v>
      </c>
      <c r="J147">
        <v>2903.4730382620164</v>
      </c>
      <c r="K147">
        <v>0</v>
      </c>
      <c r="L147">
        <v>373368.71189982921</v>
      </c>
      <c r="M147">
        <v>1152</v>
      </c>
      <c r="N147">
        <v>174</v>
      </c>
      <c r="O147">
        <v>0.15104166666666699</v>
      </c>
    </row>
    <row r="148" spans="1:15" x14ac:dyDescent="0.25">
      <c r="A148" t="s">
        <v>342</v>
      </c>
      <c r="B148" t="s">
        <v>731</v>
      </c>
      <c r="C148">
        <v>521257.47656242014</v>
      </c>
      <c r="D148">
        <v>137098.49789688073</v>
      </c>
      <c r="E148">
        <v>301950.02482023631</v>
      </c>
      <c r="F148">
        <v>415039.01655466965</v>
      </c>
      <c r="G148">
        <v>1375345.0158342069</v>
      </c>
      <c r="H148">
        <v>1208414.2135432558</v>
      </c>
      <c r="I148">
        <v>166930.80229095113</v>
      </c>
      <c r="J148">
        <v>9324.6278319847588</v>
      </c>
      <c r="K148">
        <v>0</v>
      </c>
      <c r="L148">
        <v>1199089.585711271</v>
      </c>
      <c r="M148">
        <v>2795</v>
      </c>
      <c r="N148">
        <v>606</v>
      </c>
      <c r="O148">
        <v>0.21681574239713799</v>
      </c>
    </row>
    <row r="149" spans="1:15" x14ac:dyDescent="0.25">
      <c r="A149" t="s">
        <v>344</v>
      </c>
      <c r="B149" t="s">
        <v>733</v>
      </c>
      <c r="C149">
        <v>128163.96700957193</v>
      </c>
      <c r="D149">
        <v>23118.831461747723</v>
      </c>
      <c r="E149">
        <v>61303.029241505552</v>
      </c>
      <c r="F149">
        <v>84262.78150950314</v>
      </c>
      <c r="G149">
        <v>296848.60922232835</v>
      </c>
      <c r="H149">
        <v>290439.30279579235</v>
      </c>
      <c r="I149">
        <v>6409.3064265360008</v>
      </c>
      <c r="J149">
        <v>2241.1507378839278</v>
      </c>
      <c r="K149">
        <v>0</v>
      </c>
      <c r="L149">
        <v>288198.15205790842</v>
      </c>
      <c r="M149">
        <v>1062</v>
      </c>
      <c r="N149">
        <v>149</v>
      </c>
      <c r="O149">
        <v>0.14030131826742001</v>
      </c>
    </row>
    <row r="150" spans="1:15" x14ac:dyDescent="0.25">
      <c r="A150" t="s">
        <v>346</v>
      </c>
      <c r="B150" t="s">
        <v>735</v>
      </c>
      <c r="C150">
        <v>1713440.4180071636</v>
      </c>
      <c r="D150">
        <v>319964.62743058853</v>
      </c>
      <c r="E150">
        <v>1087203.0521522036</v>
      </c>
      <c r="F150">
        <v>1494391.9472406842</v>
      </c>
      <c r="G150">
        <v>4615000.0448306398</v>
      </c>
      <c r="H150">
        <v>4269881.3345384989</v>
      </c>
      <c r="I150">
        <v>345118.71029214095</v>
      </c>
      <c r="J150">
        <v>32948.184393301752</v>
      </c>
      <c r="K150">
        <v>0</v>
      </c>
      <c r="L150">
        <v>4236933.1501451973</v>
      </c>
      <c r="M150">
        <v>13680</v>
      </c>
      <c r="N150">
        <v>1992</v>
      </c>
      <c r="O150">
        <v>0.145614035087719</v>
      </c>
    </row>
    <row r="151" spans="1:15" x14ac:dyDescent="0.25">
      <c r="A151" t="s">
        <v>352</v>
      </c>
      <c r="B151" t="s">
        <v>743</v>
      </c>
      <c r="C151">
        <v>36986.916653769083</v>
      </c>
      <c r="D151">
        <v>9728.1112369073799</v>
      </c>
      <c r="E151">
        <v>21104.596390704417</v>
      </c>
      <c r="F151">
        <v>29008.876339705337</v>
      </c>
      <c r="G151">
        <v>96828.500621086219</v>
      </c>
      <c r="H151">
        <v>85930.473357811294</v>
      </c>
      <c r="I151">
        <v>10898.027263274926</v>
      </c>
      <c r="J151">
        <v>663.07535488053099</v>
      </c>
      <c r="K151">
        <v>0</v>
      </c>
      <c r="L151">
        <v>85267.398002930757</v>
      </c>
      <c r="M151">
        <v>205</v>
      </c>
      <c r="N151">
        <v>43</v>
      </c>
      <c r="O151">
        <v>0.20975609756097599</v>
      </c>
    </row>
    <row r="152" spans="1:15" x14ac:dyDescent="0.25">
      <c r="A152" t="s">
        <v>356</v>
      </c>
      <c r="B152" t="s">
        <v>749</v>
      </c>
      <c r="C152">
        <v>121282.6801902661</v>
      </c>
      <c r="D152">
        <v>31899.155451254424</v>
      </c>
      <c r="E152">
        <v>67098.181510487426</v>
      </c>
      <c r="F152">
        <v>92228.385420066552</v>
      </c>
      <c r="G152">
        <v>312508.4025720745</v>
      </c>
      <c r="H152">
        <v>281226.14840362174</v>
      </c>
      <c r="I152">
        <v>31282.254168452753</v>
      </c>
      <c r="J152">
        <v>2170.0581978403052</v>
      </c>
      <c r="K152">
        <v>0</v>
      </c>
      <c r="L152">
        <v>279056.09020578145</v>
      </c>
      <c r="M152">
        <v>716</v>
      </c>
      <c r="N152">
        <v>141</v>
      </c>
      <c r="O152">
        <v>0.19692737430167601</v>
      </c>
    </row>
    <row r="153" spans="1:15" x14ac:dyDescent="0.25">
      <c r="A153" t="s">
        <v>113</v>
      </c>
      <c r="B153" t="s">
        <v>753</v>
      </c>
      <c r="C153">
        <v>41287.720915835263</v>
      </c>
      <c r="D153">
        <v>10859.286962129165</v>
      </c>
      <c r="E153">
        <v>19748.62686974676</v>
      </c>
      <c r="F153">
        <v>27145.057130578192</v>
      </c>
      <c r="G153">
        <v>99040.691878289377</v>
      </c>
      <c r="H153">
        <v>77071.371846258204</v>
      </c>
      <c r="I153">
        <v>21969.320032031173</v>
      </c>
      <c r="J153">
        <v>594.71483446031232</v>
      </c>
      <c r="K153">
        <v>0</v>
      </c>
      <c r="L153">
        <v>76476.657011797884</v>
      </c>
      <c r="M153">
        <v>315</v>
      </c>
      <c r="N153">
        <v>48</v>
      </c>
      <c r="O153">
        <v>0.15238095238095201</v>
      </c>
    </row>
    <row r="154" spans="1:15" x14ac:dyDescent="0.25">
      <c r="A154" t="s">
        <v>358</v>
      </c>
      <c r="B154" t="s">
        <v>755</v>
      </c>
      <c r="C154">
        <v>34406.434096529389</v>
      </c>
      <c r="D154">
        <v>9049.4058017743064</v>
      </c>
      <c r="E154">
        <v>16925.416658312195</v>
      </c>
      <c r="F154">
        <v>23264.473281053786</v>
      </c>
      <c r="G154">
        <v>83645.729837669671</v>
      </c>
      <c r="H154">
        <v>75776.009037055468</v>
      </c>
      <c r="I154">
        <v>7869.7208006142027</v>
      </c>
      <c r="J154">
        <v>584.71927501733535</v>
      </c>
      <c r="K154">
        <v>0</v>
      </c>
      <c r="L154">
        <v>75191.289762038126</v>
      </c>
      <c r="M154">
        <v>247</v>
      </c>
      <c r="N154">
        <v>40</v>
      </c>
      <c r="O154">
        <v>0.16194331983805699</v>
      </c>
    </row>
    <row r="155" spans="1:15" x14ac:dyDescent="0.25">
      <c r="A155" t="s">
        <v>362</v>
      </c>
      <c r="B155" t="s">
        <v>759</v>
      </c>
      <c r="C155">
        <v>57630.777111686715</v>
      </c>
      <c r="D155">
        <v>15157.754717971962</v>
      </c>
      <c r="E155">
        <v>31654.066006687259</v>
      </c>
      <c r="F155">
        <v>43509.426545646071</v>
      </c>
      <c r="G155">
        <v>147952.024381992</v>
      </c>
      <c r="H155">
        <v>128418.52545356016</v>
      </c>
      <c r="I155">
        <v>19533.498928431844</v>
      </c>
      <c r="J155">
        <v>990.93087714980504</v>
      </c>
      <c r="K155">
        <v>0</v>
      </c>
      <c r="L155">
        <v>127427.59457641035</v>
      </c>
      <c r="M155">
        <v>345</v>
      </c>
      <c r="N155">
        <v>67</v>
      </c>
      <c r="O155">
        <v>0.19420289855072501</v>
      </c>
    </row>
    <row r="156" spans="1:15" x14ac:dyDescent="0.25">
      <c r="A156" t="s">
        <v>378</v>
      </c>
      <c r="B156" t="s">
        <v>781</v>
      </c>
      <c r="C156">
        <v>696730.29045472003</v>
      </c>
      <c r="D156">
        <v>183250.46748592958</v>
      </c>
      <c r="E156">
        <v>358256.07546207891</v>
      </c>
      <c r="F156">
        <v>492433.30687930348</v>
      </c>
      <c r="G156">
        <v>1730670.1402820321</v>
      </c>
      <c r="H156">
        <v>1497691.5998034885</v>
      </c>
      <c r="I156">
        <v>232978.54047854361</v>
      </c>
      <c r="J156">
        <v>11556.812737503844</v>
      </c>
      <c r="K156">
        <v>0</v>
      </c>
      <c r="L156">
        <v>1486134.7870659847</v>
      </c>
      <c r="M156">
        <v>4679</v>
      </c>
      <c r="N156">
        <v>810</v>
      </c>
      <c r="O156">
        <v>0.17311391322932199</v>
      </c>
    </row>
    <row r="157" spans="1:15" x14ac:dyDescent="0.25">
      <c r="A157" t="s">
        <v>386</v>
      </c>
      <c r="B157" t="s">
        <v>795</v>
      </c>
      <c r="C157">
        <v>282132.7595915409</v>
      </c>
      <c r="D157">
        <v>74205.127574549319</v>
      </c>
      <c r="E157">
        <v>159816.66808882373</v>
      </c>
      <c r="F157">
        <v>219672.61897765574</v>
      </c>
      <c r="G157">
        <v>735827.17423256964</v>
      </c>
      <c r="H157">
        <v>628852.68134235113</v>
      </c>
      <c r="I157">
        <v>106974.49289021851</v>
      </c>
      <c r="J157">
        <v>4852.489443557205</v>
      </c>
      <c r="K157">
        <v>0</v>
      </c>
      <c r="L157">
        <v>624000.19189879391</v>
      </c>
      <c r="M157">
        <v>1588</v>
      </c>
      <c r="N157">
        <v>328</v>
      </c>
      <c r="O157">
        <v>0.20654911838790899</v>
      </c>
    </row>
    <row r="158" spans="1:15" x14ac:dyDescent="0.25">
      <c r="A158" t="s">
        <v>390</v>
      </c>
      <c r="B158" t="s">
        <v>799</v>
      </c>
      <c r="C158">
        <v>60211.25966892641</v>
      </c>
      <c r="D158">
        <v>15836.460153105038</v>
      </c>
      <c r="E158">
        <v>30881.462694867372</v>
      </c>
      <c r="F158">
        <v>42447.461013715765</v>
      </c>
      <c r="G158">
        <v>149376.64353061459</v>
      </c>
      <c r="H158">
        <v>134440.77895026284</v>
      </c>
      <c r="I158">
        <v>14935.864580351743</v>
      </c>
      <c r="J158">
        <v>1037.4010956702953</v>
      </c>
      <c r="K158">
        <v>0</v>
      </c>
      <c r="L158">
        <v>133403.37785459255</v>
      </c>
      <c r="M158">
        <v>406</v>
      </c>
      <c r="N158">
        <v>70</v>
      </c>
      <c r="O158">
        <v>0.17241379310344801</v>
      </c>
    </row>
    <row r="159" spans="1:15" x14ac:dyDescent="0.25">
      <c r="A159" t="s">
        <v>392</v>
      </c>
      <c r="B159" t="s">
        <v>803</v>
      </c>
      <c r="C159">
        <v>399974.79637215415</v>
      </c>
      <c r="D159">
        <v>105199.34244562633</v>
      </c>
      <c r="E159">
        <v>195141.42782897988</v>
      </c>
      <c r="F159">
        <v>268227.51991304336</v>
      </c>
      <c r="G159">
        <v>968543.08655980369</v>
      </c>
      <c r="H159">
        <v>812743.55605505535</v>
      </c>
      <c r="I159">
        <v>155799.53050474834</v>
      </c>
      <c r="J159">
        <v>6271.4680927459622</v>
      </c>
      <c r="K159">
        <v>0</v>
      </c>
      <c r="L159">
        <v>806472.08796230936</v>
      </c>
      <c r="M159">
        <v>2905</v>
      </c>
      <c r="N159">
        <v>465</v>
      </c>
      <c r="O159">
        <v>0.160068846815835</v>
      </c>
    </row>
    <row r="160" spans="1:15" x14ac:dyDescent="0.25">
      <c r="A160" t="s">
        <v>396</v>
      </c>
      <c r="B160" t="s">
        <v>811</v>
      </c>
      <c r="C160">
        <v>13904.48341118833</v>
      </c>
      <c r="D160">
        <v>3615.2771630109637</v>
      </c>
      <c r="E160">
        <v>10424.757619893451</v>
      </c>
      <c r="F160">
        <v>14375.049208215831</v>
      </c>
      <c r="G160">
        <v>42319.567402308574</v>
      </c>
      <c r="H160">
        <v>41548.85923408786</v>
      </c>
      <c r="I160">
        <v>770.70816822071356</v>
      </c>
      <c r="J160">
        <v>320.60831862064526</v>
      </c>
      <c r="K160">
        <v>0</v>
      </c>
      <c r="L160">
        <v>41228.250915467215</v>
      </c>
      <c r="M160">
        <v>56</v>
      </c>
      <c r="N160">
        <v>14</v>
      </c>
      <c r="O160">
        <v>0.25</v>
      </c>
    </row>
    <row r="161" spans="1:15" x14ac:dyDescent="0.25">
      <c r="A161" t="s">
        <v>398</v>
      </c>
      <c r="B161" t="s">
        <v>813</v>
      </c>
      <c r="C161">
        <v>3658264.1053134864</v>
      </c>
      <c r="D161">
        <v>962178.07187365333</v>
      </c>
      <c r="E161">
        <v>2892145.2621017662</v>
      </c>
      <c r="F161">
        <v>3975337.0645708186</v>
      </c>
      <c r="G161">
        <v>11487924.503859725</v>
      </c>
      <c r="H161">
        <v>10083859.456038302</v>
      </c>
      <c r="I161">
        <v>1404065.047821423</v>
      </c>
      <c r="J161">
        <v>77811.263293479671</v>
      </c>
      <c r="K161">
        <v>0</v>
      </c>
      <c r="L161">
        <v>10006048.192744821</v>
      </c>
      <c r="M161">
        <v>24062</v>
      </c>
      <c r="N161">
        <v>4253</v>
      </c>
      <c r="O161">
        <v>0.17675172471116299</v>
      </c>
    </row>
    <row r="162" spans="1:15" x14ac:dyDescent="0.25">
      <c r="A162" t="s">
        <v>402</v>
      </c>
      <c r="B162" t="s">
        <v>821</v>
      </c>
      <c r="C162">
        <v>1082082.3523358491</v>
      </c>
      <c r="D162">
        <v>208730.02119749374</v>
      </c>
      <c r="E162">
        <v>634218.92332738778</v>
      </c>
      <c r="F162">
        <v>871752.19930804719</v>
      </c>
      <c r="G162">
        <v>2796783.4961687778</v>
      </c>
      <c r="H162">
        <v>2725369.7159458031</v>
      </c>
      <c r="I162">
        <v>71413.780222974718</v>
      </c>
      <c r="J162">
        <v>21030.088872623943</v>
      </c>
      <c r="K162">
        <v>0</v>
      </c>
      <c r="L162">
        <v>2704339.627073179</v>
      </c>
      <c r="M162">
        <v>9266</v>
      </c>
      <c r="N162">
        <v>1258</v>
      </c>
      <c r="O162">
        <v>0.13576516296136401</v>
      </c>
    </row>
    <row r="163" spans="1:15" x14ac:dyDescent="0.25">
      <c r="A163" t="s">
        <v>404</v>
      </c>
      <c r="B163" t="s">
        <v>825</v>
      </c>
      <c r="C163">
        <v>30105.629834463205</v>
      </c>
      <c r="D163">
        <v>7918.2300765525188</v>
      </c>
      <c r="E163">
        <v>21229.887028152545</v>
      </c>
      <c r="F163">
        <v>29181.091933928026</v>
      </c>
      <c r="G163">
        <v>88434.838873096291</v>
      </c>
      <c r="H163">
        <v>73506.209508646702</v>
      </c>
      <c r="I163">
        <v>14928.629364449589</v>
      </c>
      <c r="J163">
        <v>567.20455562855307</v>
      </c>
      <c r="K163">
        <v>0</v>
      </c>
      <c r="L163">
        <v>72939.004953018142</v>
      </c>
      <c r="M163">
        <v>127</v>
      </c>
      <c r="N163">
        <v>35</v>
      </c>
      <c r="O163">
        <v>0.27559055118110198</v>
      </c>
    </row>
    <row r="164" spans="1:15" x14ac:dyDescent="0.25">
      <c r="A164" t="s">
        <v>406</v>
      </c>
      <c r="B164" t="s">
        <v>829</v>
      </c>
      <c r="C164">
        <v>189235.3875309116</v>
      </c>
      <c r="D164">
        <v>49771.731909758695</v>
      </c>
      <c r="E164">
        <v>113302.23013886208</v>
      </c>
      <c r="F164">
        <v>156236.25920459378</v>
      </c>
      <c r="G164">
        <v>508545.60878412618</v>
      </c>
      <c r="H164">
        <v>489698.52106091147</v>
      </c>
      <c r="I164">
        <v>18847.087723214703</v>
      </c>
      <c r="J164">
        <v>3778.7179326345276</v>
      </c>
      <c r="K164">
        <v>0</v>
      </c>
      <c r="L164">
        <v>485919.80312827695</v>
      </c>
      <c r="M164">
        <v>1055</v>
      </c>
      <c r="N164">
        <v>220</v>
      </c>
      <c r="O164">
        <v>0.208530805687204</v>
      </c>
    </row>
    <row r="165" spans="1:15" x14ac:dyDescent="0.25">
      <c r="A165" t="s">
        <v>408</v>
      </c>
      <c r="B165" t="s">
        <v>831</v>
      </c>
      <c r="C165">
        <v>97198.176322695494</v>
      </c>
      <c r="D165">
        <v>25564.571390012414</v>
      </c>
      <c r="E165">
        <v>48716.920765121067</v>
      </c>
      <c r="F165">
        <v>66962.812458667948</v>
      </c>
      <c r="G165">
        <v>238442.48093649693</v>
      </c>
      <c r="H165">
        <v>208784.07072246954</v>
      </c>
      <c r="I165">
        <v>29658.41021402739</v>
      </c>
      <c r="J165">
        <v>1611.0649270049537</v>
      </c>
      <c r="K165">
        <v>0</v>
      </c>
      <c r="L165">
        <v>207173.00579546459</v>
      </c>
      <c r="M165">
        <v>679</v>
      </c>
      <c r="N165">
        <v>113</v>
      </c>
      <c r="O165">
        <v>0.166421207658321</v>
      </c>
    </row>
    <row r="166" spans="1:15" x14ac:dyDescent="0.25">
      <c r="A166" t="s">
        <v>410</v>
      </c>
      <c r="B166" t="s">
        <v>833</v>
      </c>
      <c r="C166">
        <v>574587.44941204041</v>
      </c>
      <c r="D166">
        <v>151125.07688963084</v>
      </c>
      <c r="E166">
        <v>301543.3471071237</v>
      </c>
      <c r="F166">
        <v>414480.02631048771</v>
      </c>
      <c r="G166">
        <v>1441735.8997192828</v>
      </c>
      <c r="H166">
        <v>1295642.7492225186</v>
      </c>
      <c r="I166">
        <v>146093.15049676411</v>
      </c>
      <c r="J166">
        <v>9997.719576870144</v>
      </c>
      <c r="K166">
        <v>0</v>
      </c>
      <c r="L166">
        <v>1285645.0296456486</v>
      </c>
      <c r="M166">
        <v>3732</v>
      </c>
      <c r="N166">
        <v>668</v>
      </c>
      <c r="O166">
        <v>0.17899249732047201</v>
      </c>
    </row>
    <row r="167" spans="1:15" x14ac:dyDescent="0.25">
      <c r="A167" t="s">
        <v>412</v>
      </c>
      <c r="B167" t="s">
        <v>835</v>
      </c>
      <c r="C167">
        <v>319119.67624530999</v>
      </c>
      <c r="D167">
        <v>83933.238811456642</v>
      </c>
      <c r="E167">
        <v>197031.54627804836</v>
      </c>
      <c r="F167">
        <v>270825.54222729965</v>
      </c>
      <c r="G167">
        <v>870910.00356211467</v>
      </c>
      <c r="H167">
        <v>866810.14018499397</v>
      </c>
      <c r="I167">
        <v>4099.8633771206951</v>
      </c>
      <c r="J167">
        <v>6688.6683950165925</v>
      </c>
      <c r="K167">
        <v>0</v>
      </c>
      <c r="L167">
        <v>860121.4717899774</v>
      </c>
      <c r="M167">
        <v>1587</v>
      </c>
      <c r="N167">
        <v>371</v>
      </c>
      <c r="O167">
        <v>0.23377441713925601</v>
      </c>
    </row>
    <row r="168" spans="1:15" x14ac:dyDescent="0.25">
      <c r="A168" t="s">
        <v>416</v>
      </c>
      <c r="B168" t="s">
        <v>841</v>
      </c>
      <c r="C168">
        <v>36986.916653769083</v>
      </c>
      <c r="D168">
        <v>9728.1112369073799</v>
      </c>
      <c r="E168">
        <v>22480.427681706606</v>
      </c>
      <c r="F168">
        <v>30899.996124519541</v>
      </c>
      <c r="G168">
        <v>100095.45169690262</v>
      </c>
      <c r="H168">
        <v>89603.368395415993</v>
      </c>
      <c r="I168">
        <v>10492.083301486622</v>
      </c>
      <c r="J168">
        <v>691.41694413673974</v>
      </c>
      <c r="K168">
        <v>0</v>
      </c>
      <c r="L168">
        <v>88911.951451279252</v>
      </c>
      <c r="M168">
        <v>187</v>
      </c>
      <c r="N168">
        <v>43</v>
      </c>
      <c r="O168">
        <v>0.22994652406417099</v>
      </c>
    </row>
    <row r="169" spans="1:15" x14ac:dyDescent="0.25">
      <c r="A169" t="s">
        <v>420</v>
      </c>
      <c r="B169" t="s">
        <v>849</v>
      </c>
      <c r="C169">
        <v>202137.80031711009</v>
      </c>
      <c r="D169">
        <v>53165.259085424041</v>
      </c>
      <c r="E169">
        <v>108048.35818597722</v>
      </c>
      <c r="F169">
        <v>148515.58415520051</v>
      </c>
      <c r="G169">
        <v>511867.00174371188</v>
      </c>
      <c r="H169">
        <v>448600.90764418733</v>
      </c>
      <c r="I169">
        <v>63266.094099524547</v>
      </c>
      <c r="J169">
        <v>3461.5916148547353</v>
      </c>
      <c r="K169">
        <v>0</v>
      </c>
      <c r="L169">
        <v>445139.31602933258</v>
      </c>
      <c r="M169">
        <v>1272</v>
      </c>
      <c r="N169">
        <v>235</v>
      </c>
      <c r="O169">
        <v>0.18474842767295599</v>
      </c>
    </row>
    <row r="170" spans="1:15" x14ac:dyDescent="0.25">
      <c r="A170" t="s">
        <v>57</v>
      </c>
      <c r="B170" t="s">
        <v>850</v>
      </c>
      <c r="C170">
        <v>2596365.3703149585</v>
      </c>
      <c r="D170">
        <v>682882.85207748681</v>
      </c>
      <c r="E170">
        <v>1901977.9660230386</v>
      </c>
      <c r="F170">
        <v>2622701.4431826072</v>
      </c>
      <c r="G170">
        <v>7803927.6315980917</v>
      </c>
      <c r="H170">
        <v>7511449.8312141933</v>
      </c>
      <c r="I170">
        <v>292477.80038389843</v>
      </c>
      <c r="J170">
        <v>57961.478249519052</v>
      </c>
      <c r="K170">
        <v>0</v>
      </c>
      <c r="L170">
        <v>7453488.3529646741</v>
      </c>
      <c r="M170">
        <v>19508</v>
      </c>
      <c r="N170">
        <v>3018</v>
      </c>
      <c r="O170">
        <v>0.154727342732322</v>
      </c>
    </row>
    <row r="171" spans="1:15" x14ac:dyDescent="0.25">
      <c r="A171" t="s">
        <v>422</v>
      </c>
      <c r="B171" t="s">
        <v>854</v>
      </c>
      <c r="C171">
        <v>101797.67710713435</v>
      </c>
      <c r="D171">
        <v>26695.747115234211</v>
      </c>
      <c r="E171">
        <v>57685.134492198405</v>
      </c>
      <c r="F171">
        <v>79543.973792301535</v>
      </c>
      <c r="G171">
        <v>265722.53250686853</v>
      </c>
      <c r="H171">
        <v>260770.32273786669</v>
      </c>
      <c r="I171">
        <v>4952.2097690018418</v>
      </c>
      <c r="J171">
        <v>2012.2125194368382</v>
      </c>
      <c r="K171">
        <v>0</v>
      </c>
      <c r="L171">
        <v>258758.11021842985</v>
      </c>
      <c r="M171">
        <v>695</v>
      </c>
      <c r="N171">
        <v>118</v>
      </c>
      <c r="O171">
        <v>0.16978417266186999</v>
      </c>
    </row>
    <row r="172" spans="1:15" x14ac:dyDescent="0.25">
      <c r="A172" t="s">
        <v>424</v>
      </c>
      <c r="B172" t="s">
        <v>856</v>
      </c>
      <c r="C172">
        <v>430080.42620661733</v>
      </c>
      <c r="D172">
        <v>113117.57252217885</v>
      </c>
      <c r="E172">
        <v>303084.7274343074</v>
      </c>
      <c r="F172">
        <v>416598.69801952934</v>
      </c>
      <c r="G172">
        <v>1262881.4241826329</v>
      </c>
      <c r="H172">
        <v>1048566.2408523533</v>
      </c>
      <c r="I172">
        <v>214315.18333027966</v>
      </c>
      <c r="J172">
        <v>8091.1742377329283</v>
      </c>
      <c r="K172">
        <v>0</v>
      </c>
      <c r="L172">
        <v>1040475.0666146204</v>
      </c>
      <c r="M172">
        <v>1816</v>
      </c>
      <c r="N172">
        <v>500</v>
      </c>
      <c r="O172">
        <v>0.27533039647577101</v>
      </c>
    </row>
    <row r="173" spans="1:15" x14ac:dyDescent="0.25">
      <c r="A173" t="s">
        <v>74</v>
      </c>
      <c r="B173" t="s">
        <v>858</v>
      </c>
      <c r="C173">
        <v>75958.143167542788</v>
      </c>
      <c r="D173">
        <v>19893.858068435708</v>
      </c>
      <c r="E173">
        <v>46850.096294803756</v>
      </c>
      <c r="F173">
        <v>64603.174884591455</v>
      </c>
      <c r="G173">
        <v>207305.27241537371</v>
      </c>
      <c r="H173">
        <v>203469.55607124013</v>
      </c>
      <c r="I173">
        <v>3835.7163441335724</v>
      </c>
      <c r="J173">
        <v>1570.0559164562949</v>
      </c>
      <c r="K173">
        <v>0</v>
      </c>
      <c r="L173">
        <v>201899.50015478383</v>
      </c>
      <c r="M173">
        <v>401</v>
      </c>
      <c r="N173">
        <v>72</v>
      </c>
      <c r="O173">
        <v>0.179714267172806</v>
      </c>
    </row>
    <row r="174" spans="1:15" x14ac:dyDescent="0.25">
      <c r="A174" t="s">
        <v>75</v>
      </c>
      <c r="B174" t="s">
        <v>859</v>
      </c>
      <c r="C174">
        <v>48482.910779599428</v>
      </c>
      <c r="D174">
        <v>12675.360069105345</v>
      </c>
      <c r="E174">
        <v>29900.816865727229</v>
      </c>
      <c r="F174">
        <v>41231.566605584543</v>
      </c>
      <c r="G174">
        <v>132290.65432001653</v>
      </c>
      <c r="H174">
        <v>113825.52046722815</v>
      </c>
      <c r="I174">
        <v>18465.133852788378</v>
      </c>
      <c r="J174">
        <v>878.32516718479815</v>
      </c>
      <c r="K174">
        <v>0</v>
      </c>
      <c r="L174">
        <v>112947.19530004336</v>
      </c>
      <c r="M174">
        <v>327</v>
      </c>
      <c r="N174">
        <v>54</v>
      </c>
      <c r="O174">
        <v>0.16616911574533999</v>
      </c>
    </row>
    <row r="175" spans="1:15" x14ac:dyDescent="0.25">
      <c r="A175" t="s">
        <v>145</v>
      </c>
      <c r="B175" t="s">
        <v>867</v>
      </c>
      <c r="C175">
        <v>18923.538753091165</v>
      </c>
      <c r="D175">
        <v>4977.1731909758673</v>
      </c>
      <c r="E175">
        <v>16855.247318465626</v>
      </c>
      <c r="F175">
        <v>23168.023499936706</v>
      </c>
      <c r="G175">
        <v>63923.982762469372</v>
      </c>
      <c r="H175">
        <v>49304.888640579942</v>
      </c>
      <c r="I175">
        <v>14619.09412188943</v>
      </c>
      <c r="J175">
        <v>380.45707483264715</v>
      </c>
      <c r="K175">
        <v>0</v>
      </c>
      <c r="L175">
        <v>48924.431565747298</v>
      </c>
      <c r="M175">
        <v>60</v>
      </c>
      <c r="N175">
        <v>22</v>
      </c>
      <c r="O175">
        <v>0.36666666666666697</v>
      </c>
    </row>
    <row r="176" spans="1:15" x14ac:dyDescent="0.25">
      <c r="A176" t="s">
        <v>430</v>
      </c>
      <c r="B176" t="s">
        <v>871</v>
      </c>
      <c r="C176">
        <v>26664.986424810279</v>
      </c>
      <c r="D176">
        <v>7013.2894963750887</v>
      </c>
      <c r="E176">
        <v>19906.811313824786</v>
      </c>
      <c r="F176">
        <v>27362.486210583997</v>
      </c>
      <c r="G176">
        <v>80947.573445594157</v>
      </c>
      <c r="H176">
        <v>72254.054321741438</v>
      </c>
      <c r="I176">
        <v>8693.5191238527186</v>
      </c>
      <c r="J176">
        <v>557.54240421149427</v>
      </c>
      <c r="K176">
        <v>0</v>
      </c>
      <c r="L176">
        <v>71696.511917529948</v>
      </c>
      <c r="M176">
        <v>103</v>
      </c>
      <c r="N176">
        <v>31</v>
      </c>
      <c r="O176">
        <v>0.30097087378640802</v>
      </c>
    </row>
    <row r="177" spans="1:15" x14ac:dyDescent="0.25">
      <c r="A177" t="s">
        <v>432</v>
      </c>
      <c r="B177" t="s">
        <v>873</v>
      </c>
      <c r="C177">
        <v>798229.27103948186</v>
      </c>
      <c r="D177">
        <v>209946.21460116407</v>
      </c>
      <c r="E177">
        <v>430561.20873312437</v>
      </c>
      <c r="F177">
        <v>591818.79764895968</v>
      </c>
      <c r="G177">
        <v>2030555.4920227299</v>
      </c>
      <c r="H177">
        <v>1781155.4727625542</v>
      </c>
      <c r="I177">
        <v>249400.01926017576</v>
      </c>
      <c r="J177">
        <v>13744.138150870211</v>
      </c>
      <c r="K177">
        <v>0</v>
      </c>
      <c r="L177">
        <v>1767411.3346116841</v>
      </c>
      <c r="M177">
        <v>5467</v>
      </c>
      <c r="N177">
        <v>928</v>
      </c>
      <c r="O177">
        <v>0.16974574721053601</v>
      </c>
    </row>
    <row r="178" spans="1:15" x14ac:dyDescent="0.25">
      <c r="A178" t="s">
        <v>434</v>
      </c>
      <c r="B178" t="s">
        <v>875</v>
      </c>
      <c r="C178">
        <v>2441136.49914876</v>
      </c>
      <c r="D178">
        <v>464490.35096860031</v>
      </c>
      <c r="E178">
        <v>1727799.1362396136</v>
      </c>
      <c r="F178">
        <v>2374909.7379138134</v>
      </c>
      <c r="G178">
        <v>7008335.7242707871</v>
      </c>
      <c r="H178">
        <v>6312540.5017639212</v>
      </c>
      <c r="I178">
        <v>695795.22250686586</v>
      </c>
      <c r="J178">
        <v>48710.194065564836</v>
      </c>
      <c r="K178">
        <v>0</v>
      </c>
      <c r="L178">
        <v>6263830.307698356</v>
      </c>
      <c r="M178">
        <v>20402</v>
      </c>
      <c r="N178">
        <v>2838</v>
      </c>
      <c r="O178">
        <v>0.139104009410842</v>
      </c>
    </row>
    <row r="179" spans="1:15" x14ac:dyDescent="0.25">
      <c r="A179" t="s">
        <v>440</v>
      </c>
      <c r="B179" t="s">
        <v>881</v>
      </c>
      <c r="C179">
        <v>215040.21310330866</v>
      </c>
      <c r="D179">
        <v>49281.224125934845</v>
      </c>
      <c r="E179">
        <v>102857.43161326431</v>
      </c>
      <c r="F179">
        <v>141380.50588842804</v>
      </c>
      <c r="G179">
        <v>508559.3747309359</v>
      </c>
      <c r="H179">
        <v>475353.68261765898</v>
      </c>
      <c r="I179">
        <v>33205.69211327692</v>
      </c>
      <c r="J179">
        <v>3668.027179170886</v>
      </c>
      <c r="K179">
        <v>0</v>
      </c>
      <c r="L179">
        <v>471685.65543848812</v>
      </c>
      <c r="M179">
        <v>1729</v>
      </c>
      <c r="N179">
        <v>250</v>
      </c>
      <c r="O179">
        <v>0.144592249855408</v>
      </c>
    </row>
    <row r="180" spans="1:15" x14ac:dyDescent="0.25">
      <c r="A180" t="s">
        <v>280</v>
      </c>
      <c r="B180" t="s">
        <v>889</v>
      </c>
      <c r="C180">
        <v>99616.298311981445</v>
      </c>
      <c r="D180">
        <v>26090.059831377272</v>
      </c>
      <c r="E180">
        <v>60910.260330525867</v>
      </c>
      <c r="F180">
        <v>83991.20837741789</v>
      </c>
      <c r="G180">
        <v>270607.82685130247</v>
      </c>
      <c r="H180">
        <v>265600.64381900697</v>
      </c>
      <c r="I180">
        <v>5007.183032295492</v>
      </c>
      <c r="J180">
        <v>2049.485290549449</v>
      </c>
      <c r="K180">
        <v>0</v>
      </c>
      <c r="L180">
        <v>263551.15852845751</v>
      </c>
      <c r="M180">
        <v>595</v>
      </c>
      <c r="N180">
        <v>93</v>
      </c>
      <c r="O180">
        <v>0.156302521008403</v>
      </c>
    </row>
    <row r="181" spans="1:15" x14ac:dyDescent="0.25">
      <c r="A181" t="s">
        <v>443</v>
      </c>
      <c r="B181" t="s">
        <v>891</v>
      </c>
      <c r="C181">
        <v>15482.89534343822</v>
      </c>
      <c r="D181">
        <v>4146.9903909238847</v>
      </c>
      <c r="E181">
        <v>8777.4623556358456</v>
      </c>
      <c r="F181">
        <v>12064.875126596071</v>
      </c>
      <c r="G181">
        <v>40472.223216594022</v>
      </c>
      <c r="H181">
        <v>27610.229185862452</v>
      </c>
      <c r="I181">
        <v>12861.99403073157</v>
      </c>
      <c r="J181">
        <v>213.05203847203441</v>
      </c>
      <c r="K181">
        <v>0</v>
      </c>
      <c r="L181">
        <v>27397.177147390419</v>
      </c>
      <c r="M181">
        <v>87</v>
      </c>
      <c r="N181">
        <v>18</v>
      </c>
      <c r="O181">
        <v>0.20689655172413801</v>
      </c>
    </row>
    <row r="182" spans="1:15" x14ac:dyDescent="0.25">
      <c r="A182" t="s">
        <v>445</v>
      </c>
      <c r="B182" t="s">
        <v>1067</v>
      </c>
      <c r="C182">
        <v>34406.434096529389</v>
      </c>
      <c r="D182">
        <v>9049.4058017743064</v>
      </c>
      <c r="E182">
        <v>20906.616406335215</v>
      </c>
      <c r="F182">
        <v>28736.747141971278</v>
      </c>
      <c r="G182">
        <v>93099.20344661019</v>
      </c>
      <c r="H182">
        <v>83390.054640587856</v>
      </c>
      <c r="I182">
        <v>9709.1488060223346</v>
      </c>
      <c r="J182">
        <v>643.47242501589574</v>
      </c>
      <c r="K182">
        <v>0</v>
      </c>
      <c r="L182">
        <v>82746.582215571965</v>
      </c>
      <c r="M182">
        <v>174</v>
      </c>
      <c r="N182">
        <v>40</v>
      </c>
      <c r="O182">
        <v>0.229885057471264</v>
      </c>
    </row>
    <row r="183" spans="1:15" x14ac:dyDescent="0.25">
      <c r="A183" t="s">
        <v>447</v>
      </c>
      <c r="B183" t="s">
        <v>905</v>
      </c>
      <c r="C183">
        <v>69673.029045472023</v>
      </c>
      <c r="D183">
        <v>18325.046748592958</v>
      </c>
      <c r="E183">
        <v>47610.143943732895</v>
      </c>
      <c r="F183">
        <v>65441.515801156718</v>
      </c>
      <c r="G183">
        <v>201049.73553895458</v>
      </c>
      <c r="H183">
        <v>166855.24118252148</v>
      </c>
      <c r="I183">
        <v>34194.494356433104</v>
      </c>
      <c r="J183">
        <v>1287.5245991033494</v>
      </c>
      <c r="K183">
        <v>0</v>
      </c>
      <c r="L183">
        <v>165567.71658341814</v>
      </c>
      <c r="M183">
        <v>307</v>
      </c>
      <c r="N183">
        <v>81</v>
      </c>
      <c r="O183">
        <v>0.26384364820846901</v>
      </c>
    </row>
    <row r="184" spans="1:15" x14ac:dyDescent="0.25">
      <c r="A184" t="s">
        <v>449</v>
      </c>
      <c r="B184" t="s">
        <v>907</v>
      </c>
      <c r="C184">
        <v>1163797.6333151066</v>
      </c>
      <c r="D184">
        <v>306096.15124501596</v>
      </c>
      <c r="E184">
        <v>692847.65934694861</v>
      </c>
      <c r="F184">
        <v>952339.08766445145</v>
      </c>
      <c r="G184">
        <v>3115080.5315715224</v>
      </c>
      <c r="H184">
        <v>2748650.761473455</v>
      </c>
      <c r="I184">
        <v>366429.77009806735</v>
      </c>
      <c r="J184">
        <v>21209.735125251435</v>
      </c>
      <c r="K184">
        <v>0</v>
      </c>
      <c r="L184">
        <v>2727441.0263482034</v>
      </c>
      <c r="M184">
        <v>7214</v>
      </c>
      <c r="N184">
        <v>1353</v>
      </c>
      <c r="O184">
        <v>0.18755198225672301</v>
      </c>
    </row>
    <row r="185" spans="1:15" x14ac:dyDescent="0.25">
      <c r="A185" t="s">
        <v>451</v>
      </c>
      <c r="B185" t="s">
        <v>909</v>
      </c>
      <c r="C185">
        <v>49029.16858755437</v>
      </c>
      <c r="D185">
        <v>12895.403267528391</v>
      </c>
      <c r="E185">
        <v>28972.007048655592</v>
      </c>
      <c r="F185">
        <v>39822.859164352361</v>
      </c>
      <c r="G185">
        <v>130719.43806809071</v>
      </c>
      <c r="H185">
        <v>129106.58594336173</v>
      </c>
      <c r="I185">
        <v>1612.8521247289755</v>
      </c>
      <c r="J185">
        <v>996.24023872581665</v>
      </c>
      <c r="K185">
        <v>0</v>
      </c>
      <c r="L185">
        <v>128110.34570463591</v>
      </c>
      <c r="M185">
        <v>255</v>
      </c>
      <c r="N185">
        <v>57</v>
      </c>
      <c r="O185">
        <v>0.223529411764706</v>
      </c>
    </row>
    <row r="186" spans="1:15" x14ac:dyDescent="0.25">
      <c r="A186" t="s">
        <v>453</v>
      </c>
      <c r="B186" t="s">
        <v>911</v>
      </c>
      <c r="C186">
        <v>41446.1971079047</v>
      </c>
      <c r="D186">
        <v>10854.988396996381</v>
      </c>
      <c r="E186">
        <v>23320.887004640317</v>
      </c>
      <c r="F186">
        <v>32157.95613618995</v>
      </c>
      <c r="G186">
        <v>107780.02864573135</v>
      </c>
      <c r="H186">
        <v>105784.97710181792</v>
      </c>
      <c r="I186">
        <v>1995.0515439134324</v>
      </c>
      <c r="J186">
        <v>816.28098265841277</v>
      </c>
      <c r="K186">
        <v>0</v>
      </c>
      <c r="L186">
        <v>104968.6961191595</v>
      </c>
      <c r="M186">
        <v>286</v>
      </c>
      <c r="N186">
        <v>47</v>
      </c>
      <c r="O186">
        <v>0.16433566433566399</v>
      </c>
    </row>
    <row r="187" spans="1:15" x14ac:dyDescent="0.25">
      <c r="A187" t="s">
        <v>457</v>
      </c>
      <c r="B187" t="s">
        <v>918</v>
      </c>
      <c r="C187">
        <v>164290.72281092772</v>
      </c>
      <c r="D187">
        <v>43210.912703472321</v>
      </c>
      <c r="E187">
        <v>106906.00297899396</v>
      </c>
      <c r="F187">
        <v>146945.38398070243</v>
      </c>
      <c r="G187">
        <v>461353.02247409645</v>
      </c>
      <c r="H187">
        <v>399556.10614168283</v>
      </c>
      <c r="I187">
        <v>61796.916332413617</v>
      </c>
      <c r="J187">
        <v>3083.1414808038658</v>
      </c>
      <c r="K187">
        <v>0</v>
      </c>
      <c r="L187">
        <v>396472.96466087899</v>
      </c>
      <c r="M187">
        <v>770</v>
      </c>
      <c r="N187">
        <v>191</v>
      </c>
      <c r="O187">
        <v>0.248051948051948</v>
      </c>
    </row>
    <row r="188" spans="1:15" x14ac:dyDescent="0.25">
      <c r="A188" t="s">
        <v>459</v>
      </c>
      <c r="B188" t="s">
        <v>920</v>
      </c>
      <c r="C188">
        <v>19632.409156375907</v>
      </c>
      <c r="D188">
        <v>5141.8366091035523</v>
      </c>
      <c r="E188">
        <v>15187.479207103177</v>
      </c>
      <c r="F188">
        <v>20942.526331187182</v>
      </c>
      <c r="G188">
        <v>60904.251303769823</v>
      </c>
      <c r="H188">
        <v>59778.488402726514</v>
      </c>
      <c r="I188">
        <v>1125.7629010433084</v>
      </c>
      <c r="J188">
        <v>461.27573680189005</v>
      </c>
      <c r="K188">
        <v>0</v>
      </c>
      <c r="L188">
        <v>59317.212665924628</v>
      </c>
      <c r="M188">
        <v>85</v>
      </c>
      <c r="N188">
        <v>16</v>
      </c>
      <c r="O188">
        <v>0.188235294117647</v>
      </c>
    </row>
    <row r="189" spans="1:15" x14ac:dyDescent="0.25">
      <c r="A189" t="s">
        <v>284</v>
      </c>
      <c r="B189" t="s">
        <v>922</v>
      </c>
      <c r="C189">
        <v>103219.30228958817</v>
      </c>
      <c r="D189">
        <v>27148.217405322925</v>
      </c>
      <c r="E189">
        <v>57122.224361693821</v>
      </c>
      <c r="F189">
        <v>78516.144638858517</v>
      </c>
      <c r="G189">
        <v>266005.88869546342</v>
      </c>
      <c r="H189">
        <v>227827.15387924347</v>
      </c>
      <c r="I189">
        <v>38178.734816219949</v>
      </c>
      <c r="J189">
        <v>1758.0092952690384</v>
      </c>
      <c r="K189">
        <v>0</v>
      </c>
      <c r="L189">
        <v>226069.14458397444</v>
      </c>
      <c r="M189">
        <v>609</v>
      </c>
      <c r="N189">
        <v>120</v>
      </c>
      <c r="O189">
        <v>0.197044334975369</v>
      </c>
    </row>
    <row r="190" spans="1:15" x14ac:dyDescent="0.25">
      <c r="A190" t="s">
        <v>463</v>
      </c>
      <c r="B190" t="s">
        <v>926</v>
      </c>
      <c r="C190">
        <v>125583.48445233225</v>
      </c>
      <c r="D190">
        <v>33030.331176476211</v>
      </c>
      <c r="E190">
        <v>75739.275483290388</v>
      </c>
      <c r="F190">
        <v>104105.81827195577</v>
      </c>
      <c r="G190">
        <v>338458.9093840546</v>
      </c>
      <c r="H190">
        <v>317577.37680832011</v>
      </c>
      <c r="I190">
        <v>20881.532575734484</v>
      </c>
      <c r="J190">
        <v>2450.5594302078043</v>
      </c>
      <c r="K190">
        <v>0</v>
      </c>
      <c r="L190">
        <v>315126.81737811229</v>
      </c>
      <c r="M190">
        <v>640</v>
      </c>
      <c r="N190">
        <v>146</v>
      </c>
      <c r="O190">
        <v>0.22812499999999999</v>
      </c>
    </row>
    <row r="191" spans="1:15" x14ac:dyDescent="0.25">
      <c r="A191" t="s">
        <v>469</v>
      </c>
      <c r="B191" t="s">
        <v>942</v>
      </c>
      <c r="C191">
        <v>15482.89534343822</v>
      </c>
      <c r="D191">
        <v>4072.2326107984381</v>
      </c>
      <c r="E191">
        <v>9908.0712439288491</v>
      </c>
      <c r="F191">
        <v>13618.929647321676</v>
      </c>
      <c r="G191">
        <v>43082.128845487183</v>
      </c>
      <c r="H191">
        <v>33976.257627920313</v>
      </c>
      <c r="I191">
        <v>9105.8712175668697</v>
      </c>
      <c r="J191">
        <v>262.17496778280787</v>
      </c>
      <c r="K191">
        <v>0</v>
      </c>
      <c r="L191">
        <v>33714.082660137508</v>
      </c>
      <c r="M191">
        <v>74</v>
      </c>
      <c r="N191">
        <v>18</v>
      </c>
      <c r="O191">
        <v>0.24324324324324301</v>
      </c>
    </row>
    <row r="192" spans="1:15" x14ac:dyDescent="0.25">
      <c r="A192" t="s">
        <v>471</v>
      </c>
      <c r="B192" t="s">
        <v>946</v>
      </c>
      <c r="C192">
        <v>183214.26156401893</v>
      </c>
      <c r="D192">
        <v>48188.085894448152</v>
      </c>
      <c r="E192">
        <v>89227.628778300132</v>
      </c>
      <c r="F192">
        <v>122645.94884434303</v>
      </c>
      <c r="G192">
        <v>443275.92508111027</v>
      </c>
      <c r="H192">
        <v>378426.70751302061</v>
      </c>
      <c r="I192">
        <v>64849.217568089662</v>
      </c>
      <c r="J192">
        <v>2920.098232621423</v>
      </c>
      <c r="K192">
        <v>0</v>
      </c>
      <c r="L192">
        <v>375506.60928039916</v>
      </c>
      <c r="M192">
        <v>1334</v>
      </c>
      <c r="N192">
        <v>213</v>
      </c>
      <c r="O192">
        <v>0.15967016491754099</v>
      </c>
    </row>
    <row r="193" spans="1:15" x14ac:dyDescent="0.25">
      <c r="A193" t="s">
        <v>475</v>
      </c>
      <c r="B193" t="s">
        <v>950</v>
      </c>
      <c r="C193">
        <v>1185301.6546254372</v>
      </c>
      <c r="D193">
        <v>261034.05197684217</v>
      </c>
      <c r="E193">
        <v>708276.27408893837</v>
      </c>
      <c r="F193">
        <v>973546.16354771564</v>
      </c>
      <c r="G193">
        <v>3128158.1442389335</v>
      </c>
      <c r="H193">
        <v>3076356.3155776989</v>
      </c>
      <c r="I193">
        <v>51801.828661234584</v>
      </c>
      <c r="J193">
        <v>23738.447793680374</v>
      </c>
      <c r="K193">
        <v>0</v>
      </c>
      <c r="L193">
        <v>3052617.8677840186</v>
      </c>
      <c r="M193">
        <v>9756</v>
      </c>
      <c r="N193">
        <v>1378</v>
      </c>
      <c r="O193">
        <v>0.141246412464125</v>
      </c>
    </row>
    <row r="194" spans="1:15" x14ac:dyDescent="0.25">
      <c r="A194" t="s">
        <v>477</v>
      </c>
      <c r="B194" t="s">
        <v>952</v>
      </c>
      <c r="C194">
        <v>106659.94569924111</v>
      </c>
      <c r="D194">
        <v>28053.157985500355</v>
      </c>
      <c r="E194">
        <v>55675.431728621676</v>
      </c>
      <c r="F194">
        <v>76527.486443031899</v>
      </c>
      <c r="G194">
        <v>266916.02185639506</v>
      </c>
      <c r="H194">
        <v>226494.58991017699</v>
      </c>
      <c r="I194">
        <v>40421.431946218072</v>
      </c>
      <c r="J194">
        <v>1747.7266761682388</v>
      </c>
      <c r="K194">
        <v>0</v>
      </c>
      <c r="L194">
        <v>224746.86323400875</v>
      </c>
      <c r="M194">
        <v>699</v>
      </c>
      <c r="N194">
        <v>124</v>
      </c>
      <c r="O194">
        <v>0.17739628040057201</v>
      </c>
    </row>
    <row r="195" spans="1:15" x14ac:dyDescent="0.25">
      <c r="A195" t="s">
        <v>479</v>
      </c>
      <c r="B195" t="s">
        <v>954</v>
      </c>
      <c r="C195">
        <v>228802.78674192043</v>
      </c>
      <c r="D195">
        <v>60178.548581799143</v>
      </c>
      <c r="E195">
        <v>157532.47196201532</v>
      </c>
      <c r="F195">
        <v>216532.9255311891</v>
      </c>
      <c r="G195">
        <v>663046.73281692399</v>
      </c>
      <c r="H195">
        <v>583598.22872281889</v>
      </c>
      <c r="I195">
        <v>79448.504094105097</v>
      </c>
      <c r="J195">
        <v>4503.2872215972257</v>
      </c>
      <c r="K195">
        <v>0</v>
      </c>
      <c r="L195">
        <v>579094.94150122162</v>
      </c>
      <c r="M195">
        <v>998</v>
      </c>
      <c r="N195">
        <v>266</v>
      </c>
      <c r="O195">
        <v>0.26653306613226502</v>
      </c>
    </row>
    <row r="196" spans="1:15" x14ac:dyDescent="0.25">
      <c r="A196" t="s">
        <v>483</v>
      </c>
      <c r="B196" t="s">
        <v>960</v>
      </c>
      <c r="C196">
        <v>801669.91444913461</v>
      </c>
      <c r="D196">
        <v>155521.93077018767</v>
      </c>
      <c r="E196">
        <v>433029.78709184268</v>
      </c>
      <c r="F196">
        <v>595211.92979028192</v>
      </c>
      <c r="G196">
        <v>1985433.5621014468</v>
      </c>
      <c r="H196">
        <v>1954290.2565039375</v>
      </c>
      <c r="I196">
        <v>31143.305597509257</v>
      </c>
      <c r="J196">
        <v>15080.118318155604</v>
      </c>
      <c r="K196">
        <v>0</v>
      </c>
      <c r="L196">
        <v>1939210.1381857819</v>
      </c>
      <c r="M196">
        <v>6839</v>
      </c>
      <c r="N196">
        <v>932</v>
      </c>
      <c r="O196">
        <v>0.13627723351367199</v>
      </c>
    </row>
    <row r="197" spans="1:15" x14ac:dyDescent="0.25">
      <c r="A197" t="s">
        <v>493</v>
      </c>
      <c r="B197" t="s">
        <v>972</v>
      </c>
      <c r="C197">
        <v>234823.912708813</v>
      </c>
      <c r="D197">
        <v>61762.194597109636</v>
      </c>
      <c r="E197">
        <v>143377.85888625012</v>
      </c>
      <c r="F197">
        <v>197708.55611312875</v>
      </c>
      <c r="G197">
        <v>637672.52230530151</v>
      </c>
      <c r="H197">
        <v>617560.69936355634</v>
      </c>
      <c r="I197">
        <v>20111.822941745166</v>
      </c>
      <c r="J197">
        <v>4765.3558032394503</v>
      </c>
      <c r="K197">
        <v>0</v>
      </c>
      <c r="L197">
        <v>612795.34356031683</v>
      </c>
      <c r="M197">
        <v>1399</v>
      </c>
      <c r="N197">
        <v>273</v>
      </c>
      <c r="O197">
        <v>0.195139385275197</v>
      </c>
    </row>
    <row r="198" spans="1:15" x14ac:dyDescent="0.25">
      <c r="A198" t="s">
        <v>497</v>
      </c>
      <c r="B198" t="s">
        <v>978</v>
      </c>
      <c r="C198">
        <v>137625.73638611755</v>
      </c>
      <c r="D198">
        <v>36197.623207097226</v>
      </c>
      <c r="E198">
        <v>82812.359339864968</v>
      </c>
      <c r="F198">
        <v>113827.97600182882</v>
      </c>
      <c r="G198">
        <v>370463.69493490853</v>
      </c>
      <c r="H198">
        <v>337512.12929135608</v>
      </c>
      <c r="I198">
        <v>32951.565643552458</v>
      </c>
      <c r="J198">
        <v>2604.3842907099029</v>
      </c>
      <c r="K198">
        <v>0</v>
      </c>
      <c r="L198">
        <v>334907.74500064616</v>
      </c>
      <c r="M198">
        <v>703</v>
      </c>
      <c r="N198">
        <v>160</v>
      </c>
      <c r="O198">
        <v>0.22759601706970101</v>
      </c>
    </row>
    <row r="199" spans="1:15" x14ac:dyDescent="0.25">
      <c r="A199" t="s">
        <v>499</v>
      </c>
      <c r="B199" t="s">
        <v>980</v>
      </c>
      <c r="C199">
        <v>356106.59289907914</v>
      </c>
      <c r="D199">
        <v>93661.350048364053</v>
      </c>
      <c r="E199">
        <v>191785.76583705615</v>
      </c>
      <c r="F199">
        <v>263615.06573673687</v>
      </c>
      <c r="G199">
        <v>905168.77452123631</v>
      </c>
      <c r="H199">
        <v>784237.24963748781</v>
      </c>
      <c r="I199">
        <v>120931.5248837485</v>
      </c>
      <c r="J199">
        <v>6051.5015487999599</v>
      </c>
      <c r="K199">
        <v>0</v>
      </c>
      <c r="L199">
        <v>778185.74808868789</v>
      </c>
      <c r="M199">
        <v>2211</v>
      </c>
      <c r="N199">
        <v>414</v>
      </c>
      <c r="O199">
        <v>0.187245590230665</v>
      </c>
    </row>
    <row r="200" spans="1:15" x14ac:dyDescent="0.25">
      <c r="A200" t="s">
        <v>505</v>
      </c>
      <c r="B200" t="s">
        <v>990</v>
      </c>
      <c r="C200">
        <v>60211.25966892641</v>
      </c>
      <c r="D200">
        <v>15836.460153105038</v>
      </c>
      <c r="E200">
        <v>46492.844807090652</v>
      </c>
      <c r="F200">
        <v>63905.755917893075</v>
      </c>
      <c r="G200">
        <v>186446.32054701517</v>
      </c>
      <c r="H200">
        <v>159224.9853182818</v>
      </c>
      <c r="I200">
        <v>27221.335228733369</v>
      </c>
      <c r="J200">
        <v>1228.6463639754838</v>
      </c>
      <c r="K200">
        <v>0</v>
      </c>
      <c r="L200">
        <v>157996.33895430632</v>
      </c>
      <c r="M200">
        <v>225</v>
      </c>
      <c r="N200">
        <v>70</v>
      </c>
      <c r="O200">
        <v>0.31111111111111101</v>
      </c>
    </row>
    <row r="201" spans="1:15" x14ac:dyDescent="0.25">
      <c r="A201" t="s">
        <v>507</v>
      </c>
      <c r="B201" t="s">
        <v>998</v>
      </c>
      <c r="C201">
        <v>96338.015470282262</v>
      </c>
      <c r="D201">
        <v>25338.336244968072</v>
      </c>
      <c r="E201">
        <v>62864.919340552959</v>
      </c>
      <c r="F201">
        <v>86409.644491418891</v>
      </c>
      <c r="G201">
        <v>270950.91554722219</v>
      </c>
      <c r="H201">
        <v>221871.29613917158</v>
      </c>
      <c r="I201">
        <v>49079.61940805061</v>
      </c>
      <c r="J201">
        <v>1712.0514140855857</v>
      </c>
      <c r="K201">
        <v>0</v>
      </c>
      <c r="L201">
        <v>220159.244725086</v>
      </c>
      <c r="M201">
        <v>450</v>
      </c>
      <c r="N201">
        <v>112</v>
      </c>
      <c r="O201">
        <v>0.24888888888888899</v>
      </c>
    </row>
    <row r="202" spans="1:15" x14ac:dyDescent="0.25">
      <c r="A202" t="s">
        <v>509</v>
      </c>
      <c r="B202" t="s">
        <v>1000</v>
      </c>
      <c r="C202">
        <v>166011.04451575427</v>
      </c>
      <c r="D202">
        <v>43663.382993561027</v>
      </c>
      <c r="E202">
        <v>88625.275087286544</v>
      </c>
      <c r="F202">
        <v>121817.99632575917</v>
      </c>
      <c r="G202">
        <v>420117.69892236101</v>
      </c>
      <c r="H202">
        <v>394302.07869801356</v>
      </c>
      <c r="I202">
        <v>25815.620224347454</v>
      </c>
      <c r="J202">
        <v>3042.5992147644761</v>
      </c>
      <c r="K202">
        <v>0</v>
      </c>
      <c r="L202">
        <v>391259.47948324907</v>
      </c>
      <c r="M202">
        <v>1047</v>
      </c>
      <c r="N202">
        <v>193</v>
      </c>
      <c r="O202">
        <v>0.18433619866284601</v>
      </c>
    </row>
    <row r="203" spans="1:15" x14ac:dyDescent="0.25">
      <c r="A203" t="s">
        <v>511</v>
      </c>
      <c r="B203" t="s">
        <v>1002</v>
      </c>
      <c r="C203">
        <v>169451.68792540714</v>
      </c>
      <c r="D203">
        <v>44568.323573738475</v>
      </c>
      <c r="E203">
        <v>125870.54764755284</v>
      </c>
      <c r="F203">
        <v>173012.69751489317</v>
      </c>
      <c r="G203">
        <v>512903.25666159159</v>
      </c>
      <c r="H203">
        <v>454179.96834628796</v>
      </c>
      <c r="I203">
        <v>58723.288315303624</v>
      </c>
      <c r="J203">
        <v>3504.6419730151229</v>
      </c>
      <c r="K203">
        <v>0</v>
      </c>
      <c r="L203">
        <v>450675.32637327287</v>
      </c>
      <c r="M203">
        <v>660</v>
      </c>
      <c r="N203">
        <v>197</v>
      </c>
      <c r="O203">
        <v>0.29848484848484802</v>
      </c>
    </row>
    <row r="204" spans="1:15" x14ac:dyDescent="0.25">
      <c r="A204" t="s">
        <v>517</v>
      </c>
      <c r="B204" t="s">
        <v>1012</v>
      </c>
      <c r="C204">
        <v>110960.74996130723</v>
      </c>
      <c r="D204">
        <v>26259.338402870399</v>
      </c>
      <c r="E204">
        <v>53074.434712444396</v>
      </c>
      <c r="F204">
        <v>72952.341038428887</v>
      </c>
      <c r="G204">
        <v>263246.86411505088</v>
      </c>
      <c r="H204">
        <v>252463.43734737142</v>
      </c>
      <c r="I204">
        <v>10783.426767679455</v>
      </c>
      <c r="J204">
        <v>1948.1131288129895</v>
      </c>
      <c r="K204">
        <v>0</v>
      </c>
      <c r="L204">
        <v>250515.32421855844</v>
      </c>
      <c r="M204">
        <v>933</v>
      </c>
      <c r="N204">
        <v>129</v>
      </c>
      <c r="O204">
        <v>0.13826366559485501</v>
      </c>
    </row>
    <row r="205" spans="1:15" x14ac:dyDescent="0.25">
      <c r="A205" t="s">
        <v>519</v>
      </c>
      <c r="B205" t="s">
        <v>1014</v>
      </c>
      <c r="C205">
        <v>16343.056195851463</v>
      </c>
      <c r="D205">
        <v>4298.4677558427929</v>
      </c>
      <c r="E205">
        <v>12425.074881450719</v>
      </c>
      <c r="F205">
        <v>17078.623730816216</v>
      </c>
      <c r="G205">
        <v>50145.222563961193</v>
      </c>
      <c r="H205">
        <v>45377.743546212412</v>
      </c>
      <c r="I205">
        <v>4767.4790177487812</v>
      </c>
      <c r="J205">
        <v>350.15358614741496</v>
      </c>
      <c r="K205">
        <v>0</v>
      </c>
      <c r="L205">
        <v>45027.589960064994</v>
      </c>
      <c r="M205">
        <v>62</v>
      </c>
      <c r="N205">
        <v>19</v>
      </c>
      <c r="O205">
        <v>0.30645161290322598</v>
      </c>
    </row>
    <row r="206" spans="1:15" x14ac:dyDescent="0.25">
      <c r="A206" t="s">
        <v>523</v>
      </c>
      <c r="B206" t="s">
        <v>1020</v>
      </c>
      <c r="C206">
        <v>30965.79068687644</v>
      </c>
      <c r="D206">
        <v>8144.4652215968763</v>
      </c>
      <c r="E206">
        <v>22142.160446360063</v>
      </c>
      <c r="F206">
        <v>30435.038054804267</v>
      </c>
      <c r="G206">
        <v>91687.454409637634</v>
      </c>
      <c r="H206">
        <v>77297.712979322692</v>
      </c>
      <c r="I206">
        <v>14389.741430314942</v>
      </c>
      <c r="J206">
        <v>596.46137699948656</v>
      </c>
      <c r="K206">
        <v>0</v>
      </c>
      <c r="L206">
        <v>76701.251602323202</v>
      </c>
      <c r="M206">
        <v>128</v>
      </c>
      <c r="N206">
        <v>36</v>
      </c>
      <c r="O206">
        <v>0.28125</v>
      </c>
    </row>
    <row r="207" spans="1:15" x14ac:dyDescent="0.25">
      <c r="A207" t="s">
        <v>541</v>
      </c>
      <c r="B207" t="s">
        <v>1047</v>
      </c>
      <c r="C207">
        <v>55910.455406860267</v>
      </c>
      <c r="D207">
        <v>14705.284427883244</v>
      </c>
      <c r="E207">
        <v>28675.643930948288</v>
      </c>
      <c r="F207">
        <v>39415.499512736045</v>
      </c>
      <c r="G207">
        <v>138706.88327842785</v>
      </c>
      <c r="H207">
        <v>119542.18389101216</v>
      </c>
      <c r="I207">
        <v>19164.699387415691</v>
      </c>
      <c r="J207">
        <v>922.43732530912621</v>
      </c>
      <c r="K207">
        <v>0</v>
      </c>
      <c r="L207">
        <v>118619.74656570303</v>
      </c>
      <c r="M207">
        <v>377</v>
      </c>
      <c r="N207">
        <v>65</v>
      </c>
      <c r="O207">
        <v>0.17241379310344801</v>
      </c>
    </row>
    <row r="208" spans="1:15" x14ac:dyDescent="0.25">
      <c r="A208" t="s">
        <v>547</v>
      </c>
      <c r="B208" t="s">
        <v>1053</v>
      </c>
      <c r="C208">
        <v>39567.399211008793</v>
      </c>
      <c r="D208">
        <v>5547.5962184423461</v>
      </c>
      <c r="E208">
        <v>18925.767416840634</v>
      </c>
      <c r="F208">
        <v>26014.013083470771</v>
      </c>
      <c r="G208">
        <v>90054.775929762545</v>
      </c>
      <c r="H208">
        <v>81617.86104158622</v>
      </c>
      <c r="I208">
        <v>8436.9148881763249</v>
      </c>
      <c r="J208">
        <v>629.79744041896538</v>
      </c>
      <c r="K208">
        <v>0</v>
      </c>
      <c r="L208">
        <v>80988.063601167261</v>
      </c>
      <c r="M208">
        <v>345</v>
      </c>
      <c r="N208">
        <v>46</v>
      </c>
      <c r="O208">
        <v>0.133333333333333</v>
      </c>
    </row>
    <row r="209" spans="1:15" x14ac:dyDescent="0.25">
      <c r="A209" t="s">
        <v>551</v>
      </c>
      <c r="B209" t="s">
        <v>1061</v>
      </c>
      <c r="C209">
        <v>9461.7693765455824</v>
      </c>
      <c r="D209">
        <v>2620.9095432834765</v>
      </c>
      <c r="E209">
        <v>8008.8910551352146</v>
      </c>
      <c r="F209">
        <v>11008.451710496562</v>
      </c>
      <c r="G209">
        <v>31100.021685460837</v>
      </c>
      <c r="H209">
        <v>20914.900517643593</v>
      </c>
      <c r="I209">
        <v>10185.121167817244</v>
      </c>
      <c r="J209">
        <v>161.3880913384597</v>
      </c>
      <c r="K209">
        <v>0</v>
      </c>
      <c r="L209">
        <v>20753.512426305133</v>
      </c>
      <c r="M209">
        <v>32</v>
      </c>
      <c r="N209">
        <v>11</v>
      </c>
      <c r="O209">
        <v>0.34375</v>
      </c>
    </row>
    <row r="210" spans="1:15" x14ac:dyDescent="0.25">
      <c r="A210" t="s">
        <v>553</v>
      </c>
      <c r="B210" t="s">
        <v>1063</v>
      </c>
      <c r="C210">
        <v>24944.664719983808</v>
      </c>
      <c r="D210">
        <v>5091.6915210047209</v>
      </c>
      <c r="E210">
        <v>11931.462067138662</v>
      </c>
      <c r="F210">
        <v>16400.138683057656</v>
      </c>
      <c r="G210">
        <v>58367.956991184838</v>
      </c>
      <c r="H210">
        <v>54787.733351749899</v>
      </c>
      <c r="I210">
        <v>3580.2236394349384</v>
      </c>
      <c r="J210">
        <v>422.76499029676444</v>
      </c>
      <c r="K210">
        <v>0</v>
      </c>
      <c r="L210">
        <v>54364.968361453131</v>
      </c>
      <c r="M210">
        <v>199</v>
      </c>
      <c r="N210">
        <v>29</v>
      </c>
      <c r="O210">
        <v>0.14572864321608001</v>
      </c>
    </row>
    <row r="211" spans="1:15" x14ac:dyDescent="0.25">
      <c r="A211" t="s">
        <v>69</v>
      </c>
      <c r="B211" t="s">
        <v>1072</v>
      </c>
      <c r="C211">
        <v>49419.070907332374</v>
      </c>
      <c r="D211">
        <v>12997.953398263386</v>
      </c>
      <c r="E211">
        <v>36060.849657103165</v>
      </c>
      <c r="F211">
        <v>49721.44697643874</v>
      </c>
      <c r="G211">
        <v>148199.32093913766</v>
      </c>
      <c r="H211">
        <v>134160.48566914478</v>
      </c>
      <c r="I211">
        <v>14038.83526999288</v>
      </c>
      <c r="J211">
        <v>1035.2382358653215</v>
      </c>
      <c r="K211">
        <v>0</v>
      </c>
      <c r="L211">
        <v>133125.24743327947</v>
      </c>
      <c r="M211">
        <v>372</v>
      </c>
      <c r="N211">
        <v>57</v>
      </c>
      <c r="O211">
        <v>0.15456760872104799</v>
      </c>
    </row>
    <row r="212" spans="1:15" x14ac:dyDescent="0.25">
      <c r="A212" t="s">
        <v>71</v>
      </c>
      <c r="B212" t="s">
        <v>1073</v>
      </c>
      <c r="C212">
        <v>47940.819833036636</v>
      </c>
      <c r="D212">
        <v>11496.300266783181</v>
      </c>
      <c r="E212">
        <v>40373.508042517591</v>
      </c>
      <c r="F212">
        <v>55494.551069517052</v>
      </c>
      <c r="G212">
        <v>155305.17921185447</v>
      </c>
      <c r="H212">
        <v>134919.09864730577</v>
      </c>
      <c r="I212">
        <v>20386.080564548698</v>
      </c>
      <c r="J212">
        <v>1041.0920098532351</v>
      </c>
      <c r="K212">
        <v>0</v>
      </c>
      <c r="L212">
        <v>133878.00663745255</v>
      </c>
      <c r="M212">
        <v>224</v>
      </c>
      <c r="N212">
        <v>56</v>
      </c>
      <c r="O212">
        <v>0.24831585953809701</v>
      </c>
    </row>
    <row r="213" spans="1:15" x14ac:dyDescent="0.25">
      <c r="A213" t="s">
        <v>559</v>
      </c>
      <c r="B213" t="s">
        <v>1075</v>
      </c>
      <c r="C213">
        <v>95477.854617869059</v>
      </c>
      <c r="D213">
        <v>25112.101099923711</v>
      </c>
      <c r="E213">
        <v>49680.694899337388</v>
      </c>
      <c r="F213">
        <v>68287.547798842555</v>
      </c>
      <c r="G213">
        <v>238558.1984159727</v>
      </c>
      <c r="H213">
        <v>210823.09525786064</v>
      </c>
      <c r="I213">
        <v>27735.103158112062</v>
      </c>
      <c r="J213">
        <v>1626.7988903427881</v>
      </c>
      <c r="K213">
        <v>0</v>
      </c>
      <c r="L213">
        <v>209196.29636751785</v>
      </c>
      <c r="M213">
        <v>629</v>
      </c>
      <c r="N213">
        <v>111</v>
      </c>
      <c r="O213">
        <v>0.17647058823529399</v>
      </c>
    </row>
    <row r="214" spans="1:15" x14ac:dyDescent="0.25">
      <c r="A214" t="s">
        <v>561</v>
      </c>
      <c r="B214" t="s">
        <v>1077</v>
      </c>
      <c r="C214">
        <v>110100.58910889406</v>
      </c>
      <c r="D214">
        <v>22403.442692420776</v>
      </c>
      <c r="E214">
        <v>52663.004985991334</v>
      </c>
      <c r="F214">
        <v>72386.819014875146</v>
      </c>
      <c r="G214">
        <v>257553.85580218129</v>
      </c>
      <c r="H214">
        <v>235654.98902208306</v>
      </c>
      <c r="I214">
        <v>21898.866780098237</v>
      </c>
      <c r="J214">
        <v>1818.4121344768689</v>
      </c>
      <c r="K214">
        <v>0</v>
      </c>
      <c r="L214">
        <v>233836.57688760618</v>
      </c>
      <c r="M214">
        <v>994</v>
      </c>
      <c r="N214">
        <v>128</v>
      </c>
      <c r="O214">
        <v>0.12877263581488901</v>
      </c>
    </row>
    <row r="215" spans="1:15" x14ac:dyDescent="0.25">
      <c r="A215" t="s">
        <v>564</v>
      </c>
      <c r="B215" t="s">
        <v>1081</v>
      </c>
      <c r="C215">
        <v>76554.315864777862</v>
      </c>
      <c r="D215">
        <v>20134.927908947822</v>
      </c>
      <c r="E215">
        <v>49791.091780687879</v>
      </c>
      <c r="F215">
        <v>68439.291495812577</v>
      </c>
      <c r="G215">
        <v>214919.62705022615</v>
      </c>
      <c r="H215">
        <v>193765.7785078219</v>
      </c>
      <c r="I215">
        <v>21153.848542404245</v>
      </c>
      <c r="J215">
        <v>1495.1775234937315</v>
      </c>
      <c r="K215">
        <v>0</v>
      </c>
      <c r="L215">
        <v>192270.60098432816</v>
      </c>
      <c r="M215">
        <v>359</v>
      </c>
      <c r="N215">
        <v>89</v>
      </c>
      <c r="O215">
        <v>0.247910863509749</v>
      </c>
    </row>
    <row r="216" spans="1:15" x14ac:dyDescent="0.25">
      <c r="A216" t="s">
        <v>568</v>
      </c>
      <c r="B216" t="s">
        <v>1097</v>
      </c>
      <c r="C216">
        <v>28385.308129636735</v>
      </c>
      <c r="D216">
        <v>6834.6223240347581</v>
      </c>
      <c r="E216">
        <v>13577.18097295089</v>
      </c>
      <c r="F216">
        <v>18662.226777272503</v>
      </c>
      <c r="G216">
        <v>67459.338203894877</v>
      </c>
      <c r="H216">
        <v>65958.05172493057</v>
      </c>
      <c r="I216">
        <v>1501.2864789643063</v>
      </c>
      <c r="J216">
        <v>508.95982351482206</v>
      </c>
      <c r="K216">
        <v>0</v>
      </c>
      <c r="L216">
        <v>65449.091901415748</v>
      </c>
      <c r="M216">
        <v>237</v>
      </c>
      <c r="N216">
        <v>33</v>
      </c>
      <c r="O216">
        <v>0.139240506329114</v>
      </c>
    </row>
    <row r="217" spans="1:15" x14ac:dyDescent="0.25">
      <c r="A217" t="s">
        <v>572</v>
      </c>
      <c r="B217" t="s">
        <v>1103</v>
      </c>
      <c r="C217">
        <v>15996.777831121119</v>
      </c>
      <c r="D217">
        <v>4189.6446444547455</v>
      </c>
      <c r="E217">
        <v>8982.2051151823744</v>
      </c>
      <c r="F217">
        <v>12385.864999166692</v>
      </c>
      <c r="G217">
        <v>41554.492589924928</v>
      </c>
      <c r="H217">
        <v>40785.294995222292</v>
      </c>
      <c r="I217">
        <v>769.19759470263671</v>
      </c>
      <c r="J217">
        <v>314.71633864106747</v>
      </c>
      <c r="K217">
        <v>0</v>
      </c>
      <c r="L217">
        <v>40470.578656581223</v>
      </c>
      <c r="M217">
        <v>110</v>
      </c>
      <c r="N217">
        <v>18</v>
      </c>
      <c r="O217">
        <v>0.163636363636364</v>
      </c>
    </row>
    <row r="218" spans="1:15" x14ac:dyDescent="0.25">
      <c r="A218" t="s">
        <v>59</v>
      </c>
      <c r="B218" t="s">
        <v>1106</v>
      </c>
      <c r="C218">
        <v>5125028.8344413936</v>
      </c>
      <c r="D218">
        <v>1244912.2041997914</v>
      </c>
      <c r="E218">
        <v>4316058.7070909077</v>
      </c>
      <c r="F218">
        <v>5932547.1566021051</v>
      </c>
      <c r="G218">
        <v>16618546.902334196</v>
      </c>
      <c r="H218">
        <v>16468801.926527068</v>
      </c>
      <c r="I218">
        <v>149744.97580712847</v>
      </c>
      <c r="J218">
        <v>127080.14113245248</v>
      </c>
      <c r="K218">
        <v>0</v>
      </c>
      <c r="L218">
        <v>16341721.785394616</v>
      </c>
      <c r="M218">
        <v>68041</v>
      </c>
      <c r="N218">
        <v>5958</v>
      </c>
      <c r="O218">
        <v>8.7568015835266799E-2</v>
      </c>
    </row>
    <row r="219" spans="1:15" x14ac:dyDescent="0.25">
      <c r="A219" t="s">
        <v>576</v>
      </c>
      <c r="B219" t="s">
        <v>1112</v>
      </c>
      <c r="C219">
        <v>73973.833307538167</v>
      </c>
      <c r="D219">
        <v>19456.22247381476</v>
      </c>
      <c r="E219">
        <v>52171.511034770512</v>
      </c>
      <c r="F219">
        <v>71711.246405537895</v>
      </c>
      <c r="G219">
        <v>217312.81322166132</v>
      </c>
      <c r="H219">
        <v>187152.39247121467</v>
      </c>
      <c r="I219">
        <v>30160.420750446647</v>
      </c>
      <c r="J219">
        <v>1444.1458798656838</v>
      </c>
      <c r="K219">
        <v>0</v>
      </c>
      <c r="L219">
        <v>185708.24659134899</v>
      </c>
      <c r="M219">
        <v>312</v>
      </c>
      <c r="N219">
        <v>86</v>
      </c>
      <c r="O219">
        <v>0.27564102564102599</v>
      </c>
    </row>
    <row r="220" spans="1:15" x14ac:dyDescent="0.25">
      <c r="A220" t="s">
        <v>582</v>
      </c>
      <c r="B220" t="s">
        <v>1130</v>
      </c>
      <c r="C220">
        <v>134185.09297646463</v>
      </c>
      <c r="D220">
        <v>35292.682626919792</v>
      </c>
      <c r="E220">
        <v>89630.346480295542</v>
      </c>
      <c r="F220">
        <v>123199.49593904798</v>
      </c>
      <c r="G220">
        <v>382307.6180227279</v>
      </c>
      <c r="H220">
        <v>340984.58015020413</v>
      </c>
      <c r="I220">
        <v>41323.037872523768</v>
      </c>
      <c r="J220">
        <v>2631.1791691222256</v>
      </c>
      <c r="K220">
        <v>0</v>
      </c>
      <c r="L220">
        <v>338353.40098108188</v>
      </c>
      <c r="M220">
        <v>609</v>
      </c>
      <c r="N220">
        <v>156</v>
      </c>
      <c r="O220">
        <v>0.25615763546797998</v>
      </c>
    </row>
    <row r="221" spans="1:15" x14ac:dyDescent="0.25">
      <c r="A221" t="s">
        <v>584</v>
      </c>
      <c r="B221" t="s">
        <v>1132</v>
      </c>
      <c r="C221">
        <v>79134.798422017586</v>
      </c>
      <c r="D221">
        <v>20813.633344080903</v>
      </c>
      <c r="E221">
        <v>49969.292280957889</v>
      </c>
      <c r="F221">
        <v>68684.233222264302</v>
      </c>
      <c r="G221">
        <v>218601.95726932067</v>
      </c>
      <c r="H221">
        <v>190146.90741865459</v>
      </c>
      <c r="I221">
        <v>28455.049850666081</v>
      </c>
      <c r="J221">
        <v>1467.2528055450159</v>
      </c>
      <c r="K221">
        <v>0</v>
      </c>
      <c r="L221">
        <v>188679.65461310957</v>
      </c>
      <c r="M221">
        <v>384</v>
      </c>
      <c r="N221">
        <v>92</v>
      </c>
      <c r="O221">
        <v>0.23958333333333301</v>
      </c>
    </row>
    <row r="222" spans="1:15" x14ac:dyDescent="0.25">
      <c r="A222" t="s">
        <v>586</v>
      </c>
      <c r="B222" t="s">
        <v>1138</v>
      </c>
      <c r="C222">
        <v>51609.651144794087</v>
      </c>
      <c r="D222">
        <v>13574.108702661462</v>
      </c>
      <c r="E222">
        <v>26277.522912885011</v>
      </c>
      <c r="F222">
        <v>36119.213017947339</v>
      </c>
      <c r="G222">
        <v>127580.49577828791</v>
      </c>
      <c r="H222">
        <v>112868.91729075405</v>
      </c>
      <c r="I222">
        <v>14711.578487533858</v>
      </c>
      <c r="J222">
        <v>870.94361828910894</v>
      </c>
      <c r="K222">
        <v>0</v>
      </c>
      <c r="L222">
        <v>111997.97367246494</v>
      </c>
      <c r="M222">
        <v>352</v>
      </c>
      <c r="N222">
        <v>60</v>
      </c>
      <c r="O222">
        <v>0.170454545454545</v>
      </c>
    </row>
    <row r="223" spans="1:15" x14ac:dyDescent="0.25">
      <c r="A223" t="s">
        <v>61</v>
      </c>
      <c r="B223" t="s">
        <v>1139</v>
      </c>
      <c r="C223">
        <v>5170175.6148867765</v>
      </c>
      <c r="D223">
        <v>1359833.3693716864</v>
      </c>
      <c r="E223">
        <v>4356943.6453850307</v>
      </c>
      <c r="F223">
        <v>5988744.6833007531</v>
      </c>
      <c r="G223">
        <v>16875697.312944245</v>
      </c>
      <c r="H223">
        <v>14905714.467067217</v>
      </c>
      <c r="I223">
        <v>1969982.8458770271</v>
      </c>
      <c r="J223">
        <v>115018.70667979993</v>
      </c>
      <c r="K223">
        <v>0</v>
      </c>
      <c r="L223">
        <v>14790695.760387417</v>
      </c>
      <c r="M223">
        <v>33644</v>
      </c>
      <c r="N223">
        <v>6011</v>
      </c>
      <c r="O223">
        <v>0.17865651954315001</v>
      </c>
    </row>
    <row r="224" spans="1:15" x14ac:dyDescent="0.25">
      <c r="A224" t="s">
        <v>588</v>
      </c>
      <c r="B224" t="s">
        <v>1142</v>
      </c>
      <c r="C224">
        <v>18923.538753091165</v>
      </c>
      <c r="D224">
        <v>4977.1731909758673</v>
      </c>
      <c r="E224">
        <v>9638.2967722935755</v>
      </c>
      <c r="F224">
        <v>13248.116856477498</v>
      </c>
      <c r="G224">
        <v>46787.125572838107</v>
      </c>
      <c r="H224">
        <v>42290.355083333277</v>
      </c>
      <c r="I224">
        <v>4496.77048950483</v>
      </c>
      <c r="J224">
        <v>326.33000970610647</v>
      </c>
      <c r="K224">
        <v>0</v>
      </c>
      <c r="L224">
        <v>41964.02507362717</v>
      </c>
      <c r="M224">
        <v>129</v>
      </c>
      <c r="N224">
        <v>22</v>
      </c>
      <c r="O224">
        <v>0.170542635658915</v>
      </c>
    </row>
    <row r="225" spans="1:15" x14ac:dyDescent="0.25">
      <c r="A225" t="s">
        <v>592</v>
      </c>
      <c r="B225" t="s">
        <v>1150</v>
      </c>
      <c r="C225">
        <v>12902.412786198522</v>
      </c>
      <c r="D225">
        <v>3393.5271756653656</v>
      </c>
      <c r="E225">
        <v>19775.318373250386</v>
      </c>
      <c r="F225">
        <v>27181.745371856225</v>
      </c>
      <c r="G225">
        <v>63253.003706970499</v>
      </c>
      <c r="H225">
        <v>41667.845811323612</v>
      </c>
      <c r="I225">
        <v>21585.157895646887</v>
      </c>
      <c r="J225">
        <v>321.52646865338272</v>
      </c>
      <c r="K225">
        <v>0</v>
      </c>
      <c r="L225">
        <v>41346.319342670227</v>
      </c>
      <c r="M225">
        <v>15</v>
      </c>
      <c r="N225">
        <v>15</v>
      </c>
      <c r="O225">
        <v>1</v>
      </c>
    </row>
    <row r="226" spans="1:15" x14ac:dyDescent="0.25">
      <c r="A226" t="s">
        <v>596</v>
      </c>
      <c r="B226" t="s">
        <v>1158</v>
      </c>
      <c r="C226">
        <v>109240.42825648078</v>
      </c>
      <c r="D226">
        <v>20873.00211974937</v>
      </c>
      <c r="E226">
        <v>52251.575259538273</v>
      </c>
      <c r="F226">
        <v>71821.296991321447</v>
      </c>
      <c r="G226">
        <v>254186.3026270899</v>
      </c>
      <c r="H226">
        <v>251538.90858973516</v>
      </c>
      <c r="I226">
        <v>2647.3940373547375</v>
      </c>
      <c r="J226">
        <v>1940.9790795041458</v>
      </c>
      <c r="K226">
        <v>0</v>
      </c>
      <c r="L226">
        <v>249597.92951023101</v>
      </c>
      <c r="M226">
        <v>920</v>
      </c>
      <c r="N226">
        <v>127</v>
      </c>
      <c r="O226">
        <v>0.13804347826086999</v>
      </c>
    </row>
    <row r="227" spans="1:15" x14ac:dyDescent="0.25">
      <c r="A227" t="s">
        <v>72</v>
      </c>
      <c r="B227" t="s">
        <v>1161</v>
      </c>
      <c r="C227">
        <v>96317.465300918935</v>
      </c>
      <c r="D227">
        <v>23097.112354173452</v>
      </c>
      <c r="E227">
        <v>81114.047976330694</v>
      </c>
      <c r="F227">
        <v>111493.59805784775</v>
      </c>
      <c r="G227">
        <v>312022.22368927085</v>
      </c>
      <c r="H227">
        <v>259437.25193918563</v>
      </c>
      <c r="I227">
        <v>52584.971750085213</v>
      </c>
      <c r="J227">
        <v>2001.9259894274469</v>
      </c>
      <c r="K227">
        <v>0</v>
      </c>
      <c r="L227">
        <v>257435.32594975817</v>
      </c>
      <c r="M227">
        <v>742</v>
      </c>
      <c r="N227">
        <v>112</v>
      </c>
      <c r="O227">
        <v>0.15084808118918</v>
      </c>
    </row>
    <row r="228" spans="1:15" x14ac:dyDescent="0.25">
      <c r="A228" t="s">
        <v>598</v>
      </c>
      <c r="B228" t="s">
        <v>1165</v>
      </c>
      <c r="C228">
        <v>19632.409156375907</v>
      </c>
      <c r="D228">
        <v>5141.8366091035523</v>
      </c>
      <c r="E228">
        <v>12368.125106929569</v>
      </c>
      <c r="F228">
        <v>17054.824055209006</v>
      </c>
      <c r="G228">
        <v>54197.194927618031</v>
      </c>
      <c r="H228">
        <v>53194.493457452198</v>
      </c>
      <c r="I228">
        <v>1002.7014701658336</v>
      </c>
      <c r="J228">
        <v>410.4708870870416</v>
      </c>
      <c r="K228">
        <v>0</v>
      </c>
      <c r="L228">
        <v>52784.022570365159</v>
      </c>
      <c r="M228">
        <v>114</v>
      </c>
      <c r="N228">
        <v>22</v>
      </c>
      <c r="O228">
        <v>0.19298245614035101</v>
      </c>
    </row>
    <row r="229" spans="1:15" x14ac:dyDescent="0.25">
      <c r="A229" t="s">
        <v>600</v>
      </c>
      <c r="B229" t="s">
        <v>1169</v>
      </c>
      <c r="C229">
        <v>1025311.7360765755</v>
      </c>
      <c r="D229">
        <v>269672.29289287422</v>
      </c>
      <c r="E229">
        <v>593487.38040853513</v>
      </c>
      <c r="F229">
        <v>815765.51897622959</v>
      </c>
      <c r="G229">
        <v>2704236.9283542144</v>
      </c>
      <c r="H229">
        <v>2494920.935762791</v>
      </c>
      <c r="I229">
        <v>209315.99259142345</v>
      </c>
      <c r="J229">
        <v>19251.850015898894</v>
      </c>
      <c r="K229">
        <v>0</v>
      </c>
      <c r="L229">
        <v>2475669.0857468923</v>
      </c>
      <c r="M229">
        <v>6200</v>
      </c>
      <c r="N229">
        <v>1192</v>
      </c>
      <c r="O229">
        <v>0.19225806451612901</v>
      </c>
    </row>
    <row r="230" spans="1:15" x14ac:dyDescent="0.25">
      <c r="A230" t="s">
        <v>67</v>
      </c>
      <c r="B230" t="s">
        <v>1170</v>
      </c>
      <c r="C230">
        <v>15679.420009491818</v>
      </c>
      <c r="D230">
        <v>4123.9215317772196</v>
      </c>
      <c r="E230">
        <v>8767.6513755235774</v>
      </c>
      <c r="F230">
        <v>12051.389651509069</v>
      </c>
      <c r="G230">
        <v>40622.382568301684</v>
      </c>
      <c r="H230">
        <v>35527.445652819362</v>
      </c>
      <c r="I230">
        <v>5094.9369154823216</v>
      </c>
      <c r="J230">
        <v>274.14458123778684</v>
      </c>
      <c r="K230">
        <v>0</v>
      </c>
      <c r="L230">
        <v>35253.301071581576</v>
      </c>
      <c r="M230">
        <v>87</v>
      </c>
      <c r="N230">
        <v>18</v>
      </c>
      <c r="O230">
        <v>0.21035407825649799</v>
      </c>
    </row>
    <row r="231" spans="1:15" x14ac:dyDescent="0.25">
      <c r="A231" t="s">
        <v>602</v>
      </c>
      <c r="B231" t="s">
        <v>1173</v>
      </c>
      <c r="C231">
        <v>74833.994159951442</v>
      </c>
      <c r="D231">
        <v>19682.457618859105</v>
      </c>
      <c r="E231">
        <v>49245.854821449138</v>
      </c>
      <c r="F231">
        <v>67689.847572148632</v>
      </c>
      <c r="G231">
        <v>211452.15417240831</v>
      </c>
      <c r="H231">
        <v>177159.02018825623</v>
      </c>
      <c r="I231">
        <v>34293.133984152082</v>
      </c>
      <c r="J231">
        <v>1367.0328533217239</v>
      </c>
      <c r="K231">
        <v>0</v>
      </c>
      <c r="L231">
        <v>175791.9873349345</v>
      </c>
      <c r="M231">
        <v>346</v>
      </c>
      <c r="N231">
        <v>87</v>
      </c>
      <c r="O231">
        <v>0.25144508670520199</v>
      </c>
    </row>
    <row r="232" spans="1:15" x14ac:dyDescent="0.25">
      <c r="A232" t="s">
        <v>237</v>
      </c>
      <c r="B232" t="s">
        <v>1177</v>
      </c>
      <c r="C232">
        <v>24084.503867570565</v>
      </c>
      <c r="D232">
        <v>6334.5840612420179</v>
      </c>
      <c r="E232">
        <v>12323.739739825329</v>
      </c>
      <c r="F232">
        <v>16939.33565641494</v>
      </c>
      <c r="G232">
        <v>59682.163325052854</v>
      </c>
      <c r="H232">
        <v>52297.456601489925</v>
      </c>
      <c r="I232">
        <v>7384.7067235629293</v>
      </c>
      <c r="J232">
        <v>403.5489767522601</v>
      </c>
      <c r="K232">
        <v>0</v>
      </c>
      <c r="L232">
        <v>51893.907624737665</v>
      </c>
      <c r="M232">
        <v>163</v>
      </c>
      <c r="N232">
        <v>28</v>
      </c>
      <c r="O232">
        <v>0.17177914110429399</v>
      </c>
    </row>
    <row r="233" spans="1:15" x14ac:dyDescent="0.25">
      <c r="A233" t="s">
        <v>608</v>
      </c>
      <c r="B233" t="s">
        <v>1193</v>
      </c>
      <c r="C233">
        <v>34902.060722446069</v>
      </c>
      <c r="D233">
        <v>9141.0428606285368</v>
      </c>
      <c r="E233">
        <v>22232.007412531515</v>
      </c>
      <c r="F233">
        <v>30656.463411935518</v>
      </c>
      <c r="G233">
        <v>96931.57440754163</v>
      </c>
      <c r="H233">
        <v>95138.333693290857</v>
      </c>
      <c r="I233">
        <v>1793.2407142507727</v>
      </c>
      <c r="J233">
        <v>734.12704377575426</v>
      </c>
      <c r="K233">
        <v>0</v>
      </c>
      <c r="L233">
        <v>94404.206649515108</v>
      </c>
      <c r="M233">
        <v>198</v>
      </c>
      <c r="N233">
        <v>33</v>
      </c>
      <c r="O233">
        <v>0.16666666666666699</v>
      </c>
    </row>
    <row r="234" spans="1:15" x14ac:dyDescent="0.25">
      <c r="A234" t="s">
        <v>610</v>
      </c>
      <c r="B234" t="s">
        <v>1198</v>
      </c>
      <c r="C234">
        <v>173752.49218747349</v>
      </c>
      <c r="D234">
        <v>45699.499298960232</v>
      </c>
      <c r="E234">
        <v>113568.28453944842</v>
      </c>
      <c r="F234">
        <v>156102.88210810773</v>
      </c>
      <c r="G234">
        <v>489123.15813398984</v>
      </c>
      <c r="H234">
        <v>410875.81005733134</v>
      </c>
      <c r="I234">
        <v>78247.348076658498</v>
      </c>
      <c r="J234">
        <v>3170.4890351430258</v>
      </c>
      <c r="K234">
        <v>0</v>
      </c>
      <c r="L234">
        <v>407705.32102218829</v>
      </c>
      <c r="M234">
        <v>810</v>
      </c>
      <c r="N234">
        <v>202</v>
      </c>
      <c r="O234">
        <v>0.249382716049383</v>
      </c>
    </row>
    <row r="235" spans="1:15" x14ac:dyDescent="0.25">
      <c r="A235" t="s">
        <v>612</v>
      </c>
      <c r="B235" t="s">
        <v>1202</v>
      </c>
      <c r="C235">
        <v>56770.616259273469</v>
      </c>
      <c r="D235">
        <v>14931.519572927607</v>
      </c>
      <c r="E235">
        <v>34546.955665293921</v>
      </c>
      <c r="F235">
        <v>47637.960112853594</v>
      </c>
      <c r="G235">
        <v>153887.0516103486</v>
      </c>
      <c r="H235">
        <v>145507.37758741749</v>
      </c>
      <c r="I235">
        <v>8379.6740229311108</v>
      </c>
      <c r="J235">
        <v>1122.7955841667872</v>
      </c>
      <c r="K235">
        <v>0</v>
      </c>
      <c r="L235">
        <v>144384.58200325069</v>
      </c>
      <c r="M235">
        <v>288</v>
      </c>
      <c r="N235">
        <v>66</v>
      </c>
      <c r="O235">
        <v>0.22916666666666699</v>
      </c>
    </row>
    <row r="236" spans="1:15" x14ac:dyDescent="0.25">
      <c r="A236" t="s">
        <v>614</v>
      </c>
      <c r="B236" t="s">
        <v>1207</v>
      </c>
      <c r="C236">
        <v>94617.693765455799</v>
      </c>
      <c r="D236">
        <v>24885.865954879348</v>
      </c>
      <c r="E236">
        <v>55574.230301657342</v>
      </c>
      <c r="F236">
        <v>76388.382163288261</v>
      </c>
      <c r="G236">
        <v>251466.17218528077</v>
      </c>
      <c r="H236">
        <v>211330.21368323328</v>
      </c>
      <c r="I236">
        <v>40135.958502047491</v>
      </c>
      <c r="J236">
        <v>1630.7120275190521</v>
      </c>
      <c r="K236">
        <v>0</v>
      </c>
      <c r="L236">
        <v>209699.50165571424</v>
      </c>
      <c r="M236">
        <v>495</v>
      </c>
      <c r="N236">
        <v>110</v>
      </c>
      <c r="O236">
        <v>0.22222222222222199</v>
      </c>
    </row>
    <row r="237" spans="1:15" x14ac:dyDescent="0.25">
      <c r="A237" t="s">
        <v>616</v>
      </c>
      <c r="B237" t="s">
        <v>1209</v>
      </c>
      <c r="C237">
        <v>301916.4591970453</v>
      </c>
      <c r="D237">
        <v>79408.535910569524</v>
      </c>
      <c r="E237">
        <v>155992.67563927852</v>
      </c>
      <c r="F237">
        <v>214416.43108193824</v>
      </c>
      <c r="G237">
        <v>751734.1018288316</v>
      </c>
      <c r="H237">
        <v>667350.77205075289</v>
      </c>
      <c r="I237">
        <v>84383.329778078711</v>
      </c>
      <c r="J237">
        <v>5149.5567604379385</v>
      </c>
      <c r="K237">
        <v>0</v>
      </c>
      <c r="L237">
        <v>662201.21529031498</v>
      </c>
      <c r="M237">
        <v>2012</v>
      </c>
      <c r="N237">
        <v>351</v>
      </c>
      <c r="O237">
        <v>0.17445328031809099</v>
      </c>
    </row>
    <row r="238" spans="1:15" x14ac:dyDescent="0.25">
      <c r="A238" t="s">
        <v>621</v>
      </c>
      <c r="B238" t="s">
        <v>1215</v>
      </c>
      <c r="C238">
        <v>734577.36796090228</v>
      </c>
      <c r="D238">
        <v>193204.81386788143</v>
      </c>
      <c r="E238">
        <v>472512.33221861557</v>
      </c>
      <c r="F238">
        <v>649481.82663909637</v>
      </c>
      <c r="G238">
        <v>2049776.3406864954</v>
      </c>
      <c r="H238">
        <v>1829237.6320837752</v>
      </c>
      <c r="I238">
        <v>220538.70860272017</v>
      </c>
      <c r="J238">
        <v>14115.16013654676</v>
      </c>
      <c r="K238">
        <v>0</v>
      </c>
      <c r="L238">
        <v>1815122.4719472285</v>
      </c>
      <c r="M238">
        <v>3490</v>
      </c>
      <c r="N238">
        <v>854</v>
      </c>
      <c r="O238">
        <v>0.24469914040114599</v>
      </c>
    </row>
    <row r="239" spans="1:15" x14ac:dyDescent="0.25">
      <c r="A239" t="s">
        <v>623</v>
      </c>
      <c r="B239" t="s">
        <v>1217</v>
      </c>
      <c r="C239">
        <v>150528.1491723161</v>
      </c>
      <c r="D239">
        <v>39591.150382762578</v>
      </c>
      <c r="E239">
        <v>84414.991267574413</v>
      </c>
      <c r="F239">
        <v>116030.83980212704</v>
      </c>
      <c r="G239">
        <v>390565.13062478014</v>
      </c>
      <c r="H239">
        <v>359533.34196567081</v>
      </c>
      <c r="I239">
        <v>31031.788659109327</v>
      </c>
      <c r="J239">
        <v>2774.3091478455067</v>
      </c>
      <c r="K239">
        <v>0</v>
      </c>
      <c r="L239">
        <v>356759.03281782533</v>
      </c>
      <c r="M239">
        <v>865</v>
      </c>
      <c r="N239">
        <v>175</v>
      </c>
      <c r="O239">
        <v>0.20231213872832399</v>
      </c>
    </row>
    <row r="240" spans="1:15" x14ac:dyDescent="0.25">
      <c r="A240" t="s">
        <v>70</v>
      </c>
      <c r="B240" t="s">
        <v>1238</v>
      </c>
      <c r="C240">
        <v>31036.131487696635</v>
      </c>
      <c r="D240">
        <v>8162.9659022910064</v>
      </c>
      <c r="E240">
        <v>22646.910412673456</v>
      </c>
      <c r="F240">
        <v>31226.029502111254</v>
      </c>
      <c r="G240">
        <v>93072.037304772355</v>
      </c>
      <c r="H240">
        <v>83554.282462617091</v>
      </c>
      <c r="I240">
        <v>9517.7548421552638</v>
      </c>
      <c r="J240">
        <v>644.73967535350141</v>
      </c>
      <c r="K240">
        <v>0</v>
      </c>
      <c r="L240">
        <v>82909.542787263592</v>
      </c>
      <c r="M240">
        <v>221</v>
      </c>
      <c r="N240">
        <v>36</v>
      </c>
      <c r="O240">
        <v>0.16325652128859</v>
      </c>
    </row>
    <row r="241" spans="1:15" x14ac:dyDescent="0.25">
      <c r="A241" t="s">
        <v>635</v>
      </c>
      <c r="B241" t="s">
        <v>1244</v>
      </c>
      <c r="C241">
        <v>12902.412786198522</v>
      </c>
      <c r="D241">
        <v>2510.0445587040394</v>
      </c>
      <c r="E241">
        <v>6171.445896795859</v>
      </c>
      <c r="F241">
        <v>8482.8303533056824</v>
      </c>
      <c r="G241">
        <v>30066.733595004102</v>
      </c>
      <c r="H241">
        <v>27141.179063276595</v>
      </c>
      <c r="I241">
        <v>2925.5545317275064</v>
      </c>
      <c r="J241">
        <v>209.43265218987909</v>
      </c>
      <c r="K241">
        <v>0</v>
      </c>
      <c r="L241">
        <v>26931.746411086715</v>
      </c>
      <c r="M241">
        <v>112</v>
      </c>
      <c r="N241">
        <v>15</v>
      </c>
      <c r="O241">
        <v>0.13392857142857101</v>
      </c>
    </row>
    <row r="242" spans="1:15" x14ac:dyDescent="0.25">
      <c r="A242" t="s">
        <v>639</v>
      </c>
      <c r="B242" t="s">
        <v>1248</v>
      </c>
      <c r="C242">
        <v>18063.377900677922</v>
      </c>
      <c r="D242">
        <v>1967.3097874962073</v>
      </c>
      <c r="E242">
        <v>8640.0242555142013</v>
      </c>
      <c r="F242">
        <v>11875.962494627953</v>
      </c>
      <c r="G242">
        <v>40546.67443831628</v>
      </c>
      <c r="H242">
        <v>36126.687489787131</v>
      </c>
      <c r="I242">
        <v>4419.9869485291492</v>
      </c>
      <c r="J242">
        <v>278.7685810620651</v>
      </c>
      <c r="K242">
        <v>0</v>
      </c>
      <c r="L242">
        <v>35847.918908725063</v>
      </c>
      <c r="M242">
        <v>146</v>
      </c>
      <c r="N242">
        <v>21</v>
      </c>
      <c r="O242">
        <v>0.14383561643835599</v>
      </c>
    </row>
    <row r="243" spans="1:15" x14ac:dyDescent="0.25">
      <c r="A243" t="s">
        <v>641</v>
      </c>
      <c r="B243" t="s">
        <v>1250</v>
      </c>
      <c r="C243">
        <v>13762.573638611757</v>
      </c>
      <c r="D243">
        <v>3619.7623207097226</v>
      </c>
      <c r="E243">
        <v>12391.594787460599</v>
      </c>
      <c r="F243">
        <v>17032.604376149538</v>
      </c>
      <c r="G243">
        <v>46806.535122931615</v>
      </c>
      <c r="H243">
        <v>40451.000545111761</v>
      </c>
      <c r="I243">
        <v>6355.5345778198534</v>
      </c>
      <c r="J243">
        <v>312.13678330429377</v>
      </c>
      <c r="K243">
        <v>0</v>
      </c>
      <c r="L243">
        <v>40138.863761807464</v>
      </c>
      <c r="M243">
        <v>43</v>
      </c>
      <c r="N243">
        <v>16</v>
      </c>
      <c r="O243">
        <v>0.372093023255814</v>
      </c>
    </row>
    <row r="244" spans="1:15" x14ac:dyDescent="0.25">
      <c r="A244" t="s">
        <v>645</v>
      </c>
      <c r="B244" t="s">
        <v>1254</v>
      </c>
      <c r="C244">
        <v>3687509.5742955371</v>
      </c>
      <c r="D244">
        <v>969870.06680516119</v>
      </c>
      <c r="E244">
        <v>2920122.4835005747</v>
      </c>
      <c r="F244">
        <v>4013792.562172472</v>
      </c>
      <c r="G244">
        <v>11591294.686773745</v>
      </c>
      <c r="H244">
        <v>10192825.849578472</v>
      </c>
      <c r="I244">
        <v>1398468.8371952735</v>
      </c>
      <c r="J244">
        <v>78652.093411636262</v>
      </c>
      <c r="K244">
        <v>0</v>
      </c>
      <c r="L244">
        <v>10114173.756166836</v>
      </c>
      <c r="M244">
        <v>16519</v>
      </c>
      <c r="N244">
        <v>4287</v>
      </c>
      <c r="O244">
        <v>0.25951934136448901</v>
      </c>
    </row>
    <row r="245" spans="1:15" x14ac:dyDescent="0.25">
      <c r="A245" t="s">
        <v>316</v>
      </c>
      <c r="B245" t="s">
        <v>689</v>
      </c>
      <c r="C245">
        <v>267138.11059899989</v>
      </c>
      <c r="D245">
        <v>69964.94958025057</v>
      </c>
      <c r="E245">
        <v>129854.33942890776</v>
      </c>
      <c r="F245">
        <v>179060.51989436932</v>
      </c>
      <c r="G245">
        <v>646017.91950252745</v>
      </c>
      <c r="H245">
        <v>646017.91950252745</v>
      </c>
      <c r="I245">
        <v>0</v>
      </c>
      <c r="J245">
        <v>4984.9435769968541</v>
      </c>
      <c r="K245">
        <v>0</v>
      </c>
      <c r="L245">
        <v>641032.97592553066</v>
      </c>
      <c r="M245">
        <v>2473</v>
      </c>
      <c r="N245">
        <v>271</v>
      </c>
      <c r="O245">
        <v>0.109583501819652</v>
      </c>
    </row>
    <row r="246" spans="1:15" x14ac:dyDescent="0.25">
      <c r="A246" t="s">
        <v>320</v>
      </c>
      <c r="B246" t="s">
        <v>694</v>
      </c>
      <c r="C246">
        <v>208567.25116782496</v>
      </c>
      <c r="D246">
        <v>54229.157445164499</v>
      </c>
      <c r="E246">
        <v>136576.44027378573</v>
      </c>
      <c r="F246">
        <v>184971.87213735111</v>
      </c>
      <c r="G246">
        <v>584344.72102412628</v>
      </c>
      <c r="H246">
        <v>584344.72102412628</v>
      </c>
      <c r="I246">
        <v>0</v>
      </c>
      <c r="J246">
        <v>4509.0474673897033</v>
      </c>
      <c r="K246">
        <v>0</v>
      </c>
      <c r="L246">
        <v>579835.67355673655</v>
      </c>
      <c r="M246">
        <v>968</v>
      </c>
      <c r="N246">
        <v>178</v>
      </c>
      <c r="O246">
        <v>0.18388429752066099</v>
      </c>
    </row>
    <row r="247" spans="1:15" x14ac:dyDescent="0.25">
      <c r="A247" t="s">
        <v>326</v>
      </c>
      <c r="B247" t="s">
        <v>700</v>
      </c>
      <c r="C247">
        <v>383870.28646256687</v>
      </c>
      <c r="D247">
        <v>97495.414964399009</v>
      </c>
      <c r="E247">
        <v>172892.90837407191</v>
      </c>
      <c r="F247">
        <v>232916.76880861406</v>
      </c>
      <c r="G247">
        <v>887175.37860965193</v>
      </c>
      <c r="H247">
        <v>887175.37860965193</v>
      </c>
      <c r="I247">
        <v>0</v>
      </c>
      <c r="J247">
        <v>6845.8150645040023</v>
      </c>
      <c r="K247">
        <v>0</v>
      </c>
      <c r="L247">
        <v>880329.56354514789</v>
      </c>
      <c r="M247">
        <v>3721</v>
      </c>
      <c r="N247">
        <v>397</v>
      </c>
      <c r="O247">
        <v>0.106691749529696</v>
      </c>
    </row>
    <row r="248" spans="1:15" x14ac:dyDescent="0.25">
      <c r="A248" t="s">
        <v>332</v>
      </c>
      <c r="B248" t="s">
        <v>710</v>
      </c>
      <c r="C248">
        <v>142786.70150059689</v>
      </c>
      <c r="D248">
        <v>31177.395571271216</v>
      </c>
      <c r="E248">
        <v>68297.334591207546</v>
      </c>
      <c r="F248">
        <v>93876.655909916211</v>
      </c>
      <c r="G248">
        <v>336138.08757299185</v>
      </c>
      <c r="H248">
        <v>336138.08757299185</v>
      </c>
      <c r="I248">
        <v>0</v>
      </c>
      <c r="J248">
        <v>2593.7816120043958</v>
      </c>
      <c r="K248">
        <v>0</v>
      </c>
      <c r="L248">
        <v>333544.30596098746</v>
      </c>
      <c r="M248">
        <v>1496</v>
      </c>
      <c r="N248">
        <v>166</v>
      </c>
      <c r="O248">
        <v>0.11096256684491999</v>
      </c>
    </row>
    <row r="249" spans="1:15" x14ac:dyDescent="0.25">
      <c r="A249" t="s">
        <v>340</v>
      </c>
      <c r="B249" t="s">
        <v>727</v>
      </c>
      <c r="C249">
        <v>155596.35784154371</v>
      </c>
      <c r="D249">
        <v>39518.379019392305</v>
      </c>
      <c r="E249">
        <v>87445.243673026634</v>
      </c>
      <c r="F249">
        <v>115225.9137046486</v>
      </c>
      <c r="G249">
        <v>397785.89423861128</v>
      </c>
      <c r="H249">
        <v>397785.89423861128</v>
      </c>
      <c r="I249">
        <v>0</v>
      </c>
      <c r="J249">
        <v>3069.4817877988553</v>
      </c>
      <c r="K249">
        <v>0</v>
      </c>
      <c r="L249">
        <v>394716.41245081241</v>
      </c>
      <c r="M249">
        <v>938</v>
      </c>
      <c r="N249">
        <v>161</v>
      </c>
      <c r="O249">
        <v>0.171641791044776</v>
      </c>
    </row>
    <row r="250" spans="1:15" x14ac:dyDescent="0.25">
      <c r="A250" t="s">
        <v>353</v>
      </c>
      <c r="B250" t="s">
        <v>745</v>
      </c>
      <c r="C250">
        <v>88119.434482081328</v>
      </c>
      <c r="D250">
        <v>22573.165743120931</v>
      </c>
      <c r="E250">
        <v>42048.386874260774</v>
      </c>
      <c r="F250">
        <v>56948.100454925217</v>
      </c>
      <c r="G250">
        <v>209689.08755438824</v>
      </c>
      <c r="H250">
        <v>209689.08755438824</v>
      </c>
      <c r="I250">
        <v>0</v>
      </c>
      <c r="J250">
        <v>1618.0484141608847</v>
      </c>
      <c r="K250">
        <v>0</v>
      </c>
      <c r="L250">
        <v>208071.03914022737</v>
      </c>
      <c r="M250">
        <v>756</v>
      </c>
      <c r="N250">
        <v>100</v>
      </c>
      <c r="O250">
        <v>0.13227513227513199</v>
      </c>
    </row>
    <row r="251" spans="1:15" x14ac:dyDescent="0.25">
      <c r="A251" t="s">
        <v>354</v>
      </c>
      <c r="B251" t="s">
        <v>747</v>
      </c>
      <c r="C251">
        <v>275251.47277223511</v>
      </c>
      <c r="D251">
        <v>72395.246414194451</v>
      </c>
      <c r="E251">
        <v>139412.21575203945</v>
      </c>
      <c r="F251">
        <v>192240.19730086092</v>
      </c>
      <c r="G251">
        <v>679299.13223932998</v>
      </c>
      <c r="H251">
        <v>679299.13223932998</v>
      </c>
      <c r="I251">
        <v>0</v>
      </c>
      <c r="J251">
        <v>5241.7552886514568</v>
      </c>
      <c r="K251">
        <v>0</v>
      </c>
      <c r="L251">
        <v>674057.37695067853</v>
      </c>
      <c r="M251">
        <v>1998</v>
      </c>
      <c r="N251">
        <v>320</v>
      </c>
      <c r="O251">
        <v>0.16016016016015999</v>
      </c>
    </row>
    <row r="252" spans="1:15" x14ac:dyDescent="0.25">
      <c r="A252" t="s">
        <v>364</v>
      </c>
      <c r="B252" t="s">
        <v>761</v>
      </c>
      <c r="C252">
        <v>13047.876867303326</v>
      </c>
      <c r="D252">
        <v>3417.311162017379</v>
      </c>
      <c r="E252">
        <v>6808.6736096702216</v>
      </c>
      <c r="F252">
        <v>9388.7092391401129</v>
      </c>
      <c r="G252">
        <v>32662.570878131042</v>
      </c>
      <c r="H252">
        <v>32662.570878131042</v>
      </c>
      <c r="I252">
        <v>0</v>
      </c>
      <c r="J252">
        <v>252.03801317543298</v>
      </c>
      <c r="K252">
        <v>0</v>
      </c>
      <c r="L252">
        <v>32410.53286495561</v>
      </c>
      <c r="M252">
        <v>114</v>
      </c>
      <c r="N252">
        <v>13</v>
      </c>
      <c r="O252">
        <v>0.114035087719298</v>
      </c>
    </row>
    <row r="253" spans="1:15" x14ac:dyDescent="0.25">
      <c r="A253" t="s">
        <v>366</v>
      </c>
      <c r="B253" t="s">
        <v>763</v>
      </c>
      <c r="C253">
        <v>41986.318782638773</v>
      </c>
      <c r="D253">
        <v>10663.68957666142</v>
      </c>
      <c r="E253">
        <v>31701.278752995968</v>
      </c>
      <c r="F253">
        <v>41772.52708652999</v>
      </c>
      <c r="G253">
        <v>126123.81419882615</v>
      </c>
      <c r="H253">
        <v>126123.81419882615</v>
      </c>
      <c r="I253">
        <v>0</v>
      </c>
      <c r="J253">
        <v>973.22392849556741</v>
      </c>
      <c r="K253">
        <v>0</v>
      </c>
      <c r="L253">
        <v>125150.59027033058</v>
      </c>
      <c r="M253">
        <v>158</v>
      </c>
      <c r="N253">
        <v>41</v>
      </c>
      <c r="O253">
        <v>0.259493670886076</v>
      </c>
    </row>
    <row r="254" spans="1:15" x14ac:dyDescent="0.25">
      <c r="A254" t="s">
        <v>368</v>
      </c>
      <c r="B254" t="s">
        <v>765</v>
      </c>
      <c r="C254">
        <v>73476.057869617842</v>
      </c>
      <c r="D254">
        <v>18661.456759157481</v>
      </c>
      <c r="E254">
        <v>56546.755740877394</v>
      </c>
      <c r="F254">
        <v>74511.21780435952</v>
      </c>
      <c r="G254">
        <v>223195.48817401222</v>
      </c>
      <c r="H254">
        <v>223195.48817401222</v>
      </c>
      <c r="I254">
        <v>0</v>
      </c>
      <c r="J254">
        <v>1722.2694318518304</v>
      </c>
      <c r="K254">
        <v>0</v>
      </c>
      <c r="L254">
        <v>221473.21874216039</v>
      </c>
      <c r="M254">
        <v>316</v>
      </c>
      <c r="N254">
        <v>75</v>
      </c>
      <c r="O254">
        <v>0.237341772151899</v>
      </c>
    </row>
    <row r="255" spans="1:15" x14ac:dyDescent="0.25">
      <c r="A255" t="s">
        <v>272</v>
      </c>
      <c r="B255" t="s">
        <v>769</v>
      </c>
      <c r="C255">
        <v>56998.619999272443</v>
      </c>
      <c r="D255">
        <v>14928.254023549607</v>
      </c>
      <c r="E255">
        <v>28593.491581728107</v>
      </c>
      <c r="F255">
        <v>39428.528077974399</v>
      </c>
      <c r="G255">
        <v>139948.89368252456</v>
      </c>
      <c r="H255">
        <v>139948.89368252456</v>
      </c>
      <c r="I255">
        <v>0</v>
      </c>
      <c r="J255">
        <v>1079.9040051516513</v>
      </c>
      <c r="K255">
        <v>0</v>
      </c>
      <c r="L255">
        <v>138868.98967737291</v>
      </c>
      <c r="M255">
        <v>504</v>
      </c>
      <c r="N255">
        <v>65</v>
      </c>
      <c r="O255">
        <v>0.12896825396825401</v>
      </c>
    </row>
    <row r="256" spans="1:15" x14ac:dyDescent="0.25">
      <c r="A256" t="s">
        <v>370</v>
      </c>
      <c r="B256" t="s">
        <v>771</v>
      </c>
      <c r="C256">
        <v>69673.029045472023</v>
      </c>
      <c r="D256">
        <v>16123.689816514952</v>
      </c>
      <c r="E256">
        <v>33325.807842697643</v>
      </c>
      <c r="F256">
        <v>45807.283907850688</v>
      </c>
      <c r="G256">
        <v>164929.81061253531</v>
      </c>
      <c r="H256">
        <v>164929.81061253531</v>
      </c>
      <c r="I256">
        <v>0</v>
      </c>
      <c r="J256">
        <v>1272.6671741573089</v>
      </c>
      <c r="K256">
        <v>0</v>
      </c>
      <c r="L256">
        <v>163657.143438378</v>
      </c>
      <c r="M256">
        <v>588</v>
      </c>
      <c r="N256">
        <v>81</v>
      </c>
      <c r="O256">
        <v>0.13775510204081601</v>
      </c>
    </row>
    <row r="257" spans="1:15" x14ac:dyDescent="0.25">
      <c r="A257" t="s">
        <v>372</v>
      </c>
      <c r="B257" t="s">
        <v>773</v>
      </c>
      <c r="C257">
        <v>69359.766505138759</v>
      </c>
      <c r="D257">
        <v>18165.70670335554</v>
      </c>
      <c r="E257">
        <v>38523.59312048537</v>
      </c>
      <c r="F257">
        <v>53121.479364421146</v>
      </c>
      <c r="G257">
        <v>179170.54569340081</v>
      </c>
      <c r="H257">
        <v>179170.54569340081</v>
      </c>
      <c r="I257">
        <v>0</v>
      </c>
      <c r="J257">
        <v>1382.5546226784586</v>
      </c>
      <c r="K257">
        <v>0</v>
      </c>
      <c r="L257">
        <v>177787.99107072235</v>
      </c>
      <c r="M257">
        <v>505</v>
      </c>
      <c r="N257">
        <v>72</v>
      </c>
      <c r="O257">
        <v>0.14257425742574301</v>
      </c>
    </row>
    <row r="258" spans="1:15" x14ac:dyDescent="0.25">
      <c r="A258" t="s">
        <v>376</v>
      </c>
      <c r="B258" t="s">
        <v>779</v>
      </c>
      <c r="C258">
        <v>0</v>
      </c>
      <c r="D258">
        <v>1453.183691881286</v>
      </c>
      <c r="E258">
        <v>0</v>
      </c>
      <c r="F258">
        <v>0</v>
      </c>
      <c r="G258">
        <v>1453.183691881286</v>
      </c>
      <c r="H258">
        <v>1453.183691881286</v>
      </c>
      <c r="I258">
        <v>0</v>
      </c>
      <c r="J258">
        <v>11.213371165645896</v>
      </c>
      <c r="K258">
        <v>0</v>
      </c>
      <c r="L258">
        <v>1441.9703207156401</v>
      </c>
      <c r="M258">
        <v>74</v>
      </c>
      <c r="N258">
        <v>2</v>
      </c>
      <c r="O258">
        <v>2.7027027027027001E-2</v>
      </c>
    </row>
    <row r="259" spans="1:15" x14ac:dyDescent="0.25">
      <c r="A259" t="s">
        <v>388</v>
      </c>
      <c r="B259" t="s">
        <v>797</v>
      </c>
      <c r="C259">
        <v>16099.928160323327</v>
      </c>
      <c r="D259">
        <v>4186.1103992758553</v>
      </c>
      <c r="E259">
        <v>10866.384934651529</v>
      </c>
      <c r="F259">
        <v>14716.854244394846</v>
      </c>
      <c r="G259">
        <v>45869.277738645556</v>
      </c>
      <c r="H259">
        <v>45869.277738645556</v>
      </c>
      <c r="I259">
        <v>0</v>
      </c>
      <c r="J259">
        <v>353.94646888560709</v>
      </c>
      <c r="K259">
        <v>0</v>
      </c>
      <c r="L259">
        <v>45515.331269759947</v>
      </c>
      <c r="M259">
        <v>87</v>
      </c>
      <c r="N259">
        <v>17</v>
      </c>
      <c r="O259">
        <v>0.195402298850575</v>
      </c>
    </row>
    <row r="260" spans="1:15" x14ac:dyDescent="0.25">
      <c r="A260" t="s">
        <v>394</v>
      </c>
      <c r="B260" t="s">
        <v>805</v>
      </c>
      <c r="C260">
        <v>27407.73587200031</v>
      </c>
      <c r="D260">
        <v>6961.0195847650912</v>
      </c>
      <c r="E260">
        <v>18432.836413721761</v>
      </c>
      <c r="F260">
        <v>24288.804384618092</v>
      </c>
      <c r="G260">
        <v>77090.396255105254</v>
      </c>
      <c r="H260">
        <v>77090.396255105254</v>
      </c>
      <c r="I260">
        <v>0</v>
      </c>
      <c r="J260">
        <v>594.86163472981764</v>
      </c>
      <c r="K260">
        <v>0</v>
      </c>
      <c r="L260">
        <v>76495.534620375431</v>
      </c>
      <c r="M260">
        <v>128</v>
      </c>
      <c r="N260">
        <v>22</v>
      </c>
      <c r="O260">
        <v>0.171875</v>
      </c>
    </row>
    <row r="261" spans="1:15" x14ac:dyDescent="0.25">
      <c r="A261" t="s">
        <v>127</v>
      </c>
      <c r="B261" t="s">
        <v>815</v>
      </c>
      <c r="C261">
        <v>708019.00264156493</v>
      </c>
      <c r="D261">
        <v>185434.09515999569</v>
      </c>
      <c r="E261">
        <v>400912.75489490537</v>
      </c>
      <c r="F261">
        <v>552832.09355562367</v>
      </c>
      <c r="G261">
        <v>1847197.9462520897</v>
      </c>
      <c r="H261">
        <v>1847197.9462520897</v>
      </c>
      <c r="I261">
        <v>0</v>
      </c>
      <c r="J261">
        <v>14253.749407914231</v>
      </c>
      <c r="K261">
        <v>0</v>
      </c>
      <c r="L261">
        <v>1832944.1968441755</v>
      </c>
      <c r="M261">
        <v>6171</v>
      </c>
      <c r="N261">
        <v>789</v>
      </c>
      <c r="O261">
        <v>0.127856101118133</v>
      </c>
    </row>
    <row r="262" spans="1:15" x14ac:dyDescent="0.25">
      <c r="A262" t="s">
        <v>400</v>
      </c>
      <c r="B262" t="s">
        <v>819</v>
      </c>
      <c r="C262">
        <v>123367.20827491388</v>
      </c>
      <c r="D262">
        <v>31332.816286980466</v>
      </c>
      <c r="E262">
        <v>55362.458950249391</v>
      </c>
      <c r="F262">
        <v>72950.679185382731</v>
      </c>
      <c r="G262">
        <v>283013.16269752651</v>
      </c>
      <c r="H262">
        <v>283013.16269752651</v>
      </c>
      <c r="I262">
        <v>0</v>
      </c>
      <c r="J262">
        <v>2183.8475450975175</v>
      </c>
      <c r="K262">
        <v>0</v>
      </c>
      <c r="L262">
        <v>280829.31515242899</v>
      </c>
      <c r="M262">
        <v>905</v>
      </c>
      <c r="N262">
        <v>127</v>
      </c>
      <c r="O262">
        <v>0.14033149171270701</v>
      </c>
    </row>
    <row r="263" spans="1:15" x14ac:dyDescent="0.25">
      <c r="A263" t="s">
        <v>133</v>
      </c>
      <c r="B263" t="s">
        <v>827</v>
      </c>
      <c r="C263">
        <v>11634.02024081536</v>
      </c>
      <c r="D263">
        <v>3047.0142868761773</v>
      </c>
      <c r="E263">
        <v>7943.5333803979074</v>
      </c>
      <c r="F263">
        <v>10953.605579511985</v>
      </c>
      <c r="G263">
        <v>33578.173487601431</v>
      </c>
      <c r="H263">
        <v>33578.173487601431</v>
      </c>
      <c r="I263">
        <v>0</v>
      </c>
      <c r="J263">
        <v>259.1031846039217</v>
      </c>
      <c r="K263">
        <v>0</v>
      </c>
      <c r="L263">
        <v>33319.070302997512</v>
      </c>
      <c r="M263">
        <v>60</v>
      </c>
      <c r="N263">
        <v>13</v>
      </c>
      <c r="O263">
        <v>0.21666666666666701</v>
      </c>
    </row>
    <row r="264" spans="1:15" x14ac:dyDescent="0.25">
      <c r="A264" t="s">
        <v>414</v>
      </c>
      <c r="B264" t="s">
        <v>839</v>
      </c>
      <c r="C264">
        <v>32963.057348976843</v>
      </c>
      <c r="D264">
        <v>6737.4880259950523</v>
      </c>
      <c r="E264">
        <v>16023.15756449248</v>
      </c>
      <c r="F264">
        <v>22094.871349433746</v>
      </c>
      <c r="G264">
        <v>77818.574288898119</v>
      </c>
      <c r="H264">
        <v>77818.574288898119</v>
      </c>
      <c r="I264">
        <v>0</v>
      </c>
      <c r="J264">
        <v>600.48055999935389</v>
      </c>
      <c r="K264">
        <v>0</v>
      </c>
      <c r="L264">
        <v>77218.093728898762</v>
      </c>
      <c r="M264">
        <v>338</v>
      </c>
      <c r="N264">
        <v>26</v>
      </c>
      <c r="O264">
        <v>7.69230769230769E-2</v>
      </c>
    </row>
    <row r="265" spans="1:15" x14ac:dyDescent="0.25">
      <c r="A265" t="s">
        <v>418</v>
      </c>
      <c r="B265" t="s">
        <v>847</v>
      </c>
      <c r="C265">
        <v>20888.346748971675</v>
      </c>
      <c r="D265">
        <v>5431.1376224050373</v>
      </c>
      <c r="E265">
        <v>13000.348189112901</v>
      </c>
      <c r="F265">
        <v>17606.980663407961</v>
      </c>
      <c r="G265">
        <v>56926.813223897567</v>
      </c>
      <c r="H265">
        <v>56926.813223897567</v>
      </c>
      <c r="I265">
        <v>0</v>
      </c>
      <c r="J265">
        <v>439.27102232379713</v>
      </c>
      <c r="K265">
        <v>0</v>
      </c>
      <c r="L265">
        <v>56487.542201573771</v>
      </c>
      <c r="M265">
        <v>145</v>
      </c>
      <c r="N265">
        <v>13</v>
      </c>
      <c r="O265">
        <v>8.9655172413793102E-2</v>
      </c>
    </row>
    <row r="266" spans="1:15" x14ac:dyDescent="0.25">
      <c r="A266" t="s">
        <v>426</v>
      </c>
      <c r="B266" t="s">
        <v>861</v>
      </c>
      <c r="C266">
        <v>38707.238358595554</v>
      </c>
      <c r="D266">
        <v>10180.581526996089</v>
      </c>
      <c r="E266">
        <v>24304.974518121639</v>
      </c>
      <c r="F266">
        <v>33407.888366271996</v>
      </c>
      <c r="G266">
        <v>106600.68276998529</v>
      </c>
      <c r="H266">
        <v>106600.68276998529</v>
      </c>
      <c r="I266">
        <v>0</v>
      </c>
      <c r="J266">
        <v>822.5753076430542</v>
      </c>
      <c r="K266">
        <v>0</v>
      </c>
      <c r="L266">
        <v>105778.10746234223</v>
      </c>
      <c r="M266">
        <v>189</v>
      </c>
      <c r="N266">
        <v>45</v>
      </c>
      <c r="O266">
        <v>0.238095238095238</v>
      </c>
    </row>
    <row r="267" spans="1:15" x14ac:dyDescent="0.25">
      <c r="A267" t="s">
        <v>428</v>
      </c>
      <c r="B267" t="s">
        <v>863</v>
      </c>
      <c r="C267">
        <v>0</v>
      </c>
      <c r="D267">
        <v>2283.3329450595575</v>
      </c>
      <c r="E267">
        <v>0</v>
      </c>
      <c r="F267">
        <v>0</v>
      </c>
      <c r="G267">
        <v>2283.3329450595575</v>
      </c>
      <c r="H267">
        <v>2283.3329450595575</v>
      </c>
      <c r="I267">
        <v>0</v>
      </c>
      <c r="J267">
        <v>17.61914887343217</v>
      </c>
      <c r="K267">
        <v>0</v>
      </c>
      <c r="L267">
        <v>2265.7137961861254</v>
      </c>
      <c r="M267">
        <v>54</v>
      </c>
      <c r="N267">
        <v>9</v>
      </c>
      <c r="O267">
        <v>0.16666666666666699</v>
      </c>
    </row>
    <row r="268" spans="1:15" x14ac:dyDescent="0.25">
      <c r="A268" t="s">
        <v>438</v>
      </c>
      <c r="B268" t="s">
        <v>879</v>
      </c>
      <c r="C268">
        <v>128163.96700957193</v>
      </c>
      <c r="D268">
        <v>33709.036611609277</v>
      </c>
      <c r="E268">
        <v>65710.615719978538</v>
      </c>
      <c r="F268">
        <v>90610.580017159838</v>
      </c>
      <c r="G268">
        <v>318194.19935831963</v>
      </c>
      <c r="H268">
        <v>318194.19935831963</v>
      </c>
      <c r="I268">
        <v>0</v>
      </c>
      <c r="J268">
        <v>2455.3190901428334</v>
      </c>
      <c r="K268">
        <v>0</v>
      </c>
      <c r="L268">
        <v>315738.88026817678</v>
      </c>
      <c r="M268">
        <v>936</v>
      </c>
      <c r="N268">
        <v>149</v>
      </c>
      <c r="O268">
        <v>0.15918803418803401</v>
      </c>
    </row>
    <row r="269" spans="1:15" x14ac:dyDescent="0.25">
      <c r="A269" t="s">
        <v>441</v>
      </c>
      <c r="B269" t="s">
        <v>885</v>
      </c>
      <c r="C269">
        <v>12042.251933785283</v>
      </c>
      <c r="D269">
        <v>3167.292030621009</v>
      </c>
      <c r="E269">
        <v>6509.9850655167284</v>
      </c>
      <c r="F269">
        <v>8976.8375509252</v>
      </c>
      <c r="G269">
        <v>30696.366580848218</v>
      </c>
      <c r="H269">
        <v>30696.366580848218</v>
      </c>
      <c r="I269">
        <v>0</v>
      </c>
      <c r="J269">
        <v>236.86596115193601</v>
      </c>
      <c r="K269">
        <v>0</v>
      </c>
      <c r="L269">
        <v>30459.500619696282</v>
      </c>
      <c r="M269">
        <v>80</v>
      </c>
      <c r="N269">
        <v>14</v>
      </c>
      <c r="O269">
        <v>0.17499999999999999</v>
      </c>
    </row>
    <row r="270" spans="1:15" x14ac:dyDescent="0.25">
      <c r="A270" t="s">
        <v>76</v>
      </c>
      <c r="B270" t="s">
        <v>912</v>
      </c>
      <c r="C270">
        <v>0</v>
      </c>
      <c r="D270">
        <v>1981.3160352691741</v>
      </c>
      <c r="E270">
        <v>0</v>
      </c>
      <c r="F270">
        <v>0</v>
      </c>
      <c r="G270">
        <v>1981.3160352691741</v>
      </c>
      <c r="H270">
        <v>1981.3160352691741</v>
      </c>
      <c r="I270">
        <v>0</v>
      </c>
      <c r="J270">
        <v>15.288660493538059</v>
      </c>
      <c r="K270">
        <v>0</v>
      </c>
      <c r="L270">
        <v>1966.027374775636</v>
      </c>
      <c r="M270">
        <v>36</v>
      </c>
      <c r="N270">
        <v>9</v>
      </c>
      <c r="O270">
        <v>0.244185368502641</v>
      </c>
    </row>
    <row r="271" spans="1:15" x14ac:dyDescent="0.25">
      <c r="A271" t="s">
        <v>455</v>
      </c>
      <c r="B271" t="s">
        <v>914</v>
      </c>
      <c r="C271">
        <v>71623.720276266133</v>
      </c>
      <c r="D271">
        <v>18190.999866069473</v>
      </c>
      <c r="E271">
        <v>43381.81107452741</v>
      </c>
      <c r="F271">
        <v>57163.873176635258</v>
      </c>
      <c r="G271">
        <v>190360.40439349826</v>
      </c>
      <c r="H271">
        <v>190360.40439349826</v>
      </c>
      <c r="I271">
        <v>0</v>
      </c>
      <c r="J271">
        <v>1468.900237204922</v>
      </c>
      <c r="K271">
        <v>0</v>
      </c>
      <c r="L271">
        <v>188891.50415629335</v>
      </c>
      <c r="M271">
        <v>410</v>
      </c>
      <c r="N271">
        <v>72</v>
      </c>
      <c r="O271">
        <v>0.17560975609756099</v>
      </c>
    </row>
    <row r="272" spans="1:15" x14ac:dyDescent="0.25">
      <c r="A272" t="s">
        <v>461</v>
      </c>
      <c r="B272" t="s">
        <v>924</v>
      </c>
      <c r="C272">
        <v>41368.872918188186</v>
      </c>
      <c r="D272">
        <v>10506.870612298748</v>
      </c>
      <c r="E272">
        <v>22525.324704684172</v>
      </c>
      <c r="F272">
        <v>29681.44419948291</v>
      </c>
      <c r="G272">
        <v>104082.51243465403</v>
      </c>
      <c r="H272">
        <v>104082.51243465403</v>
      </c>
      <c r="I272">
        <v>0</v>
      </c>
      <c r="J272">
        <v>803.14405556794134</v>
      </c>
      <c r="K272">
        <v>0</v>
      </c>
      <c r="L272">
        <v>103279.36837908608</v>
      </c>
      <c r="M272">
        <v>206</v>
      </c>
      <c r="N272">
        <v>33</v>
      </c>
      <c r="O272">
        <v>0.16019417475728201</v>
      </c>
    </row>
    <row r="273" spans="1:15" x14ac:dyDescent="0.25">
      <c r="A273" t="s">
        <v>467</v>
      </c>
      <c r="B273" t="s">
        <v>940</v>
      </c>
      <c r="C273">
        <v>71150.931113684783</v>
      </c>
      <c r="D273">
        <v>18499.812526317153</v>
      </c>
      <c r="E273">
        <v>34128.880920257703</v>
      </c>
      <c r="F273">
        <v>46491.291797766848</v>
      </c>
      <c r="G273">
        <v>170270.91635802647</v>
      </c>
      <c r="H273">
        <v>170270.91635802647</v>
      </c>
      <c r="I273">
        <v>0</v>
      </c>
      <c r="J273">
        <v>1313.8813726745111</v>
      </c>
      <c r="K273">
        <v>0</v>
      </c>
      <c r="L273">
        <v>168957.03498535196</v>
      </c>
      <c r="M273">
        <v>859</v>
      </c>
      <c r="N273">
        <v>70</v>
      </c>
      <c r="O273">
        <v>8.1490104772991803E-2</v>
      </c>
    </row>
    <row r="274" spans="1:15" x14ac:dyDescent="0.25">
      <c r="A274" t="s">
        <v>473</v>
      </c>
      <c r="B274" t="s">
        <v>948</v>
      </c>
      <c r="C274">
        <v>45324.203854843152</v>
      </c>
      <c r="D274">
        <v>11870.659825955108</v>
      </c>
      <c r="E274">
        <v>25605.606656467629</v>
      </c>
      <c r="F274">
        <v>35308.432974070725</v>
      </c>
      <c r="G274">
        <v>118108.90331133662</v>
      </c>
      <c r="H274">
        <v>118108.90331133662</v>
      </c>
      <c r="I274">
        <v>0</v>
      </c>
      <c r="J274">
        <v>911.37753485441272</v>
      </c>
      <c r="K274">
        <v>0</v>
      </c>
      <c r="L274">
        <v>117197.5257764822</v>
      </c>
      <c r="M274">
        <v>333</v>
      </c>
      <c r="N274">
        <v>44</v>
      </c>
      <c r="O274">
        <v>0.13213213213213201</v>
      </c>
    </row>
    <row r="275" spans="1:15" x14ac:dyDescent="0.25">
      <c r="A275" t="s">
        <v>481</v>
      </c>
      <c r="B275" t="s">
        <v>956</v>
      </c>
      <c r="C275">
        <v>291173.67324929539</v>
      </c>
      <c r="D275">
        <v>76259.99645765101</v>
      </c>
      <c r="E275">
        <v>150916.49630401793</v>
      </c>
      <c r="F275">
        <v>208103.83701985318</v>
      </c>
      <c r="G275">
        <v>726454.00303081749</v>
      </c>
      <c r="H275">
        <v>726454.00303081749</v>
      </c>
      <c r="I275">
        <v>0</v>
      </c>
      <c r="J275">
        <v>5605.6219294671728</v>
      </c>
      <c r="K275">
        <v>0</v>
      </c>
      <c r="L275">
        <v>720848.3811013503</v>
      </c>
      <c r="M275">
        <v>2435</v>
      </c>
      <c r="N275">
        <v>284</v>
      </c>
      <c r="O275">
        <v>0.116632443531828</v>
      </c>
    </row>
    <row r="276" spans="1:15" x14ac:dyDescent="0.25">
      <c r="A276" t="s">
        <v>487</v>
      </c>
      <c r="B276" t="s">
        <v>966</v>
      </c>
      <c r="C276">
        <v>65538.829396048022</v>
      </c>
      <c r="D276">
        <v>16645.558652458367</v>
      </c>
      <c r="E276">
        <v>29372.545979747349</v>
      </c>
      <c r="F276">
        <v>39780.615224872839</v>
      </c>
      <c r="G276">
        <v>151337.54925312658</v>
      </c>
      <c r="H276">
        <v>151337.54925312658</v>
      </c>
      <c r="I276">
        <v>0</v>
      </c>
      <c r="J276">
        <v>1167.7836192048028</v>
      </c>
      <c r="K276">
        <v>0</v>
      </c>
      <c r="L276">
        <v>150169.76563392178</v>
      </c>
      <c r="M276">
        <v>774</v>
      </c>
      <c r="N276">
        <v>65</v>
      </c>
      <c r="O276">
        <v>8.3979328165374706E-2</v>
      </c>
    </row>
    <row r="277" spans="1:15" x14ac:dyDescent="0.25">
      <c r="A277" t="s">
        <v>489</v>
      </c>
      <c r="B277" t="s">
        <v>968</v>
      </c>
      <c r="C277">
        <v>33290.802631173603</v>
      </c>
      <c r="D277">
        <v>5643.2444291051424</v>
      </c>
      <c r="E277">
        <v>16023.157564492476</v>
      </c>
      <c r="F277">
        <v>22094.871349433746</v>
      </c>
      <c r="G277">
        <v>77052.07597420497</v>
      </c>
      <c r="H277">
        <v>77052.07597420497</v>
      </c>
      <c r="I277">
        <v>0</v>
      </c>
      <c r="J277">
        <v>594.56593946754128</v>
      </c>
      <c r="K277">
        <v>0</v>
      </c>
      <c r="L277">
        <v>76457.510034737425</v>
      </c>
      <c r="M277">
        <v>340</v>
      </c>
      <c r="N277">
        <v>36</v>
      </c>
      <c r="O277">
        <v>0.105882352941176</v>
      </c>
    </row>
    <row r="278" spans="1:15" x14ac:dyDescent="0.25">
      <c r="A278" t="s">
        <v>491</v>
      </c>
      <c r="B278" t="s">
        <v>970</v>
      </c>
      <c r="C278">
        <v>60008.823143023299</v>
      </c>
      <c r="D278">
        <v>15602.775124573644</v>
      </c>
      <c r="E278">
        <v>40518.926321964886</v>
      </c>
      <c r="F278">
        <v>55694.432688095541</v>
      </c>
      <c r="G278">
        <v>171824.95727765738</v>
      </c>
      <c r="H278">
        <v>171824.95727765738</v>
      </c>
      <c r="I278">
        <v>0</v>
      </c>
      <c r="J278">
        <v>1325.8730002545476</v>
      </c>
      <c r="K278">
        <v>0</v>
      </c>
      <c r="L278">
        <v>170499.08427740284</v>
      </c>
      <c r="M278">
        <v>253</v>
      </c>
      <c r="N278">
        <v>68</v>
      </c>
      <c r="O278">
        <v>0.26877470355731198</v>
      </c>
    </row>
    <row r="279" spans="1:15" x14ac:dyDescent="0.25">
      <c r="A279" t="s">
        <v>495</v>
      </c>
      <c r="B279" t="s">
        <v>974</v>
      </c>
      <c r="C279">
        <v>183425.79488940752</v>
      </c>
      <c r="D279">
        <v>47692.177246744221</v>
      </c>
      <c r="E279">
        <v>85401.938378745821</v>
      </c>
      <c r="F279">
        <v>115663.84652000164</v>
      </c>
      <c r="G279">
        <v>432183.7570348992</v>
      </c>
      <c r="H279">
        <v>432183.7570348992</v>
      </c>
      <c r="I279">
        <v>0</v>
      </c>
      <c r="J279">
        <v>3334.9100368183531</v>
      </c>
      <c r="K279">
        <v>0</v>
      </c>
      <c r="L279">
        <v>428848.84699808084</v>
      </c>
      <c r="M279">
        <v>1563</v>
      </c>
      <c r="N279">
        <v>104</v>
      </c>
      <c r="O279">
        <v>6.6538707613563702E-2</v>
      </c>
    </row>
    <row r="280" spans="1:15" x14ac:dyDescent="0.25">
      <c r="A280" t="s">
        <v>501</v>
      </c>
      <c r="B280" t="s">
        <v>984</v>
      </c>
      <c r="C280">
        <v>295035.17237773945</v>
      </c>
      <c r="D280">
        <v>72303.109848999302</v>
      </c>
      <c r="E280">
        <v>141120.39617339859</v>
      </c>
      <c r="F280">
        <v>193974.05407892325</v>
      </c>
      <c r="G280">
        <v>702432.73247906053</v>
      </c>
      <c r="H280">
        <v>702432.73247906053</v>
      </c>
      <c r="I280">
        <v>0</v>
      </c>
      <c r="J280">
        <v>5420.2637919707777</v>
      </c>
      <c r="K280">
        <v>0</v>
      </c>
      <c r="L280">
        <v>697012.46868708974</v>
      </c>
      <c r="M280">
        <v>2444</v>
      </c>
      <c r="N280">
        <v>343</v>
      </c>
      <c r="O280">
        <v>0.14034369885433701</v>
      </c>
    </row>
    <row r="281" spans="1:15" x14ac:dyDescent="0.25">
      <c r="A281" t="s">
        <v>503</v>
      </c>
      <c r="B281" t="s">
        <v>986</v>
      </c>
      <c r="C281">
        <v>0</v>
      </c>
      <c r="D281">
        <v>1179.5509439523037</v>
      </c>
      <c r="E281">
        <v>0</v>
      </c>
      <c r="F281">
        <v>0</v>
      </c>
      <c r="G281">
        <v>1179.5509439523037</v>
      </c>
      <c r="H281">
        <v>1179.5509439523037</v>
      </c>
      <c r="I281">
        <v>0</v>
      </c>
      <c r="J281">
        <v>9.1019068113831274</v>
      </c>
      <c r="K281">
        <v>0</v>
      </c>
      <c r="L281">
        <v>1170.4490371409206</v>
      </c>
      <c r="M281">
        <v>52</v>
      </c>
      <c r="N281">
        <v>7</v>
      </c>
      <c r="O281">
        <v>0.134615384615385</v>
      </c>
    </row>
    <row r="282" spans="1:15" x14ac:dyDescent="0.25">
      <c r="A282" t="s">
        <v>513</v>
      </c>
      <c r="B282" t="s">
        <v>1006</v>
      </c>
      <c r="C282">
        <v>189540.06334198822</v>
      </c>
      <c r="D282">
        <v>49281.936064202098</v>
      </c>
      <c r="E282">
        <v>119657.10538548001</v>
      </c>
      <c r="F282">
        <v>162057.22416926097</v>
      </c>
      <c r="G282">
        <v>520536.32896093128</v>
      </c>
      <c r="H282">
        <v>520536.32896093128</v>
      </c>
      <c r="I282">
        <v>0</v>
      </c>
      <c r="J282">
        <v>4016.6753139688467</v>
      </c>
      <c r="K282">
        <v>0</v>
      </c>
      <c r="L282">
        <v>516519.65364696243</v>
      </c>
      <c r="M282">
        <v>984</v>
      </c>
      <c r="N282">
        <v>174</v>
      </c>
      <c r="O282">
        <v>0.176829268292683</v>
      </c>
    </row>
    <row r="283" spans="1:15" x14ac:dyDescent="0.25">
      <c r="A283" t="s">
        <v>515</v>
      </c>
      <c r="B283" t="s">
        <v>1010</v>
      </c>
      <c r="C283">
        <v>362248.38360727491</v>
      </c>
      <c r="D283">
        <v>94187.483983706727</v>
      </c>
      <c r="E283">
        <v>234856.15125787447</v>
      </c>
      <c r="F283">
        <v>318076.68946457456</v>
      </c>
      <c r="G283">
        <v>1009368.7083134307</v>
      </c>
      <c r="H283">
        <v>1009368.7083134307</v>
      </c>
      <c r="I283">
        <v>0</v>
      </c>
      <c r="J283">
        <v>7788.7097361065717</v>
      </c>
      <c r="K283">
        <v>0</v>
      </c>
      <c r="L283">
        <v>1001579.9985773241</v>
      </c>
      <c r="M283">
        <v>1930</v>
      </c>
      <c r="N283">
        <v>383</v>
      </c>
      <c r="O283">
        <v>0.198445595854922</v>
      </c>
    </row>
    <row r="284" spans="1:15" x14ac:dyDescent="0.25">
      <c r="A284" t="s">
        <v>525</v>
      </c>
      <c r="B284" t="s">
        <v>1022</v>
      </c>
      <c r="C284">
        <v>51145.731377996824</v>
      </c>
      <c r="D284">
        <v>13298.300207800568</v>
      </c>
      <c r="E284">
        <v>25741.675201066904</v>
      </c>
      <c r="F284">
        <v>34863.15681055926</v>
      </c>
      <c r="G284">
        <v>125048.86359742355</v>
      </c>
      <c r="H284">
        <v>125048.86359742355</v>
      </c>
      <c r="I284">
        <v>0</v>
      </c>
      <c r="J284">
        <v>964.92916153279145</v>
      </c>
      <c r="K284">
        <v>0</v>
      </c>
      <c r="L284">
        <v>124083.93443589075</v>
      </c>
      <c r="M284">
        <v>261</v>
      </c>
      <c r="N284">
        <v>34</v>
      </c>
      <c r="O284">
        <v>0.13026819923371599</v>
      </c>
    </row>
    <row r="285" spans="1:15" x14ac:dyDescent="0.25">
      <c r="A285" t="s">
        <v>527</v>
      </c>
      <c r="B285" t="s">
        <v>1024</v>
      </c>
      <c r="C285">
        <v>221699.26327839165</v>
      </c>
      <c r="D285">
        <v>57643.585876897057</v>
      </c>
      <c r="E285">
        <v>195219.57189374111</v>
      </c>
      <c r="F285">
        <v>264395.0129220672</v>
      </c>
      <c r="G285">
        <v>738957.43397109699</v>
      </c>
      <c r="H285">
        <v>738957.43397109699</v>
      </c>
      <c r="I285">
        <v>0</v>
      </c>
      <c r="J285">
        <v>5702.103614997146</v>
      </c>
      <c r="K285">
        <v>0</v>
      </c>
      <c r="L285">
        <v>733255.33035609988</v>
      </c>
      <c r="M285">
        <v>710</v>
      </c>
      <c r="N285">
        <v>182</v>
      </c>
      <c r="O285">
        <v>0.25633802816901402</v>
      </c>
    </row>
    <row r="286" spans="1:15" x14ac:dyDescent="0.25">
      <c r="A286" t="s">
        <v>529</v>
      </c>
      <c r="B286" t="s">
        <v>1028</v>
      </c>
      <c r="C286">
        <v>652959.38601576176</v>
      </c>
      <c r="D286">
        <v>171013.67685092546</v>
      </c>
      <c r="E286">
        <v>362946.4858778714</v>
      </c>
      <c r="F286">
        <v>500479.12715852086</v>
      </c>
      <c r="G286">
        <v>1687398.6759030796</v>
      </c>
      <c r="H286">
        <v>1687398.6759030796</v>
      </c>
      <c r="I286">
        <v>0</v>
      </c>
      <c r="J286">
        <v>13020.671621235335</v>
      </c>
      <c r="K286">
        <v>0</v>
      </c>
      <c r="L286">
        <v>1674378.0042818442</v>
      </c>
      <c r="M286">
        <v>4618</v>
      </c>
      <c r="N286">
        <v>745</v>
      </c>
      <c r="O286">
        <v>0.16132524902555201</v>
      </c>
    </row>
    <row r="287" spans="1:15" x14ac:dyDescent="0.25">
      <c r="A287" t="s">
        <v>531</v>
      </c>
      <c r="B287" t="s">
        <v>1030</v>
      </c>
      <c r="C287">
        <v>9513.5939129183298</v>
      </c>
      <c r="D287">
        <v>2473.6106904811863</v>
      </c>
      <c r="E287">
        <v>5079.7004827414748</v>
      </c>
      <c r="F287">
        <v>6879.6763651632755</v>
      </c>
      <c r="G287">
        <v>23946.581451304268</v>
      </c>
      <c r="H287">
        <v>23946.581451304268</v>
      </c>
      <c r="I287">
        <v>0</v>
      </c>
      <c r="J287">
        <v>184.781805261122</v>
      </c>
      <c r="K287">
        <v>0</v>
      </c>
      <c r="L287">
        <v>23761.799646043146</v>
      </c>
      <c r="M287">
        <v>46</v>
      </c>
      <c r="N287">
        <v>10</v>
      </c>
      <c r="O287">
        <v>0.217391304347826</v>
      </c>
    </row>
    <row r="288" spans="1:15" x14ac:dyDescent="0.25">
      <c r="A288" t="s">
        <v>651</v>
      </c>
      <c r="B288" t="s">
        <v>652</v>
      </c>
      <c r="C288">
        <v>866900.40070897446</v>
      </c>
      <c r="D288">
        <v>214313.73646299259</v>
      </c>
      <c r="E288">
        <v>412754.15017507272</v>
      </c>
      <c r="F288">
        <v>548377.30802943988</v>
      </c>
      <c r="G288">
        <v>2042345.5953764794</v>
      </c>
      <c r="H288">
        <v>2042345.5953764794</v>
      </c>
      <c r="I288">
        <v>0</v>
      </c>
      <c r="J288">
        <v>15759.590021155698</v>
      </c>
      <c r="K288">
        <v>0</v>
      </c>
      <c r="L288">
        <v>2026586.0053553237</v>
      </c>
      <c r="M288">
        <v>783</v>
      </c>
      <c r="N288">
        <v>783</v>
      </c>
      <c r="O288">
        <v>1</v>
      </c>
    </row>
    <row r="289" spans="1:15" x14ac:dyDescent="0.25">
      <c r="A289" t="s">
        <v>535</v>
      </c>
      <c r="B289" t="s">
        <v>1034</v>
      </c>
      <c r="C289">
        <v>2082449.4236924411</v>
      </c>
      <c r="D289">
        <v>431199.23366368335</v>
      </c>
      <c r="E289">
        <v>1384666.7443777646</v>
      </c>
      <c r="F289">
        <v>1903264.370270018</v>
      </c>
      <c r="G289">
        <v>5801579.7720039077</v>
      </c>
      <c r="H289">
        <v>5801579.7720039077</v>
      </c>
      <c r="I289">
        <v>0</v>
      </c>
      <c r="J289">
        <v>44767.408066878867</v>
      </c>
      <c r="K289">
        <v>0</v>
      </c>
      <c r="L289">
        <v>5756812.3639370287</v>
      </c>
      <c r="M289">
        <v>20405</v>
      </c>
      <c r="N289">
        <v>2421</v>
      </c>
      <c r="O289">
        <v>0.11864739034550401</v>
      </c>
    </row>
    <row r="290" spans="1:15" x14ac:dyDescent="0.25">
      <c r="A290" t="s">
        <v>537</v>
      </c>
      <c r="B290" t="s">
        <v>1036</v>
      </c>
      <c r="C290">
        <v>44387.736841564809</v>
      </c>
      <c r="D290">
        <v>11541.167447610704</v>
      </c>
      <c r="E290">
        <v>27961.209980039668</v>
      </c>
      <c r="F290">
        <v>37869.176754537511</v>
      </c>
      <c r="G290">
        <v>121759.29102375268</v>
      </c>
      <c r="H290">
        <v>121759.29102375268</v>
      </c>
      <c r="I290">
        <v>0</v>
      </c>
      <c r="J290">
        <v>939.54544820667627</v>
      </c>
      <c r="K290">
        <v>0</v>
      </c>
      <c r="L290">
        <v>120819.74557554601</v>
      </c>
      <c r="M290">
        <v>294</v>
      </c>
      <c r="N290">
        <v>38</v>
      </c>
      <c r="O290">
        <v>0.129251700680272</v>
      </c>
    </row>
    <row r="291" spans="1:15" x14ac:dyDescent="0.25">
      <c r="A291" t="s">
        <v>539</v>
      </c>
      <c r="B291" t="s">
        <v>1045</v>
      </c>
      <c r="C291">
        <v>170995.85999781726</v>
      </c>
      <c r="D291">
        <v>44784.762070648816</v>
      </c>
      <c r="E291">
        <v>86794.640474281914</v>
      </c>
      <c r="F291">
        <v>119684.0514973964</v>
      </c>
      <c r="G291">
        <v>422259.31404014444</v>
      </c>
      <c r="H291">
        <v>422259.31404014444</v>
      </c>
      <c r="I291">
        <v>0</v>
      </c>
      <c r="J291">
        <v>3258.328897397219</v>
      </c>
      <c r="K291">
        <v>0</v>
      </c>
      <c r="L291">
        <v>419000.98514274723</v>
      </c>
      <c r="M291">
        <v>1491</v>
      </c>
      <c r="N291">
        <v>194</v>
      </c>
      <c r="O291">
        <v>0.130114017437961</v>
      </c>
    </row>
    <row r="292" spans="1:15" x14ac:dyDescent="0.25">
      <c r="A292" t="s">
        <v>543</v>
      </c>
      <c r="B292" t="s">
        <v>1049</v>
      </c>
      <c r="C292">
        <v>511795.70718587452</v>
      </c>
      <c r="D292">
        <v>127771.50605062442</v>
      </c>
      <c r="E292">
        <v>244800.68723956897</v>
      </c>
      <c r="F292">
        <v>336485.60401445866</v>
      </c>
      <c r="G292">
        <v>1220853.5044905264</v>
      </c>
      <c r="H292">
        <v>1220853.5044905264</v>
      </c>
      <c r="I292">
        <v>0</v>
      </c>
      <c r="J292">
        <v>9420.6145865901781</v>
      </c>
      <c r="K292">
        <v>0</v>
      </c>
      <c r="L292">
        <v>1211432.8899039363</v>
      </c>
      <c r="M292">
        <v>4288</v>
      </c>
      <c r="N292">
        <v>595</v>
      </c>
      <c r="O292">
        <v>0.13875932835820901</v>
      </c>
    </row>
    <row r="293" spans="1:15" x14ac:dyDescent="0.25">
      <c r="A293" t="s">
        <v>545</v>
      </c>
      <c r="B293" t="s">
        <v>1051</v>
      </c>
      <c r="C293">
        <v>184730.46722655772</v>
      </c>
      <c r="D293">
        <v>48381.931714877639</v>
      </c>
      <c r="E293">
        <v>103432.00238795746</v>
      </c>
      <c r="F293">
        <v>142625.86989973413</v>
      </c>
      <c r="G293">
        <v>479170.27122912696</v>
      </c>
      <c r="H293">
        <v>479170.27122912696</v>
      </c>
      <c r="I293">
        <v>0</v>
      </c>
      <c r="J293">
        <v>3697.4775679455925</v>
      </c>
      <c r="K293">
        <v>0</v>
      </c>
      <c r="L293">
        <v>475472.79366118135</v>
      </c>
      <c r="M293">
        <v>1344</v>
      </c>
      <c r="N293">
        <v>183</v>
      </c>
      <c r="O293">
        <v>0.136160714285714</v>
      </c>
    </row>
    <row r="294" spans="1:15" x14ac:dyDescent="0.25">
      <c r="A294" t="s">
        <v>77</v>
      </c>
      <c r="B294" t="s">
        <v>1054</v>
      </c>
      <c r="C294">
        <v>60665.923820133205</v>
      </c>
      <c r="D294">
        <v>15773.626568780686</v>
      </c>
      <c r="E294">
        <v>48376.873334528776</v>
      </c>
      <c r="F294">
        <v>65519.066179357942</v>
      </c>
      <c r="G294">
        <v>190335.48990280062</v>
      </c>
      <c r="H294">
        <v>190335.48990280062</v>
      </c>
      <c r="I294">
        <v>0</v>
      </c>
      <c r="J294">
        <v>1468.7079866084171</v>
      </c>
      <c r="K294">
        <v>0</v>
      </c>
      <c r="L294">
        <v>188866.78191619221</v>
      </c>
      <c r="M294">
        <v>518</v>
      </c>
      <c r="N294">
        <v>64</v>
      </c>
      <c r="O294">
        <v>0.123476289533013</v>
      </c>
    </row>
    <row r="295" spans="1:15" x14ac:dyDescent="0.25">
      <c r="A295" t="s">
        <v>549</v>
      </c>
      <c r="B295" t="s">
        <v>1056</v>
      </c>
      <c r="C295">
        <v>308968.76715279772</v>
      </c>
      <c r="D295">
        <v>78471.919361589447</v>
      </c>
      <c r="E295">
        <v>138240.38808822722</v>
      </c>
      <c r="F295">
        <v>190015.39991404724</v>
      </c>
      <c r="G295">
        <v>715696.4745166616</v>
      </c>
      <c r="H295">
        <v>715696.4745166616</v>
      </c>
      <c r="I295">
        <v>0</v>
      </c>
      <c r="J295">
        <v>5522.6123548840142</v>
      </c>
      <c r="K295">
        <v>0</v>
      </c>
      <c r="L295">
        <v>710173.86216177756</v>
      </c>
      <c r="M295">
        <v>2901</v>
      </c>
      <c r="N295">
        <v>336</v>
      </c>
      <c r="O295">
        <v>0.11582213029989701</v>
      </c>
    </row>
    <row r="296" spans="1:15" x14ac:dyDescent="0.25">
      <c r="A296" t="s">
        <v>555</v>
      </c>
      <c r="B296" t="s">
        <v>1065</v>
      </c>
      <c r="C296">
        <v>246621.62681949825</v>
      </c>
      <c r="D296">
        <v>64123.600207089214</v>
      </c>
      <c r="E296">
        <v>159884.36766561729</v>
      </c>
      <c r="F296">
        <v>216538.89026043261</v>
      </c>
      <c r="G296">
        <v>687168.48495263734</v>
      </c>
      <c r="H296">
        <v>687168.48495263734</v>
      </c>
      <c r="I296">
        <v>0</v>
      </c>
      <c r="J296">
        <v>5302.4784947407434</v>
      </c>
      <c r="K296">
        <v>0</v>
      </c>
      <c r="L296">
        <v>681866.00645789655</v>
      </c>
      <c r="M296">
        <v>1172</v>
      </c>
      <c r="N296">
        <v>264</v>
      </c>
      <c r="O296">
        <v>0.225255972696246</v>
      </c>
    </row>
    <row r="297" spans="1:15" x14ac:dyDescent="0.25">
      <c r="A297" t="s">
        <v>557</v>
      </c>
      <c r="B297" t="s">
        <v>1069</v>
      </c>
      <c r="C297">
        <v>402555.27892939385</v>
      </c>
      <c r="D297">
        <v>96516.264455430864</v>
      </c>
      <c r="E297">
        <v>192549.1119800309</v>
      </c>
      <c r="F297">
        <v>264664.30702313746</v>
      </c>
      <c r="G297">
        <v>956284.96238799312</v>
      </c>
      <c r="H297">
        <v>956284.96238799312</v>
      </c>
      <c r="I297">
        <v>0</v>
      </c>
      <c r="J297">
        <v>7379.0934231446709</v>
      </c>
      <c r="K297">
        <v>0</v>
      </c>
      <c r="L297">
        <v>948905.86896484846</v>
      </c>
      <c r="M297">
        <v>3136</v>
      </c>
      <c r="N297">
        <v>468</v>
      </c>
      <c r="O297">
        <v>0.14923469387755101</v>
      </c>
    </row>
    <row r="298" spans="1:15" x14ac:dyDescent="0.25">
      <c r="A298" t="s">
        <v>197</v>
      </c>
      <c r="B298" t="s">
        <v>1071</v>
      </c>
      <c r="C298">
        <v>110563.58819135977</v>
      </c>
      <c r="D298">
        <v>28957.215636042005</v>
      </c>
      <c r="E298">
        <v>53744.340997568514</v>
      </c>
      <c r="F298">
        <v>74109.880984559015</v>
      </c>
      <c r="G298">
        <v>267375.0258095293</v>
      </c>
      <c r="H298">
        <v>267375.0258095293</v>
      </c>
      <c r="I298">
        <v>0</v>
      </c>
      <c r="J298">
        <v>2063.1771616876435</v>
      </c>
      <c r="K298">
        <v>0</v>
      </c>
      <c r="L298">
        <v>265311.84864784166</v>
      </c>
      <c r="M298">
        <v>1025</v>
      </c>
      <c r="N298">
        <v>109</v>
      </c>
      <c r="O298">
        <v>0.106341463414634</v>
      </c>
    </row>
    <row r="299" spans="1:15" x14ac:dyDescent="0.25">
      <c r="A299" t="s">
        <v>566</v>
      </c>
      <c r="B299" t="s">
        <v>1093</v>
      </c>
      <c r="C299">
        <v>249969.85156307442</v>
      </c>
      <c r="D299">
        <v>58523.670500309971</v>
      </c>
      <c r="E299">
        <v>121508.94486406796</v>
      </c>
      <c r="F299">
        <v>167552.77439987258</v>
      </c>
      <c r="G299">
        <v>597555.24132732488</v>
      </c>
      <c r="H299">
        <v>597555.24132732488</v>
      </c>
      <c r="I299">
        <v>0</v>
      </c>
      <c r="J299">
        <v>4610.9853492133652</v>
      </c>
      <c r="K299">
        <v>0</v>
      </c>
      <c r="L299">
        <v>592944.25597811153</v>
      </c>
      <c r="M299">
        <v>2477</v>
      </c>
      <c r="N299">
        <v>257</v>
      </c>
      <c r="O299">
        <v>0.103754541784417</v>
      </c>
    </row>
    <row r="300" spans="1:15" x14ac:dyDescent="0.25">
      <c r="A300" t="s">
        <v>298</v>
      </c>
      <c r="B300" t="s">
        <v>1095</v>
      </c>
      <c r="C300">
        <v>0</v>
      </c>
      <c r="D300">
        <v>1798.5848221144099</v>
      </c>
      <c r="E300">
        <v>0</v>
      </c>
      <c r="F300">
        <v>0</v>
      </c>
      <c r="G300">
        <v>1798.5848221144099</v>
      </c>
      <c r="H300">
        <v>1798.5848221144099</v>
      </c>
      <c r="I300">
        <v>0</v>
      </c>
      <c r="J300">
        <v>13.878630276366783</v>
      </c>
      <c r="K300">
        <v>0</v>
      </c>
      <c r="L300">
        <v>1784.7061918380432</v>
      </c>
      <c r="M300">
        <v>42</v>
      </c>
      <c r="N300">
        <v>5</v>
      </c>
      <c r="O300">
        <v>0.119047619047619</v>
      </c>
    </row>
    <row r="301" spans="1:15" x14ac:dyDescent="0.25">
      <c r="A301" t="s">
        <v>570</v>
      </c>
      <c r="B301" t="s">
        <v>1099</v>
      </c>
      <c r="C301">
        <v>242587.61963302392</v>
      </c>
      <c r="D301">
        <v>61612.428665154868</v>
      </c>
      <c r="E301">
        <v>123006.16527041039</v>
      </c>
      <c r="F301">
        <v>162084.26198210713</v>
      </c>
      <c r="G301">
        <v>589290.47555069625</v>
      </c>
      <c r="H301">
        <v>589290.47555069625</v>
      </c>
      <c r="I301">
        <v>0</v>
      </c>
      <c r="J301">
        <v>4547.2109710888171</v>
      </c>
      <c r="K301">
        <v>0</v>
      </c>
      <c r="L301">
        <v>584743.26457960741</v>
      </c>
      <c r="M301">
        <v>1645</v>
      </c>
      <c r="N301">
        <v>261</v>
      </c>
      <c r="O301">
        <v>0.15866261398176301</v>
      </c>
    </row>
    <row r="302" spans="1:15" x14ac:dyDescent="0.25">
      <c r="A302" t="s">
        <v>578</v>
      </c>
      <c r="B302" t="s">
        <v>1114</v>
      </c>
      <c r="C302">
        <v>364708.20142321155</v>
      </c>
      <c r="D302">
        <v>89749.382623509067</v>
      </c>
      <c r="E302">
        <v>174446.20401609631</v>
      </c>
      <c r="F302">
        <v>239781.33798677399</v>
      </c>
      <c r="G302">
        <v>868685.126049591</v>
      </c>
      <c r="H302">
        <v>868685.126049591</v>
      </c>
      <c r="I302">
        <v>0</v>
      </c>
      <c r="J302">
        <v>6703.1365675866036</v>
      </c>
      <c r="K302">
        <v>0</v>
      </c>
      <c r="L302">
        <v>861981.98948200443</v>
      </c>
      <c r="M302">
        <v>3152</v>
      </c>
      <c r="N302">
        <v>424</v>
      </c>
      <c r="O302">
        <v>0.134517766497462</v>
      </c>
    </row>
    <row r="303" spans="1:15" x14ac:dyDescent="0.25">
      <c r="A303" t="s">
        <v>580</v>
      </c>
      <c r="B303" t="s">
        <v>1118</v>
      </c>
      <c r="C303">
        <v>634116.90279073548</v>
      </c>
      <c r="D303">
        <v>161053.07640045992</v>
      </c>
      <c r="E303">
        <v>357509.21125617286</v>
      </c>
      <c r="F303">
        <v>477210.91253994376</v>
      </c>
      <c r="G303">
        <v>1629890.102987312</v>
      </c>
      <c r="H303">
        <v>1629890.102987312</v>
      </c>
      <c r="I303">
        <v>0</v>
      </c>
      <c r="J303">
        <v>12576.911498606742</v>
      </c>
      <c r="K303">
        <v>0</v>
      </c>
      <c r="L303">
        <v>1617313.1914887053</v>
      </c>
      <c r="M303">
        <v>4123</v>
      </c>
      <c r="N303">
        <v>689</v>
      </c>
      <c r="O303">
        <v>0.16711132670385601</v>
      </c>
    </row>
    <row r="304" spans="1:15" x14ac:dyDescent="0.25">
      <c r="A304" t="s">
        <v>594</v>
      </c>
      <c r="B304" t="s">
        <v>1156</v>
      </c>
      <c r="C304">
        <v>0</v>
      </c>
      <c r="D304">
        <v>1797.067595648725</v>
      </c>
      <c r="E304">
        <v>0</v>
      </c>
      <c r="F304">
        <v>0</v>
      </c>
      <c r="G304">
        <v>1797.067595648725</v>
      </c>
      <c r="H304">
        <v>1797.067595648725</v>
      </c>
      <c r="I304">
        <v>0</v>
      </c>
      <c r="J304">
        <v>13.866922724460499</v>
      </c>
      <c r="K304">
        <v>0</v>
      </c>
      <c r="L304">
        <v>1783.2006729242646</v>
      </c>
      <c r="M304">
        <v>51</v>
      </c>
      <c r="N304">
        <v>2</v>
      </c>
      <c r="O304">
        <v>3.9215686274509803E-2</v>
      </c>
    </row>
    <row r="305" spans="1:26" x14ac:dyDescent="0.25">
      <c r="A305" t="s">
        <v>239</v>
      </c>
      <c r="B305" t="s">
        <v>1181</v>
      </c>
      <c r="C305">
        <v>21504.021310330867</v>
      </c>
      <c r="D305">
        <v>5575.6129485546735</v>
      </c>
      <c r="E305">
        <v>10348.289260401387</v>
      </c>
      <c r="F305">
        <v>14269.604413175957</v>
      </c>
      <c r="G305">
        <v>51697.527932462879</v>
      </c>
      <c r="H305">
        <v>51697.527932462879</v>
      </c>
      <c r="I305">
        <v>0</v>
      </c>
      <c r="J305">
        <v>398.91967704548796</v>
      </c>
      <c r="K305">
        <v>0</v>
      </c>
      <c r="L305">
        <v>51298.608255417392</v>
      </c>
      <c r="M305">
        <v>205</v>
      </c>
      <c r="N305">
        <v>25</v>
      </c>
      <c r="O305">
        <v>0.12195121951219499</v>
      </c>
    </row>
    <row r="306" spans="1:26" x14ac:dyDescent="0.25">
      <c r="A306" t="s">
        <v>604</v>
      </c>
      <c r="B306" t="s">
        <v>1185</v>
      </c>
      <c r="C306">
        <v>252476.14615052482</v>
      </c>
      <c r="D306">
        <v>65645.822170462285</v>
      </c>
      <c r="E306">
        <v>190657.2837303144</v>
      </c>
      <c r="F306">
        <v>258216.09230349341</v>
      </c>
      <c r="G306">
        <v>766995.34435479483</v>
      </c>
      <c r="H306">
        <v>766995.34435479483</v>
      </c>
      <c r="I306">
        <v>0</v>
      </c>
      <c r="J306">
        <v>5918.4558198822006</v>
      </c>
      <c r="K306">
        <v>0</v>
      </c>
      <c r="L306">
        <v>761076.88853491261</v>
      </c>
      <c r="M306">
        <v>1130</v>
      </c>
      <c r="N306">
        <v>286</v>
      </c>
      <c r="O306">
        <v>0.25309734513274301</v>
      </c>
    </row>
    <row r="307" spans="1:26" x14ac:dyDescent="0.25">
      <c r="A307" t="s">
        <v>606</v>
      </c>
      <c r="B307" t="s">
        <v>1187</v>
      </c>
      <c r="C307">
        <v>621036.13544235507</v>
      </c>
      <c r="D307">
        <v>163341.77472202625</v>
      </c>
      <c r="E307">
        <v>353019.25390338019</v>
      </c>
      <c r="F307">
        <v>485235.14463080326</v>
      </c>
      <c r="G307">
        <v>1622632.3086985648</v>
      </c>
      <c r="H307">
        <v>1622632.3086985648</v>
      </c>
      <c r="I307">
        <v>0</v>
      </c>
      <c r="J307">
        <v>12520.907332266099</v>
      </c>
      <c r="K307">
        <v>0</v>
      </c>
      <c r="L307">
        <v>1610111.4013662986</v>
      </c>
      <c r="M307">
        <v>3470</v>
      </c>
      <c r="N307">
        <v>722</v>
      </c>
      <c r="O307">
        <v>0.20806916426513</v>
      </c>
    </row>
    <row r="308" spans="1:26" x14ac:dyDescent="0.25">
      <c r="A308" t="s">
        <v>60</v>
      </c>
      <c r="B308" t="s">
        <v>1194</v>
      </c>
      <c r="C308">
        <v>395033.96420607419</v>
      </c>
      <c r="D308">
        <v>103461.58145010087</v>
      </c>
      <c r="E308">
        <v>243652.3391830477</v>
      </c>
      <c r="F308">
        <v>335980.41251044482</v>
      </c>
      <c r="G308">
        <v>1078128.2973496676</v>
      </c>
      <c r="H308">
        <v>1078128.2973496676</v>
      </c>
      <c r="I308">
        <v>0</v>
      </c>
      <c r="J308">
        <v>8319.2873894123513</v>
      </c>
      <c r="K308">
        <v>0</v>
      </c>
      <c r="L308">
        <v>1069809.0099602554</v>
      </c>
      <c r="M308">
        <v>2242</v>
      </c>
      <c r="N308">
        <v>442</v>
      </c>
      <c r="O308">
        <v>0.19696042103859199</v>
      </c>
    </row>
    <row r="309" spans="1:26" x14ac:dyDescent="0.25">
      <c r="A309" t="s">
        <v>618</v>
      </c>
      <c r="B309" t="s">
        <v>1211</v>
      </c>
      <c r="C309">
        <v>26095.753734606653</v>
      </c>
      <c r="D309">
        <v>5451.9480077795415</v>
      </c>
      <c r="E309">
        <v>12684.999738556538</v>
      </c>
      <c r="F309">
        <v>17491.773151635054</v>
      </c>
      <c r="G309">
        <v>61724.474632577789</v>
      </c>
      <c r="H309">
        <v>61724.474632577789</v>
      </c>
      <c r="I309">
        <v>0</v>
      </c>
      <c r="J309">
        <v>476.29177778863465</v>
      </c>
      <c r="K309">
        <v>0</v>
      </c>
      <c r="L309">
        <v>61248.182854789156</v>
      </c>
      <c r="M309">
        <v>274</v>
      </c>
      <c r="N309">
        <v>28</v>
      </c>
      <c r="O309">
        <v>0.102189781021898</v>
      </c>
    </row>
    <row r="310" spans="1:26" x14ac:dyDescent="0.25">
      <c r="A310" t="s">
        <v>625</v>
      </c>
      <c r="B310" t="s">
        <v>1221</v>
      </c>
      <c r="C310">
        <v>0</v>
      </c>
      <c r="D310">
        <v>1818.4223737979735</v>
      </c>
      <c r="E310">
        <v>0</v>
      </c>
      <c r="F310">
        <v>0</v>
      </c>
      <c r="G310">
        <v>1818.4223737979735</v>
      </c>
      <c r="H310">
        <v>1818.4223737979735</v>
      </c>
      <c r="I310">
        <v>0</v>
      </c>
      <c r="J310">
        <v>14.031705094979358</v>
      </c>
      <c r="K310">
        <v>0</v>
      </c>
      <c r="L310">
        <v>1804.3906687029942</v>
      </c>
      <c r="M310">
        <v>67</v>
      </c>
      <c r="N310">
        <v>7</v>
      </c>
      <c r="O310">
        <v>0.104477611940298</v>
      </c>
    </row>
    <row r="311" spans="1:26" x14ac:dyDescent="0.25">
      <c r="A311" t="s">
        <v>627</v>
      </c>
      <c r="B311" t="s">
        <v>1223</v>
      </c>
      <c r="C311">
        <v>36126.755801355845</v>
      </c>
      <c r="D311">
        <v>9352.6410749949355</v>
      </c>
      <c r="E311">
        <v>17358.420694866847</v>
      </c>
      <c r="F311">
        <v>23936.110628553233</v>
      </c>
      <c r="G311">
        <v>86773.92819977086</v>
      </c>
      <c r="H311">
        <v>86773.92819977086</v>
      </c>
      <c r="I311">
        <v>0</v>
      </c>
      <c r="J311">
        <v>669.58380405814978</v>
      </c>
      <c r="K311">
        <v>0</v>
      </c>
      <c r="L311">
        <v>86104.344395712717</v>
      </c>
      <c r="M311">
        <v>328</v>
      </c>
      <c r="N311">
        <v>42</v>
      </c>
      <c r="O311">
        <v>0.12804878048780499</v>
      </c>
    </row>
    <row r="312" spans="1:26" x14ac:dyDescent="0.25">
      <c r="A312" t="s">
        <v>629</v>
      </c>
      <c r="B312" t="s">
        <v>1225</v>
      </c>
      <c r="C312">
        <v>58897.227469127742</v>
      </c>
      <c r="D312">
        <v>15425.509827310645</v>
      </c>
      <c r="E312">
        <v>40171.721489471565</v>
      </c>
      <c r="F312">
        <v>54884.318404265228</v>
      </c>
      <c r="G312">
        <v>169378.7771901752</v>
      </c>
      <c r="H312">
        <v>169378.7771901752</v>
      </c>
      <c r="I312">
        <v>0</v>
      </c>
      <c r="J312">
        <v>1306.9972549429283</v>
      </c>
      <c r="K312">
        <v>0</v>
      </c>
      <c r="L312">
        <v>168071.77993523228</v>
      </c>
      <c r="M312">
        <v>315</v>
      </c>
      <c r="N312">
        <v>64</v>
      </c>
      <c r="O312">
        <v>0.20317460317460301</v>
      </c>
    </row>
    <row r="313" spans="1:26" x14ac:dyDescent="0.25">
      <c r="A313" t="s">
        <v>64</v>
      </c>
      <c r="B313" t="s">
        <v>1226</v>
      </c>
      <c r="C313">
        <v>773129.46269735601</v>
      </c>
      <c r="D313">
        <v>175000.54446939056</v>
      </c>
      <c r="E313">
        <v>445343.43150141765</v>
      </c>
      <c r="F313">
        <v>614103.87016407331</v>
      </c>
      <c r="G313">
        <v>2007577.3088322375</v>
      </c>
      <c r="H313">
        <v>2007577.3088322375</v>
      </c>
      <c r="I313">
        <v>0</v>
      </c>
      <c r="J313">
        <v>15491.303428075787</v>
      </c>
      <c r="K313">
        <v>0</v>
      </c>
      <c r="L313">
        <v>1992086.0054041618</v>
      </c>
      <c r="M313">
        <v>7932</v>
      </c>
      <c r="N313">
        <v>899</v>
      </c>
      <c r="O313">
        <v>0.113318404902385</v>
      </c>
    </row>
    <row r="314" spans="1:26" x14ac:dyDescent="0.25">
      <c r="A314" t="s">
        <v>631</v>
      </c>
      <c r="B314" t="s">
        <v>1233</v>
      </c>
      <c r="C314">
        <v>76913.800480945938</v>
      </c>
      <c r="D314">
        <v>20144.150007681394</v>
      </c>
      <c r="E314">
        <v>49307.294996912722</v>
      </c>
      <c r="F314">
        <v>67991.488891026995</v>
      </c>
      <c r="G314">
        <v>214356.73437656707</v>
      </c>
      <c r="H314">
        <v>214356.73437656707</v>
      </c>
      <c r="I314">
        <v>0</v>
      </c>
      <c r="J314">
        <v>1654.0659228761658</v>
      </c>
      <c r="K314">
        <v>0</v>
      </c>
      <c r="L314">
        <v>212702.66845369089</v>
      </c>
      <c r="M314">
        <v>468</v>
      </c>
      <c r="N314">
        <v>61</v>
      </c>
      <c r="O314">
        <v>0.13034188034187999</v>
      </c>
    </row>
    <row r="315" spans="1:26" x14ac:dyDescent="0.25">
      <c r="A315" t="s">
        <v>633</v>
      </c>
      <c r="B315" t="s">
        <v>1242</v>
      </c>
      <c r="C315">
        <v>43542.987524510827</v>
      </c>
      <c r="D315">
        <v>11321.525852586967</v>
      </c>
      <c r="E315">
        <v>23242.358577955023</v>
      </c>
      <c r="F315">
        <v>29333.116174164265</v>
      </c>
      <c r="G315">
        <v>107439.98812921709</v>
      </c>
      <c r="H315">
        <v>107439.98812921709</v>
      </c>
      <c r="I315">
        <v>0</v>
      </c>
      <c r="J315">
        <v>829.05173768212103</v>
      </c>
      <c r="K315">
        <v>0</v>
      </c>
      <c r="L315">
        <v>106610.93639153497</v>
      </c>
      <c r="M315">
        <v>327</v>
      </c>
      <c r="N315">
        <v>34</v>
      </c>
      <c r="O315">
        <v>0.10397553516819601</v>
      </c>
    </row>
    <row r="316" spans="1:26" x14ac:dyDescent="0.25">
      <c r="A316" t="s">
        <v>637</v>
      </c>
      <c r="B316" t="s">
        <v>1246</v>
      </c>
      <c r="C316">
        <v>88596.567798563177</v>
      </c>
      <c r="D316">
        <v>22063.996591020456</v>
      </c>
      <c r="E316">
        <v>42377.2618246649</v>
      </c>
      <c r="F316">
        <v>58248.768426032344</v>
      </c>
      <c r="G316">
        <v>211286.59464028088</v>
      </c>
      <c r="H316">
        <v>211286.59464028088</v>
      </c>
      <c r="I316">
        <v>0</v>
      </c>
      <c r="J316">
        <v>1630.3754447998488</v>
      </c>
      <c r="K316">
        <v>0</v>
      </c>
      <c r="L316">
        <v>209656.21919548104</v>
      </c>
      <c r="M316">
        <v>810</v>
      </c>
      <c r="N316">
        <v>103</v>
      </c>
      <c r="O316">
        <v>0.12716049382715999</v>
      </c>
    </row>
    <row r="317" spans="1:26" x14ac:dyDescent="0.25">
      <c r="A317" t="s">
        <v>649</v>
      </c>
      <c r="B317" t="s">
        <v>1258</v>
      </c>
      <c r="C317">
        <v>118702.19763302633</v>
      </c>
      <c r="D317">
        <v>28667.351012567196</v>
      </c>
      <c r="E317">
        <v>57416.314606098022</v>
      </c>
      <c r="F317">
        <v>79173.289002137608</v>
      </c>
      <c r="G317">
        <v>283959.15225382918</v>
      </c>
      <c r="H317">
        <v>283959.15225382918</v>
      </c>
      <c r="I317">
        <v>0</v>
      </c>
      <c r="J317">
        <v>2191.1471948753883</v>
      </c>
      <c r="K317">
        <v>0</v>
      </c>
      <c r="L317">
        <v>281768.00505895377</v>
      </c>
      <c r="M317">
        <v>1203</v>
      </c>
      <c r="N317">
        <v>138</v>
      </c>
      <c r="O317">
        <v>0.114713216957606</v>
      </c>
    </row>
    <row r="319" spans="1:26" x14ac:dyDescent="0.25">
      <c r="A319">
        <v>1</v>
      </c>
      <c r="B319">
        <v>2</v>
      </c>
      <c r="C319">
        <v>3</v>
      </c>
      <c r="D319">
        <v>4</v>
      </c>
      <c r="E319">
        <v>5</v>
      </c>
      <c r="F319">
        <v>6</v>
      </c>
      <c r="G319">
        <v>7</v>
      </c>
      <c r="H319">
        <v>8</v>
      </c>
      <c r="I319">
        <v>9</v>
      </c>
      <c r="J319">
        <v>10</v>
      </c>
      <c r="K319">
        <v>11</v>
      </c>
      <c r="L319">
        <v>12</v>
      </c>
      <c r="M319">
        <v>13</v>
      </c>
      <c r="N319">
        <v>14</v>
      </c>
      <c r="O319">
        <v>15</v>
      </c>
    </row>
    <row r="320" spans="1:26" x14ac:dyDescent="0.25">
      <c r="Q320">
        <v>9</v>
      </c>
      <c r="R320">
        <v>10</v>
      </c>
      <c r="S320">
        <v>11</v>
      </c>
      <c r="T320">
        <v>12</v>
      </c>
      <c r="U320">
        <v>13</v>
      </c>
      <c r="V320">
        <v>14</v>
      </c>
      <c r="Z320">
        <v>12</v>
      </c>
    </row>
  </sheetData>
  <sheetProtection algorithmName="SHA-512" hashValue="32WxD7fSLmBwKJ8gF60lE0/DMfnxLc1siuVJ+dkDukYp2z5QoZLnDvBbo86b19H+5iDt+DFYKT9WOqq2/dOHXA==" saltValue="OehmJ22yf+rus9n5Hd27sg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72082-3702-49B9-8F49-1B3014A1CB77}">
  <dimension ref="A1:E317"/>
  <sheetViews>
    <sheetView workbookViewId="0"/>
  </sheetViews>
  <sheetFormatPr defaultRowHeight="15" x14ac:dyDescent="0.25"/>
  <cols>
    <col min="1" max="1" width="8.28515625" bestFit="1" customWidth="1"/>
    <col min="2" max="2" width="47.5703125" bestFit="1" customWidth="1"/>
    <col min="3" max="3" width="18.5703125" bestFit="1" customWidth="1"/>
    <col min="4" max="4" width="16.140625" bestFit="1" customWidth="1"/>
    <col min="5" max="5" width="16.85546875" bestFit="1" customWidth="1"/>
    <col min="6" max="6" width="16.140625" bestFit="1" customWidth="1"/>
    <col min="7" max="9" width="16.85546875" customWidth="1"/>
    <col min="10" max="10" width="34.7109375" bestFit="1" customWidth="1"/>
  </cols>
  <sheetData>
    <row r="1" spans="1:5" x14ac:dyDescent="0.25">
      <c r="A1" t="s">
        <v>4</v>
      </c>
      <c r="B1" t="s">
        <v>1279</v>
      </c>
      <c r="C1" t="s">
        <v>1305</v>
      </c>
      <c r="D1" t="s">
        <v>1359</v>
      </c>
      <c r="E1" t="s">
        <v>1360</v>
      </c>
    </row>
    <row r="2" spans="1:5" x14ac:dyDescent="0.25">
      <c r="A2" t="s">
        <v>309</v>
      </c>
      <c r="B2" t="s">
        <v>1383</v>
      </c>
      <c r="C2" t="s">
        <v>653</v>
      </c>
      <c r="D2" t="s">
        <v>1474</v>
      </c>
      <c r="E2" t="s">
        <v>1475</v>
      </c>
    </row>
    <row r="3" spans="1:5" x14ac:dyDescent="0.25">
      <c r="A3" t="s">
        <v>260</v>
      </c>
      <c r="B3" t="s">
        <v>261</v>
      </c>
      <c r="C3" t="s">
        <v>88</v>
      </c>
      <c r="D3" t="s">
        <v>1273</v>
      </c>
      <c r="E3" t="s">
        <v>88</v>
      </c>
    </row>
    <row r="4" spans="1:5" x14ac:dyDescent="0.25">
      <c r="A4" t="s">
        <v>262</v>
      </c>
      <c r="B4" t="s">
        <v>263</v>
      </c>
      <c r="C4" t="s">
        <v>653</v>
      </c>
      <c r="D4" t="s">
        <v>1474</v>
      </c>
      <c r="E4" t="s">
        <v>1479</v>
      </c>
    </row>
    <row r="5" spans="1:5" x14ac:dyDescent="0.25">
      <c r="A5" t="s">
        <v>89</v>
      </c>
      <c r="B5" t="s">
        <v>90</v>
      </c>
      <c r="C5" t="s">
        <v>88</v>
      </c>
      <c r="D5" t="s">
        <v>1273</v>
      </c>
      <c r="E5" t="s">
        <v>88</v>
      </c>
    </row>
    <row r="6" spans="1:5" x14ac:dyDescent="0.25">
      <c r="A6" t="s">
        <v>91</v>
      </c>
      <c r="B6" t="s">
        <v>92</v>
      </c>
      <c r="C6" t="s">
        <v>88</v>
      </c>
      <c r="D6" t="s">
        <v>1273</v>
      </c>
      <c r="E6" t="s">
        <v>88</v>
      </c>
    </row>
    <row r="7" spans="1:5" x14ac:dyDescent="0.25">
      <c r="A7" t="s">
        <v>310</v>
      </c>
      <c r="B7" t="s">
        <v>311</v>
      </c>
      <c r="C7" t="s">
        <v>88</v>
      </c>
      <c r="D7" t="s">
        <v>1273</v>
      </c>
      <c r="E7" t="s">
        <v>88</v>
      </c>
    </row>
    <row r="8" spans="1:5" x14ac:dyDescent="0.25">
      <c r="A8" t="s">
        <v>312</v>
      </c>
      <c r="B8" t="s">
        <v>313</v>
      </c>
      <c r="C8" t="s">
        <v>653</v>
      </c>
      <c r="D8" t="s">
        <v>1474</v>
      </c>
      <c r="E8" t="s">
        <v>1481</v>
      </c>
    </row>
    <row r="9" spans="1:5" x14ac:dyDescent="0.25">
      <c r="A9" t="s">
        <v>93</v>
      </c>
      <c r="B9" t="s">
        <v>94</v>
      </c>
      <c r="C9" t="s">
        <v>88</v>
      </c>
      <c r="D9" t="s">
        <v>1273</v>
      </c>
      <c r="E9" t="s">
        <v>88</v>
      </c>
    </row>
    <row r="10" spans="1:5" x14ac:dyDescent="0.25">
      <c r="A10" t="s">
        <v>95</v>
      </c>
      <c r="B10" t="s">
        <v>96</v>
      </c>
      <c r="C10" t="s">
        <v>88</v>
      </c>
      <c r="D10" t="s">
        <v>1273</v>
      </c>
      <c r="E10" t="s">
        <v>88</v>
      </c>
    </row>
    <row r="11" spans="1:5" x14ac:dyDescent="0.25">
      <c r="A11" t="s">
        <v>97</v>
      </c>
      <c r="B11" t="s">
        <v>98</v>
      </c>
      <c r="C11" t="s">
        <v>88</v>
      </c>
      <c r="D11" t="s">
        <v>1273</v>
      </c>
      <c r="E11" t="s">
        <v>88</v>
      </c>
    </row>
    <row r="12" spans="1:5" x14ac:dyDescent="0.25">
      <c r="A12" t="s">
        <v>56</v>
      </c>
      <c r="B12" t="s">
        <v>1385</v>
      </c>
      <c r="C12" t="s">
        <v>88</v>
      </c>
      <c r="D12" t="s">
        <v>1273</v>
      </c>
      <c r="E12" t="s">
        <v>88</v>
      </c>
    </row>
    <row r="13" spans="1:5" x14ac:dyDescent="0.25">
      <c r="A13" t="s">
        <v>99</v>
      </c>
      <c r="B13" t="s">
        <v>100</v>
      </c>
      <c r="C13" t="s">
        <v>88</v>
      </c>
      <c r="D13" t="s">
        <v>1273</v>
      </c>
      <c r="E13" t="s">
        <v>88</v>
      </c>
    </row>
    <row r="14" spans="1:5" x14ac:dyDescent="0.25">
      <c r="A14" t="s">
        <v>264</v>
      </c>
      <c r="B14" t="s">
        <v>265</v>
      </c>
      <c r="C14" t="s">
        <v>88</v>
      </c>
      <c r="D14" t="s">
        <v>1273</v>
      </c>
      <c r="E14" t="s">
        <v>88</v>
      </c>
    </row>
    <row r="15" spans="1:5" x14ac:dyDescent="0.25">
      <c r="A15" t="s">
        <v>314</v>
      </c>
      <c r="B15" t="s">
        <v>315</v>
      </c>
      <c r="C15" t="s">
        <v>88</v>
      </c>
      <c r="D15" t="s">
        <v>1273</v>
      </c>
      <c r="E15" t="s">
        <v>88</v>
      </c>
    </row>
    <row r="16" spans="1:5" x14ac:dyDescent="0.25">
      <c r="A16" t="s">
        <v>316</v>
      </c>
      <c r="B16" t="s">
        <v>317</v>
      </c>
      <c r="C16" t="s">
        <v>88</v>
      </c>
      <c r="D16" t="s">
        <v>1273</v>
      </c>
      <c r="E16" t="s">
        <v>88</v>
      </c>
    </row>
    <row r="17" spans="1:5" x14ac:dyDescent="0.25">
      <c r="A17" t="s">
        <v>318</v>
      </c>
      <c r="B17" t="s">
        <v>319</v>
      </c>
      <c r="C17" t="s">
        <v>88</v>
      </c>
      <c r="D17" t="s">
        <v>1273</v>
      </c>
      <c r="E17" t="s">
        <v>88</v>
      </c>
    </row>
    <row r="18" spans="1:5" x14ac:dyDescent="0.25">
      <c r="A18" t="s">
        <v>55</v>
      </c>
      <c r="B18" t="s">
        <v>9</v>
      </c>
      <c r="C18" t="s">
        <v>653</v>
      </c>
      <c r="D18" t="s">
        <v>1474</v>
      </c>
      <c r="E18" t="s">
        <v>1476</v>
      </c>
    </row>
    <row r="19" spans="1:5" x14ac:dyDescent="0.25">
      <c r="A19" t="s">
        <v>320</v>
      </c>
      <c r="B19" t="s">
        <v>321</v>
      </c>
      <c r="C19" t="s">
        <v>653</v>
      </c>
      <c r="D19" t="s">
        <v>1474</v>
      </c>
      <c r="E19" t="s">
        <v>1482</v>
      </c>
    </row>
    <row r="20" spans="1:5" x14ac:dyDescent="0.25">
      <c r="A20" t="s">
        <v>322</v>
      </c>
      <c r="B20" t="s">
        <v>323</v>
      </c>
      <c r="C20" t="s">
        <v>653</v>
      </c>
      <c r="D20" t="s">
        <v>1474</v>
      </c>
      <c r="E20" t="s">
        <v>1483</v>
      </c>
    </row>
    <row r="21" spans="1:5" x14ac:dyDescent="0.25">
      <c r="A21" t="s">
        <v>324</v>
      </c>
      <c r="B21" t="s">
        <v>325</v>
      </c>
      <c r="C21" t="s">
        <v>653</v>
      </c>
      <c r="D21" t="s">
        <v>1474</v>
      </c>
      <c r="E21" t="s">
        <v>1484</v>
      </c>
    </row>
    <row r="22" spans="1:5" x14ac:dyDescent="0.25">
      <c r="A22" t="s">
        <v>326</v>
      </c>
      <c r="B22" t="s">
        <v>327</v>
      </c>
      <c r="C22" t="s">
        <v>88</v>
      </c>
      <c r="D22" t="s">
        <v>1273</v>
      </c>
      <c r="E22" t="s">
        <v>88</v>
      </c>
    </row>
    <row r="23" spans="1:5" x14ac:dyDescent="0.25">
      <c r="A23" t="s">
        <v>101</v>
      </c>
      <c r="B23" t="s">
        <v>102</v>
      </c>
      <c r="C23" t="s">
        <v>88</v>
      </c>
      <c r="D23" t="s">
        <v>1273</v>
      </c>
      <c r="E23" t="s">
        <v>88</v>
      </c>
    </row>
    <row r="24" spans="1:5" x14ac:dyDescent="0.25">
      <c r="A24" t="s">
        <v>328</v>
      </c>
      <c r="B24" t="s">
        <v>329</v>
      </c>
      <c r="C24" t="s">
        <v>88</v>
      </c>
      <c r="D24" t="s">
        <v>1273</v>
      </c>
      <c r="E24" t="s">
        <v>88</v>
      </c>
    </row>
    <row r="25" spans="1:5" x14ac:dyDescent="0.25">
      <c r="A25" t="s">
        <v>103</v>
      </c>
      <c r="B25" t="s">
        <v>104</v>
      </c>
      <c r="C25" t="s">
        <v>88</v>
      </c>
      <c r="D25" t="s">
        <v>1273</v>
      </c>
      <c r="E25" t="s">
        <v>88</v>
      </c>
    </row>
    <row r="26" spans="1:5" x14ac:dyDescent="0.25">
      <c r="A26" t="s">
        <v>330</v>
      </c>
      <c r="B26" t="s">
        <v>331</v>
      </c>
      <c r="C26" t="s">
        <v>88</v>
      </c>
      <c r="D26" t="s">
        <v>1273</v>
      </c>
      <c r="E26" t="s">
        <v>88</v>
      </c>
    </row>
    <row r="27" spans="1:5" x14ac:dyDescent="0.25">
      <c r="A27" t="s">
        <v>332</v>
      </c>
      <c r="B27" t="s">
        <v>333</v>
      </c>
      <c r="C27" t="s">
        <v>88</v>
      </c>
      <c r="D27" t="s">
        <v>1273</v>
      </c>
      <c r="E27" t="s">
        <v>88</v>
      </c>
    </row>
    <row r="28" spans="1:5" x14ac:dyDescent="0.25">
      <c r="A28" t="s">
        <v>105</v>
      </c>
      <c r="B28" t="s">
        <v>106</v>
      </c>
      <c r="C28" t="s">
        <v>88</v>
      </c>
      <c r="D28" t="s">
        <v>1273</v>
      </c>
      <c r="E28" t="s">
        <v>88</v>
      </c>
    </row>
    <row r="29" spans="1:5" x14ac:dyDescent="0.25">
      <c r="A29" t="s">
        <v>66</v>
      </c>
      <c r="B29" t="s">
        <v>1396</v>
      </c>
      <c r="C29" t="s">
        <v>88</v>
      </c>
      <c r="D29" t="s">
        <v>1273</v>
      </c>
      <c r="E29" t="s">
        <v>88</v>
      </c>
    </row>
    <row r="30" spans="1:5" x14ac:dyDescent="0.25">
      <c r="A30" t="s">
        <v>334</v>
      </c>
      <c r="B30" t="s">
        <v>335</v>
      </c>
      <c r="C30" t="s">
        <v>653</v>
      </c>
      <c r="D30" t="s">
        <v>1474</v>
      </c>
      <c r="E30" t="s">
        <v>1485</v>
      </c>
    </row>
    <row r="31" spans="1:5" x14ac:dyDescent="0.25">
      <c r="A31" t="s">
        <v>107</v>
      </c>
      <c r="B31" t="s">
        <v>108</v>
      </c>
      <c r="C31" t="s">
        <v>88</v>
      </c>
      <c r="D31" t="s">
        <v>1273</v>
      </c>
      <c r="E31" t="s">
        <v>88</v>
      </c>
    </row>
    <row r="32" spans="1:5" x14ac:dyDescent="0.25">
      <c r="A32" t="s">
        <v>266</v>
      </c>
      <c r="B32" t="s">
        <v>267</v>
      </c>
      <c r="C32" t="s">
        <v>88</v>
      </c>
      <c r="D32" t="s">
        <v>1273</v>
      </c>
      <c r="E32" t="s">
        <v>88</v>
      </c>
    </row>
    <row r="33" spans="1:5" x14ac:dyDescent="0.25">
      <c r="A33" t="s">
        <v>336</v>
      </c>
      <c r="B33" t="s">
        <v>337</v>
      </c>
      <c r="C33" t="s">
        <v>653</v>
      </c>
      <c r="D33" t="s">
        <v>1474</v>
      </c>
      <c r="E33" t="s">
        <v>1487</v>
      </c>
    </row>
    <row r="34" spans="1:5" x14ac:dyDescent="0.25">
      <c r="A34" t="s">
        <v>338</v>
      </c>
      <c r="B34" t="s">
        <v>339</v>
      </c>
      <c r="C34" t="s">
        <v>88</v>
      </c>
      <c r="D34" t="s">
        <v>1273</v>
      </c>
      <c r="E34" t="s">
        <v>88</v>
      </c>
    </row>
    <row r="35" spans="1:5" x14ac:dyDescent="0.25">
      <c r="A35" t="s">
        <v>268</v>
      </c>
      <c r="B35" t="s">
        <v>269</v>
      </c>
      <c r="C35" t="s">
        <v>88</v>
      </c>
      <c r="D35" t="s">
        <v>1273</v>
      </c>
      <c r="E35" t="s">
        <v>88</v>
      </c>
    </row>
    <row r="36" spans="1:5" x14ac:dyDescent="0.25">
      <c r="A36" t="s">
        <v>340</v>
      </c>
      <c r="B36" t="s">
        <v>341</v>
      </c>
      <c r="C36" t="s">
        <v>653</v>
      </c>
      <c r="D36" t="s">
        <v>1474</v>
      </c>
      <c r="E36" t="s">
        <v>1488</v>
      </c>
    </row>
    <row r="37" spans="1:5" x14ac:dyDescent="0.25">
      <c r="A37" t="s">
        <v>109</v>
      </c>
      <c r="B37" t="s">
        <v>110</v>
      </c>
      <c r="C37" t="s">
        <v>88</v>
      </c>
      <c r="D37" t="s">
        <v>1273</v>
      </c>
      <c r="E37" t="s">
        <v>88</v>
      </c>
    </row>
    <row r="38" spans="1:5" x14ac:dyDescent="0.25">
      <c r="A38" t="s">
        <v>342</v>
      </c>
      <c r="B38" t="s">
        <v>343</v>
      </c>
      <c r="C38" t="s">
        <v>653</v>
      </c>
      <c r="D38" t="s">
        <v>1474</v>
      </c>
      <c r="E38" t="s">
        <v>1489</v>
      </c>
    </row>
    <row r="39" spans="1:5" x14ac:dyDescent="0.25">
      <c r="A39" t="s">
        <v>344</v>
      </c>
      <c r="B39" t="s">
        <v>345</v>
      </c>
      <c r="C39" t="s">
        <v>88</v>
      </c>
      <c r="D39" t="s">
        <v>1273</v>
      </c>
      <c r="E39" t="s">
        <v>88</v>
      </c>
    </row>
    <row r="40" spans="1:5" x14ac:dyDescent="0.25">
      <c r="A40" t="s">
        <v>346</v>
      </c>
      <c r="B40" t="s">
        <v>347</v>
      </c>
      <c r="C40" t="s">
        <v>653</v>
      </c>
      <c r="D40" t="s">
        <v>1474</v>
      </c>
      <c r="E40" t="s">
        <v>1490</v>
      </c>
    </row>
    <row r="41" spans="1:5" x14ac:dyDescent="0.25">
      <c r="A41" t="s">
        <v>270</v>
      </c>
      <c r="B41" t="s">
        <v>271</v>
      </c>
      <c r="C41" t="s">
        <v>88</v>
      </c>
      <c r="D41" t="s">
        <v>1273</v>
      </c>
      <c r="E41" t="s">
        <v>88</v>
      </c>
    </row>
    <row r="42" spans="1:5" x14ac:dyDescent="0.25">
      <c r="A42" t="s">
        <v>348</v>
      </c>
      <c r="B42" t="s">
        <v>349</v>
      </c>
      <c r="C42" t="s">
        <v>88</v>
      </c>
      <c r="D42" t="s">
        <v>1273</v>
      </c>
      <c r="E42" t="s">
        <v>88</v>
      </c>
    </row>
    <row r="43" spans="1:5" x14ac:dyDescent="0.25">
      <c r="A43" t="s">
        <v>350</v>
      </c>
      <c r="B43" t="s">
        <v>351</v>
      </c>
      <c r="C43" t="s">
        <v>88</v>
      </c>
      <c r="D43" t="s">
        <v>1273</v>
      </c>
      <c r="E43" t="s">
        <v>88</v>
      </c>
    </row>
    <row r="44" spans="1:5" x14ac:dyDescent="0.25">
      <c r="A44" t="s">
        <v>352</v>
      </c>
      <c r="B44" t="s">
        <v>1388</v>
      </c>
      <c r="C44" t="s">
        <v>653</v>
      </c>
      <c r="D44" t="s">
        <v>1474</v>
      </c>
      <c r="E44" t="s">
        <v>1491</v>
      </c>
    </row>
    <row r="45" spans="1:5" x14ac:dyDescent="0.25">
      <c r="A45" t="s">
        <v>353</v>
      </c>
      <c r="B45" t="s">
        <v>1389</v>
      </c>
      <c r="C45" t="s">
        <v>88</v>
      </c>
      <c r="D45" t="s">
        <v>1273</v>
      </c>
      <c r="E45" t="s">
        <v>88</v>
      </c>
    </row>
    <row r="46" spans="1:5" x14ac:dyDescent="0.25">
      <c r="A46" t="s">
        <v>354</v>
      </c>
      <c r="B46" t="s">
        <v>355</v>
      </c>
      <c r="C46" t="s">
        <v>653</v>
      </c>
      <c r="D46" t="s">
        <v>1474</v>
      </c>
      <c r="E46" t="s">
        <v>1492</v>
      </c>
    </row>
    <row r="47" spans="1:5" x14ac:dyDescent="0.25">
      <c r="A47" t="s">
        <v>356</v>
      </c>
      <c r="B47" t="s">
        <v>357</v>
      </c>
      <c r="C47" t="s">
        <v>88</v>
      </c>
      <c r="D47" t="s">
        <v>1273</v>
      </c>
      <c r="E47" t="s">
        <v>88</v>
      </c>
    </row>
    <row r="48" spans="1:5" x14ac:dyDescent="0.25">
      <c r="A48" t="s">
        <v>111</v>
      </c>
      <c r="B48" t="s">
        <v>112</v>
      </c>
      <c r="C48" t="s">
        <v>88</v>
      </c>
      <c r="D48" t="s">
        <v>1273</v>
      </c>
      <c r="E48" t="s">
        <v>88</v>
      </c>
    </row>
    <row r="49" spans="1:5" x14ac:dyDescent="0.25">
      <c r="A49" t="s">
        <v>113</v>
      </c>
      <c r="B49" t="s">
        <v>114</v>
      </c>
      <c r="C49" t="s">
        <v>88</v>
      </c>
      <c r="D49" t="s">
        <v>1273</v>
      </c>
      <c r="E49" t="s">
        <v>88</v>
      </c>
    </row>
    <row r="50" spans="1:5" x14ac:dyDescent="0.25">
      <c r="A50" t="s">
        <v>358</v>
      </c>
      <c r="B50" t="s">
        <v>359</v>
      </c>
      <c r="C50" t="s">
        <v>653</v>
      </c>
      <c r="D50" t="s">
        <v>1474</v>
      </c>
      <c r="E50" t="s">
        <v>1493</v>
      </c>
    </row>
    <row r="51" spans="1:5" x14ac:dyDescent="0.25">
      <c r="A51" t="s">
        <v>360</v>
      </c>
      <c r="B51" t="s">
        <v>361</v>
      </c>
      <c r="C51" t="s">
        <v>88</v>
      </c>
      <c r="D51" t="s">
        <v>1273</v>
      </c>
      <c r="E51" t="s">
        <v>88</v>
      </c>
    </row>
    <row r="52" spans="1:5" x14ac:dyDescent="0.25">
      <c r="A52" t="s">
        <v>362</v>
      </c>
      <c r="B52" t="s">
        <v>363</v>
      </c>
      <c r="C52" t="s">
        <v>653</v>
      </c>
      <c r="D52" t="s">
        <v>1474</v>
      </c>
      <c r="E52" t="s">
        <v>1494</v>
      </c>
    </row>
    <row r="53" spans="1:5" x14ac:dyDescent="0.25">
      <c r="A53" t="s">
        <v>364</v>
      </c>
      <c r="B53" t="s">
        <v>365</v>
      </c>
      <c r="C53" t="s">
        <v>88</v>
      </c>
      <c r="D53" t="s">
        <v>1273</v>
      </c>
      <c r="E53" t="s">
        <v>88</v>
      </c>
    </row>
    <row r="54" spans="1:5" x14ac:dyDescent="0.25">
      <c r="A54" t="s">
        <v>366</v>
      </c>
      <c r="B54" t="s">
        <v>367</v>
      </c>
      <c r="C54" t="s">
        <v>653</v>
      </c>
      <c r="D54" t="s">
        <v>1474</v>
      </c>
      <c r="E54" t="s">
        <v>1495</v>
      </c>
    </row>
    <row r="55" spans="1:5" x14ac:dyDescent="0.25">
      <c r="A55" t="s">
        <v>368</v>
      </c>
      <c r="B55" t="s">
        <v>369</v>
      </c>
      <c r="C55" t="s">
        <v>653</v>
      </c>
      <c r="D55" t="s">
        <v>1474</v>
      </c>
      <c r="E55" t="s">
        <v>1496</v>
      </c>
    </row>
    <row r="56" spans="1:5" x14ac:dyDescent="0.25">
      <c r="A56" t="s">
        <v>115</v>
      </c>
      <c r="B56" t="s">
        <v>116</v>
      </c>
      <c r="C56" t="s">
        <v>88</v>
      </c>
      <c r="D56" t="s">
        <v>1273</v>
      </c>
      <c r="E56" t="s">
        <v>88</v>
      </c>
    </row>
    <row r="57" spans="1:5" x14ac:dyDescent="0.25">
      <c r="A57" t="s">
        <v>272</v>
      </c>
      <c r="B57" t="s">
        <v>273</v>
      </c>
      <c r="C57" t="s">
        <v>88</v>
      </c>
      <c r="D57" t="s">
        <v>1273</v>
      </c>
      <c r="E57" t="s">
        <v>88</v>
      </c>
    </row>
    <row r="58" spans="1:5" x14ac:dyDescent="0.25">
      <c r="A58" t="s">
        <v>370</v>
      </c>
      <c r="B58" t="s">
        <v>371</v>
      </c>
      <c r="C58" t="s">
        <v>88</v>
      </c>
      <c r="D58" t="s">
        <v>1273</v>
      </c>
      <c r="E58" t="s">
        <v>88</v>
      </c>
    </row>
    <row r="59" spans="1:5" x14ac:dyDescent="0.25">
      <c r="A59" t="s">
        <v>372</v>
      </c>
      <c r="B59" t="s">
        <v>373</v>
      </c>
      <c r="C59" t="s">
        <v>653</v>
      </c>
      <c r="D59" t="s">
        <v>1474</v>
      </c>
      <c r="E59" t="s">
        <v>1497</v>
      </c>
    </row>
    <row r="60" spans="1:5" x14ac:dyDescent="0.25">
      <c r="A60" t="s">
        <v>374</v>
      </c>
      <c r="B60" t="s">
        <v>375</v>
      </c>
      <c r="C60" t="s">
        <v>88</v>
      </c>
      <c r="D60" t="s">
        <v>1273</v>
      </c>
      <c r="E60" t="s">
        <v>88</v>
      </c>
    </row>
    <row r="61" spans="1:5" x14ac:dyDescent="0.25">
      <c r="A61" t="s">
        <v>274</v>
      </c>
      <c r="B61" t="s">
        <v>275</v>
      </c>
      <c r="C61" t="s">
        <v>88</v>
      </c>
      <c r="D61" t="s">
        <v>1273</v>
      </c>
      <c r="E61" t="s">
        <v>88</v>
      </c>
    </row>
    <row r="62" spans="1:5" x14ac:dyDescent="0.25">
      <c r="A62" t="s">
        <v>376</v>
      </c>
      <c r="B62" t="s">
        <v>377</v>
      </c>
      <c r="C62" t="s">
        <v>88</v>
      </c>
      <c r="D62" t="s">
        <v>1273</v>
      </c>
      <c r="E62" t="s">
        <v>88</v>
      </c>
    </row>
    <row r="63" spans="1:5" x14ac:dyDescent="0.25">
      <c r="A63" t="s">
        <v>378</v>
      </c>
      <c r="B63" t="s">
        <v>379</v>
      </c>
      <c r="C63" t="s">
        <v>88</v>
      </c>
      <c r="D63" t="s">
        <v>1273</v>
      </c>
      <c r="E63" t="s">
        <v>88</v>
      </c>
    </row>
    <row r="64" spans="1:5" x14ac:dyDescent="0.25">
      <c r="A64" t="s">
        <v>380</v>
      </c>
      <c r="B64" t="s">
        <v>381</v>
      </c>
      <c r="C64" t="s">
        <v>88</v>
      </c>
      <c r="D64" t="s">
        <v>1273</v>
      </c>
      <c r="E64" t="s">
        <v>88</v>
      </c>
    </row>
    <row r="65" spans="1:5" x14ac:dyDescent="0.25">
      <c r="A65" t="s">
        <v>382</v>
      </c>
      <c r="B65" t="s">
        <v>383</v>
      </c>
      <c r="C65" t="s">
        <v>88</v>
      </c>
      <c r="D65" t="s">
        <v>1273</v>
      </c>
      <c r="E65" t="s">
        <v>88</v>
      </c>
    </row>
    <row r="66" spans="1:5" x14ac:dyDescent="0.25">
      <c r="A66" t="s">
        <v>117</v>
      </c>
      <c r="B66" t="s">
        <v>118</v>
      </c>
      <c r="C66" t="s">
        <v>88</v>
      </c>
      <c r="D66" t="s">
        <v>1273</v>
      </c>
      <c r="E66" t="s">
        <v>88</v>
      </c>
    </row>
    <row r="67" spans="1:5" x14ac:dyDescent="0.25">
      <c r="A67" t="s">
        <v>119</v>
      </c>
      <c r="B67" t="s">
        <v>120</v>
      </c>
      <c r="C67" t="s">
        <v>88</v>
      </c>
      <c r="D67" t="s">
        <v>1273</v>
      </c>
      <c r="E67" t="s">
        <v>88</v>
      </c>
    </row>
    <row r="68" spans="1:5" x14ac:dyDescent="0.25">
      <c r="A68" t="s">
        <v>121</v>
      </c>
      <c r="B68" t="s">
        <v>122</v>
      </c>
      <c r="C68" t="s">
        <v>88</v>
      </c>
      <c r="D68" t="s">
        <v>1273</v>
      </c>
      <c r="E68" t="s">
        <v>88</v>
      </c>
    </row>
    <row r="69" spans="1:5" x14ac:dyDescent="0.25">
      <c r="A69" t="s">
        <v>384</v>
      </c>
      <c r="B69" t="s">
        <v>385</v>
      </c>
      <c r="C69" t="s">
        <v>88</v>
      </c>
      <c r="D69" t="s">
        <v>1273</v>
      </c>
      <c r="E69" t="s">
        <v>88</v>
      </c>
    </row>
    <row r="70" spans="1:5" x14ac:dyDescent="0.25">
      <c r="A70" t="s">
        <v>386</v>
      </c>
      <c r="B70" t="s">
        <v>387</v>
      </c>
      <c r="C70" t="s">
        <v>653</v>
      </c>
      <c r="D70" t="s">
        <v>1474</v>
      </c>
      <c r="E70" t="s">
        <v>1498</v>
      </c>
    </row>
    <row r="71" spans="1:5" x14ac:dyDescent="0.25">
      <c r="A71" t="s">
        <v>388</v>
      </c>
      <c r="B71" t="s">
        <v>389</v>
      </c>
      <c r="C71" t="s">
        <v>653</v>
      </c>
      <c r="D71" t="s">
        <v>1474</v>
      </c>
      <c r="E71" t="s">
        <v>1499</v>
      </c>
    </row>
    <row r="72" spans="1:5" x14ac:dyDescent="0.25">
      <c r="A72" t="s">
        <v>390</v>
      </c>
      <c r="B72" t="s">
        <v>391</v>
      </c>
      <c r="C72" t="s">
        <v>653</v>
      </c>
      <c r="D72" t="s">
        <v>1474</v>
      </c>
      <c r="E72" t="s">
        <v>1500</v>
      </c>
    </row>
    <row r="73" spans="1:5" x14ac:dyDescent="0.25">
      <c r="A73" t="s">
        <v>123</v>
      </c>
      <c r="B73" t="s">
        <v>124</v>
      </c>
      <c r="C73" t="s">
        <v>88</v>
      </c>
      <c r="D73" t="s">
        <v>1273</v>
      </c>
      <c r="E73" t="s">
        <v>88</v>
      </c>
    </row>
    <row r="74" spans="1:5" x14ac:dyDescent="0.25">
      <c r="A74" t="s">
        <v>392</v>
      </c>
      <c r="B74" t="s">
        <v>393</v>
      </c>
      <c r="C74" t="s">
        <v>88</v>
      </c>
      <c r="D74" t="s">
        <v>1273</v>
      </c>
      <c r="E74" t="s">
        <v>88</v>
      </c>
    </row>
    <row r="75" spans="1:5" x14ac:dyDescent="0.25">
      <c r="A75" t="s">
        <v>394</v>
      </c>
      <c r="B75" t="s">
        <v>395</v>
      </c>
      <c r="C75" t="s">
        <v>88</v>
      </c>
      <c r="D75" t="s">
        <v>1273</v>
      </c>
      <c r="E75" t="s">
        <v>88</v>
      </c>
    </row>
    <row r="76" spans="1:5" x14ac:dyDescent="0.25">
      <c r="A76" t="s">
        <v>125</v>
      </c>
      <c r="B76" t="s">
        <v>126</v>
      </c>
      <c r="C76" t="s">
        <v>88</v>
      </c>
      <c r="D76" t="s">
        <v>1273</v>
      </c>
      <c r="E76" t="s">
        <v>88</v>
      </c>
    </row>
    <row r="77" spans="1:5" x14ac:dyDescent="0.25">
      <c r="A77" t="s">
        <v>276</v>
      </c>
      <c r="B77" t="s">
        <v>277</v>
      </c>
      <c r="C77" t="s">
        <v>88</v>
      </c>
      <c r="D77" t="s">
        <v>1273</v>
      </c>
      <c r="E77" t="s">
        <v>88</v>
      </c>
    </row>
    <row r="78" spans="1:5" x14ac:dyDescent="0.25">
      <c r="A78" t="s">
        <v>396</v>
      </c>
      <c r="B78" t="s">
        <v>397</v>
      </c>
      <c r="C78" t="s">
        <v>653</v>
      </c>
      <c r="D78" t="s">
        <v>1474</v>
      </c>
      <c r="E78" t="s">
        <v>1501</v>
      </c>
    </row>
    <row r="79" spans="1:5" x14ac:dyDescent="0.25">
      <c r="A79" t="s">
        <v>398</v>
      </c>
      <c r="B79" t="s">
        <v>399</v>
      </c>
      <c r="C79" t="s">
        <v>653</v>
      </c>
      <c r="D79" t="s">
        <v>1474</v>
      </c>
      <c r="E79" t="s">
        <v>1502</v>
      </c>
    </row>
    <row r="80" spans="1:5" x14ac:dyDescent="0.25">
      <c r="A80" t="s">
        <v>127</v>
      </c>
      <c r="B80" t="s">
        <v>128</v>
      </c>
      <c r="C80" t="s">
        <v>88</v>
      </c>
      <c r="D80" t="s">
        <v>1273</v>
      </c>
      <c r="E80" t="s">
        <v>88</v>
      </c>
    </row>
    <row r="81" spans="1:5" x14ac:dyDescent="0.25">
      <c r="A81" t="s">
        <v>129</v>
      </c>
      <c r="B81" t="s">
        <v>130</v>
      </c>
      <c r="C81" t="s">
        <v>88</v>
      </c>
      <c r="D81" t="s">
        <v>1273</v>
      </c>
      <c r="E81" t="s">
        <v>88</v>
      </c>
    </row>
    <row r="82" spans="1:5" x14ac:dyDescent="0.25">
      <c r="A82" t="s">
        <v>400</v>
      </c>
      <c r="B82" t="s">
        <v>401</v>
      </c>
      <c r="C82" t="s">
        <v>88</v>
      </c>
      <c r="D82" t="s">
        <v>1273</v>
      </c>
      <c r="E82" t="s">
        <v>88</v>
      </c>
    </row>
    <row r="83" spans="1:5" x14ac:dyDescent="0.25">
      <c r="A83" t="s">
        <v>402</v>
      </c>
      <c r="B83" t="s">
        <v>403</v>
      </c>
      <c r="C83" t="s">
        <v>88</v>
      </c>
      <c r="D83" t="s">
        <v>1273</v>
      </c>
      <c r="E83" t="s">
        <v>88</v>
      </c>
    </row>
    <row r="84" spans="1:5" x14ac:dyDescent="0.25">
      <c r="A84" t="s">
        <v>131</v>
      </c>
      <c r="B84" t="s">
        <v>132</v>
      </c>
      <c r="C84" t="s">
        <v>88</v>
      </c>
      <c r="D84" t="s">
        <v>1273</v>
      </c>
      <c r="E84" t="s">
        <v>88</v>
      </c>
    </row>
    <row r="85" spans="1:5" x14ac:dyDescent="0.25">
      <c r="A85" t="s">
        <v>404</v>
      </c>
      <c r="B85" t="s">
        <v>405</v>
      </c>
      <c r="C85" t="s">
        <v>653</v>
      </c>
      <c r="D85" t="s">
        <v>1474</v>
      </c>
      <c r="E85" t="s">
        <v>1503</v>
      </c>
    </row>
    <row r="86" spans="1:5" x14ac:dyDescent="0.25">
      <c r="A86" t="s">
        <v>133</v>
      </c>
      <c r="B86" t="s">
        <v>134</v>
      </c>
      <c r="C86" t="s">
        <v>88</v>
      </c>
      <c r="D86" t="s">
        <v>1273</v>
      </c>
      <c r="E86" t="s">
        <v>88</v>
      </c>
    </row>
    <row r="87" spans="1:5" x14ac:dyDescent="0.25">
      <c r="A87" t="s">
        <v>406</v>
      </c>
      <c r="B87" t="s">
        <v>407</v>
      </c>
      <c r="C87" t="s">
        <v>653</v>
      </c>
      <c r="D87" t="s">
        <v>1474</v>
      </c>
      <c r="E87" t="s">
        <v>1504</v>
      </c>
    </row>
    <row r="88" spans="1:5" x14ac:dyDescent="0.25">
      <c r="A88" t="s">
        <v>408</v>
      </c>
      <c r="B88" t="s">
        <v>409</v>
      </c>
      <c r="C88" t="s">
        <v>653</v>
      </c>
      <c r="D88" t="s">
        <v>1474</v>
      </c>
      <c r="E88" t="s">
        <v>1505</v>
      </c>
    </row>
    <row r="89" spans="1:5" x14ac:dyDescent="0.25">
      <c r="A89" t="s">
        <v>410</v>
      </c>
      <c r="B89" t="s">
        <v>411</v>
      </c>
      <c r="C89" t="s">
        <v>653</v>
      </c>
      <c r="D89" t="s">
        <v>1474</v>
      </c>
      <c r="E89" t="s">
        <v>1506</v>
      </c>
    </row>
    <row r="90" spans="1:5" x14ac:dyDescent="0.25">
      <c r="A90" t="s">
        <v>412</v>
      </c>
      <c r="B90" t="s">
        <v>413</v>
      </c>
      <c r="C90" t="s">
        <v>653</v>
      </c>
      <c r="D90" t="s">
        <v>1474</v>
      </c>
      <c r="E90" t="s">
        <v>1507</v>
      </c>
    </row>
    <row r="91" spans="1:5" x14ac:dyDescent="0.25">
      <c r="A91" t="s">
        <v>135</v>
      </c>
      <c r="B91" t="s">
        <v>136</v>
      </c>
      <c r="C91" t="s">
        <v>88</v>
      </c>
      <c r="D91" t="s">
        <v>1273</v>
      </c>
      <c r="E91" t="s">
        <v>88</v>
      </c>
    </row>
    <row r="92" spans="1:5" x14ac:dyDescent="0.25">
      <c r="A92" t="s">
        <v>414</v>
      </c>
      <c r="B92" t="s">
        <v>415</v>
      </c>
      <c r="C92" t="s">
        <v>88</v>
      </c>
      <c r="D92" t="s">
        <v>1273</v>
      </c>
      <c r="E92" t="s">
        <v>88</v>
      </c>
    </row>
    <row r="93" spans="1:5" x14ac:dyDescent="0.25">
      <c r="A93" t="s">
        <v>416</v>
      </c>
      <c r="B93" t="s">
        <v>417</v>
      </c>
      <c r="C93" t="s">
        <v>653</v>
      </c>
      <c r="D93" t="s">
        <v>1474</v>
      </c>
      <c r="E93" t="s">
        <v>1508</v>
      </c>
    </row>
    <row r="94" spans="1:5" x14ac:dyDescent="0.25">
      <c r="A94" t="s">
        <v>137</v>
      </c>
      <c r="B94" t="s">
        <v>138</v>
      </c>
      <c r="C94" t="s">
        <v>88</v>
      </c>
      <c r="D94" t="s">
        <v>1273</v>
      </c>
      <c r="E94" t="s">
        <v>88</v>
      </c>
    </row>
    <row r="95" spans="1:5" x14ac:dyDescent="0.25">
      <c r="A95" t="s">
        <v>139</v>
      </c>
      <c r="B95" t="s">
        <v>140</v>
      </c>
      <c r="C95" t="s">
        <v>88</v>
      </c>
      <c r="D95" t="s">
        <v>1273</v>
      </c>
      <c r="E95" t="s">
        <v>88</v>
      </c>
    </row>
    <row r="96" spans="1:5" x14ac:dyDescent="0.25">
      <c r="A96" t="s">
        <v>418</v>
      </c>
      <c r="B96" t="s">
        <v>419</v>
      </c>
      <c r="C96" t="s">
        <v>653</v>
      </c>
      <c r="D96" t="s">
        <v>1474</v>
      </c>
      <c r="E96" t="s">
        <v>1484</v>
      </c>
    </row>
    <row r="97" spans="1:5" x14ac:dyDescent="0.25">
      <c r="A97" t="s">
        <v>420</v>
      </c>
      <c r="B97" t="s">
        <v>421</v>
      </c>
      <c r="C97" t="s">
        <v>88</v>
      </c>
      <c r="D97" t="s">
        <v>1273</v>
      </c>
      <c r="E97" t="s">
        <v>88</v>
      </c>
    </row>
    <row r="98" spans="1:5" x14ac:dyDescent="0.25">
      <c r="A98" t="s">
        <v>57</v>
      </c>
      <c r="B98" t="s">
        <v>17</v>
      </c>
      <c r="C98" t="s">
        <v>653</v>
      </c>
      <c r="D98" t="s">
        <v>1474</v>
      </c>
      <c r="E98" t="s">
        <v>1509</v>
      </c>
    </row>
    <row r="99" spans="1:5" x14ac:dyDescent="0.25">
      <c r="A99" t="s">
        <v>141</v>
      </c>
      <c r="B99" t="s">
        <v>142</v>
      </c>
      <c r="C99" t="s">
        <v>88</v>
      </c>
      <c r="D99" t="s">
        <v>1273</v>
      </c>
      <c r="E99" t="s">
        <v>88</v>
      </c>
    </row>
    <row r="100" spans="1:5" x14ac:dyDescent="0.25">
      <c r="A100" t="s">
        <v>422</v>
      </c>
      <c r="B100" t="s">
        <v>423</v>
      </c>
      <c r="C100" t="s">
        <v>653</v>
      </c>
      <c r="D100" t="s">
        <v>1474</v>
      </c>
      <c r="E100" t="s">
        <v>1511</v>
      </c>
    </row>
    <row r="101" spans="1:5" x14ac:dyDescent="0.25">
      <c r="A101" t="s">
        <v>424</v>
      </c>
      <c r="B101" t="s">
        <v>425</v>
      </c>
      <c r="C101" t="s">
        <v>653</v>
      </c>
      <c r="D101" t="s">
        <v>1474</v>
      </c>
      <c r="E101" t="s">
        <v>1512</v>
      </c>
    </row>
    <row r="102" spans="1:5" x14ac:dyDescent="0.25">
      <c r="A102" t="s">
        <v>74</v>
      </c>
      <c r="B102" t="s">
        <v>41</v>
      </c>
      <c r="C102" t="s">
        <v>653</v>
      </c>
      <c r="D102" t="s">
        <v>1474</v>
      </c>
      <c r="E102" t="s">
        <v>1514</v>
      </c>
    </row>
    <row r="103" spans="1:5" x14ac:dyDescent="0.25">
      <c r="A103" t="s">
        <v>1421</v>
      </c>
      <c r="B103" t="s">
        <v>1425</v>
      </c>
      <c r="C103" t="s">
        <v>653</v>
      </c>
      <c r="D103" t="s">
        <v>1474</v>
      </c>
      <c r="E103" t="s">
        <v>88</v>
      </c>
    </row>
    <row r="104" spans="1:5" x14ac:dyDescent="0.25">
      <c r="A104" t="s">
        <v>75</v>
      </c>
      <c r="B104" t="s">
        <v>45</v>
      </c>
      <c r="C104" t="s">
        <v>653</v>
      </c>
      <c r="D104" t="s">
        <v>1474</v>
      </c>
      <c r="E104" t="s">
        <v>1515</v>
      </c>
    </row>
    <row r="105" spans="1:5" x14ac:dyDescent="0.25">
      <c r="A105" t="s">
        <v>79</v>
      </c>
      <c r="B105" t="s">
        <v>1398</v>
      </c>
      <c r="C105" t="s">
        <v>88</v>
      </c>
      <c r="D105" t="s">
        <v>1273</v>
      </c>
      <c r="E105" t="s">
        <v>88</v>
      </c>
    </row>
    <row r="106" spans="1:5" x14ac:dyDescent="0.25">
      <c r="A106" t="s">
        <v>426</v>
      </c>
      <c r="B106" t="s">
        <v>427</v>
      </c>
      <c r="C106" t="s">
        <v>653</v>
      </c>
      <c r="D106" t="s">
        <v>1474</v>
      </c>
      <c r="E106" t="s">
        <v>1478</v>
      </c>
    </row>
    <row r="107" spans="1:5" x14ac:dyDescent="0.25">
      <c r="A107" t="s">
        <v>428</v>
      </c>
      <c r="B107" t="s">
        <v>429</v>
      </c>
      <c r="C107" t="s">
        <v>88</v>
      </c>
      <c r="D107" t="s">
        <v>1273</v>
      </c>
      <c r="E107" t="s">
        <v>88</v>
      </c>
    </row>
    <row r="108" spans="1:5" x14ac:dyDescent="0.25">
      <c r="A108" t="s">
        <v>143</v>
      </c>
      <c r="B108" t="s">
        <v>144</v>
      </c>
      <c r="C108" t="s">
        <v>88</v>
      </c>
      <c r="D108" t="s">
        <v>1273</v>
      </c>
      <c r="E108" t="s">
        <v>88</v>
      </c>
    </row>
    <row r="109" spans="1:5" x14ac:dyDescent="0.25">
      <c r="A109" t="s">
        <v>145</v>
      </c>
      <c r="B109" t="s">
        <v>146</v>
      </c>
      <c r="C109" t="s">
        <v>88</v>
      </c>
      <c r="D109" t="s">
        <v>1273</v>
      </c>
      <c r="E109" t="s">
        <v>88</v>
      </c>
    </row>
    <row r="110" spans="1:5" x14ac:dyDescent="0.25">
      <c r="A110" t="s">
        <v>147</v>
      </c>
      <c r="B110" t="s">
        <v>148</v>
      </c>
      <c r="C110" t="s">
        <v>88</v>
      </c>
      <c r="D110" t="s">
        <v>1273</v>
      </c>
      <c r="E110" t="s">
        <v>88</v>
      </c>
    </row>
    <row r="111" spans="1:5" x14ac:dyDescent="0.25">
      <c r="A111" t="s">
        <v>430</v>
      </c>
      <c r="B111" t="s">
        <v>431</v>
      </c>
      <c r="C111" t="s">
        <v>653</v>
      </c>
      <c r="D111" t="s">
        <v>1474</v>
      </c>
      <c r="E111" t="s">
        <v>1513</v>
      </c>
    </row>
    <row r="112" spans="1:5" x14ac:dyDescent="0.25">
      <c r="A112" t="s">
        <v>432</v>
      </c>
      <c r="B112" t="s">
        <v>433</v>
      </c>
      <c r="C112" t="s">
        <v>653</v>
      </c>
      <c r="D112" t="s">
        <v>1474</v>
      </c>
      <c r="E112" t="s">
        <v>1480</v>
      </c>
    </row>
    <row r="113" spans="1:5" x14ac:dyDescent="0.25">
      <c r="A113" t="s">
        <v>434</v>
      </c>
      <c r="B113" t="s">
        <v>435</v>
      </c>
      <c r="C113" t="s">
        <v>88</v>
      </c>
      <c r="D113" t="s">
        <v>1273</v>
      </c>
      <c r="E113" t="s">
        <v>88</v>
      </c>
    </row>
    <row r="114" spans="1:5" x14ac:dyDescent="0.25">
      <c r="A114" t="s">
        <v>436</v>
      </c>
      <c r="B114" t="s">
        <v>437</v>
      </c>
      <c r="C114" t="s">
        <v>88</v>
      </c>
      <c r="D114" t="s">
        <v>1273</v>
      </c>
      <c r="E114" t="s">
        <v>88</v>
      </c>
    </row>
    <row r="115" spans="1:5" x14ac:dyDescent="0.25">
      <c r="A115" t="s">
        <v>438</v>
      </c>
      <c r="B115" t="s">
        <v>439</v>
      </c>
      <c r="C115" t="s">
        <v>653</v>
      </c>
      <c r="D115" t="s">
        <v>1474</v>
      </c>
      <c r="E115" t="s">
        <v>1516</v>
      </c>
    </row>
    <row r="116" spans="1:5" x14ac:dyDescent="0.25">
      <c r="A116" t="s">
        <v>440</v>
      </c>
      <c r="B116" t="s">
        <v>1390</v>
      </c>
      <c r="C116" t="s">
        <v>88</v>
      </c>
      <c r="D116" t="s">
        <v>1273</v>
      </c>
      <c r="E116" t="s">
        <v>88</v>
      </c>
    </row>
    <row r="117" spans="1:5" x14ac:dyDescent="0.25">
      <c r="A117" t="s">
        <v>278</v>
      </c>
      <c r="B117" t="s">
        <v>279</v>
      </c>
      <c r="C117" t="s">
        <v>88</v>
      </c>
      <c r="D117" t="s">
        <v>1273</v>
      </c>
      <c r="E117" t="s">
        <v>88</v>
      </c>
    </row>
    <row r="118" spans="1:5" x14ac:dyDescent="0.25">
      <c r="A118" t="s">
        <v>441</v>
      </c>
      <c r="B118" t="s">
        <v>442</v>
      </c>
      <c r="C118" t="s">
        <v>88</v>
      </c>
      <c r="D118" t="s">
        <v>1273</v>
      </c>
      <c r="E118" t="s">
        <v>88</v>
      </c>
    </row>
    <row r="119" spans="1:5" x14ac:dyDescent="0.25">
      <c r="A119" t="s">
        <v>149</v>
      </c>
      <c r="B119" t="s">
        <v>150</v>
      </c>
      <c r="C119" t="s">
        <v>88</v>
      </c>
      <c r="D119" t="s">
        <v>1273</v>
      </c>
      <c r="E119" t="s">
        <v>88</v>
      </c>
    </row>
    <row r="120" spans="1:5" x14ac:dyDescent="0.25">
      <c r="A120" t="s">
        <v>280</v>
      </c>
      <c r="B120" t="s">
        <v>281</v>
      </c>
      <c r="C120" t="s">
        <v>88</v>
      </c>
      <c r="D120" t="s">
        <v>1273</v>
      </c>
      <c r="E120" t="s">
        <v>88</v>
      </c>
    </row>
    <row r="121" spans="1:5" x14ac:dyDescent="0.25">
      <c r="A121" t="s">
        <v>443</v>
      </c>
      <c r="B121" t="s">
        <v>444</v>
      </c>
      <c r="C121" t="s">
        <v>653</v>
      </c>
      <c r="D121" t="s">
        <v>1474</v>
      </c>
      <c r="E121" t="s">
        <v>1501</v>
      </c>
    </row>
    <row r="122" spans="1:5" x14ac:dyDescent="0.25">
      <c r="A122" t="s">
        <v>282</v>
      </c>
      <c r="B122" t="s">
        <v>283</v>
      </c>
      <c r="C122" t="s">
        <v>88</v>
      </c>
      <c r="D122" t="s">
        <v>1273</v>
      </c>
      <c r="E122" t="s">
        <v>88</v>
      </c>
    </row>
    <row r="123" spans="1:5" x14ac:dyDescent="0.25">
      <c r="A123" t="s">
        <v>445</v>
      </c>
      <c r="B123" t="s">
        <v>446</v>
      </c>
      <c r="C123" t="s">
        <v>653</v>
      </c>
      <c r="D123" t="s">
        <v>1474</v>
      </c>
      <c r="E123" t="s">
        <v>1431</v>
      </c>
    </row>
    <row r="124" spans="1:5" x14ac:dyDescent="0.25">
      <c r="A124" t="s">
        <v>151</v>
      </c>
      <c r="B124" t="s">
        <v>152</v>
      </c>
      <c r="C124" t="s">
        <v>88</v>
      </c>
      <c r="D124" t="s">
        <v>1273</v>
      </c>
      <c r="E124" t="s">
        <v>88</v>
      </c>
    </row>
    <row r="125" spans="1:5" x14ac:dyDescent="0.25">
      <c r="A125" t="s">
        <v>153</v>
      </c>
      <c r="B125" t="s">
        <v>154</v>
      </c>
      <c r="C125" t="s">
        <v>88</v>
      </c>
      <c r="D125" t="s">
        <v>1273</v>
      </c>
      <c r="E125" t="s">
        <v>88</v>
      </c>
    </row>
    <row r="126" spans="1:5" x14ac:dyDescent="0.25">
      <c r="A126" t="s">
        <v>155</v>
      </c>
      <c r="B126" t="s">
        <v>156</v>
      </c>
      <c r="C126" t="s">
        <v>88</v>
      </c>
      <c r="D126" t="s">
        <v>1273</v>
      </c>
      <c r="E126" t="s">
        <v>88</v>
      </c>
    </row>
    <row r="127" spans="1:5" x14ac:dyDescent="0.25">
      <c r="A127" t="s">
        <v>157</v>
      </c>
      <c r="B127" t="s">
        <v>158</v>
      </c>
      <c r="C127" t="s">
        <v>653</v>
      </c>
      <c r="D127" t="s">
        <v>1474</v>
      </c>
      <c r="E127" t="s">
        <v>1517</v>
      </c>
    </row>
    <row r="128" spans="1:5" x14ac:dyDescent="0.25">
      <c r="A128" t="s">
        <v>159</v>
      </c>
      <c r="B128" t="s">
        <v>160</v>
      </c>
      <c r="C128" t="s">
        <v>88</v>
      </c>
      <c r="D128" t="s">
        <v>1273</v>
      </c>
      <c r="E128" t="s">
        <v>88</v>
      </c>
    </row>
    <row r="129" spans="1:5" x14ac:dyDescent="0.25">
      <c r="A129" t="s">
        <v>447</v>
      </c>
      <c r="B129" t="s">
        <v>448</v>
      </c>
      <c r="C129" t="s">
        <v>653</v>
      </c>
      <c r="D129" t="s">
        <v>1474</v>
      </c>
      <c r="E129" t="s">
        <v>1518</v>
      </c>
    </row>
    <row r="130" spans="1:5" x14ac:dyDescent="0.25">
      <c r="A130" t="s">
        <v>449</v>
      </c>
      <c r="B130" t="s">
        <v>450</v>
      </c>
      <c r="C130" t="s">
        <v>653</v>
      </c>
      <c r="D130" t="s">
        <v>1474</v>
      </c>
      <c r="E130" t="s">
        <v>1519</v>
      </c>
    </row>
    <row r="131" spans="1:5" x14ac:dyDescent="0.25">
      <c r="A131" t="s">
        <v>451</v>
      </c>
      <c r="B131" t="s">
        <v>452</v>
      </c>
      <c r="C131" t="s">
        <v>653</v>
      </c>
      <c r="D131" t="s">
        <v>1474</v>
      </c>
      <c r="E131" t="s">
        <v>1478</v>
      </c>
    </row>
    <row r="132" spans="1:5" x14ac:dyDescent="0.25">
      <c r="A132" t="s">
        <v>453</v>
      </c>
      <c r="B132" t="s">
        <v>454</v>
      </c>
      <c r="C132" t="s">
        <v>653</v>
      </c>
      <c r="D132" t="s">
        <v>1474</v>
      </c>
      <c r="E132" t="s">
        <v>1520</v>
      </c>
    </row>
    <row r="133" spans="1:5" x14ac:dyDescent="0.25">
      <c r="A133" t="s">
        <v>76</v>
      </c>
      <c r="B133" t="s">
        <v>30</v>
      </c>
      <c r="C133" t="s">
        <v>88</v>
      </c>
      <c r="D133" t="s">
        <v>1273</v>
      </c>
      <c r="E133" t="s">
        <v>88</v>
      </c>
    </row>
    <row r="134" spans="1:5" x14ac:dyDescent="0.25">
      <c r="A134" t="s">
        <v>455</v>
      </c>
      <c r="B134" t="s">
        <v>456</v>
      </c>
      <c r="C134" t="s">
        <v>653</v>
      </c>
      <c r="D134" t="s">
        <v>1474</v>
      </c>
      <c r="E134" t="s">
        <v>1521</v>
      </c>
    </row>
    <row r="135" spans="1:5" x14ac:dyDescent="0.25">
      <c r="A135" t="s">
        <v>161</v>
      </c>
      <c r="B135" t="s">
        <v>162</v>
      </c>
      <c r="C135" t="s">
        <v>88</v>
      </c>
      <c r="D135" t="s">
        <v>1273</v>
      </c>
      <c r="E135" t="s">
        <v>88</v>
      </c>
    </row>
    <row r="136" spans="1:5" x14ac:dyDescent="0.25">
      <c r="A136" t="s">
        <v>457</v>
      </c>
      <c r="B136" t="s">
        <v>458</v>
      </c>
      <c r="C136" t="s">
        <v>653</v>
      </c>
      <c r="D136" t="s">
        <v>1474</v>
      </c>
      <c r="E136" t="s">
        <v>1522</v>
      </c>
    </row>
    <row r="137" spans="1:5" x14ac:dyDescent="0.25">
      <c r="A137" t="s">
        <v>459</v>
      </c>
      <c r="B137" t="s">
        <v>460</v>
      </c>
      <c r="C137" t="s">
        <v>88</v>
      </c>
      <c r="D137" t="s">
        <v>1273</v>
      </c>
      <c r="E137" t="s">
        <v>88</v>
      </c>
    </row>
    <row r="138" spans="1:5" x14ac:dyDescent="0.25">
      <c r="A138" t="s">
        <v>284</v>
      </c>
      <c r="B138" t="s">
        <v>285</v>
      </c>
      <c r="C138" t="s">
        <v>653</v>
      </c>
      <c r="D138" t="s">
        <v>1474</v>
      </c>
      <c r="E138" t="s">
        <v>1523</v>
      </c>
    </row>
    <row r="139" spans="1:5" x14ac:dyDescent="0.25">
      <c r="A139" t="s">
        <v>461</v>
      </c>
      <c r="B139" t="s">
        <v>462</v>
      </c>
      <c r="C139" t="s">
        <v>88</v>
      </c>
      <c r="D139" t="s">
        <v>1273</v>
      </c>
      <c r="E139" t="s">
        <v>88</v>
      </c>
    </row>
    <row r="140" spans="1:5" x14ac:dyDescent="0.25">
      <c r="A140" t="s">
        <v>463</v>
      </c>
      <c r="B140" t="s">
        <v>464</v>
      </c>
      <c r="C140" t="s">
        <v>653</v>
      </c>
      <c r="D140" t="s">
        <v>1474</v>
      </c>
      <c r="E140" t="s">
        <v>1524</v>
      </c>
    </row>
    <row r="141" spans="1:5" x14ac:dyDescent="0.25">
      <c r="A141" t="s">
        <v>163</v>
      </c>
      <c r="B141" t="s">
        <v>164</v>
      </c>
      <c r="C141" t="s">
        <v>88</v>
      </c>
      <c r="D141" t="s">
        <v>1273</v>
      </c>
      <c r="E141" t="s">
        <v>88</v>
      </c>
    </row>
    <row r="142" spans="1:5" x14ac:dyDescent="0.25">
      <c r="A142" t="s">
        <v>465</v>
      </c>
      <c r="B142" t="s">
        <v>466</v>
      </c>
      <c r="C142" t="s">
        <v>88</v>
      </c>
      <c r="D142" t="s">
        <v>1273</v>
      </c>
      <c r="E142" t="s">
        <v>88</v>
      </c>
    </row>
    <row r="143" spans="1:5" x14ac:dyDescent="0.25">
      <c r="A143" t="s">
        <v>165</v>
      </c>
      <c r="B143" t="s">
        <v>166</v>
      </c>
      <c r="C143" t="s">
        <v>88</v>
      </c>
      <c r="D143" t="s">
        <v>1273</v>
      </c>
      <c r="E143" t="s">
        <v>88</v>
      </c>
    </row>
    <row r="144" spans="1:5" x14ac:dyDescent="0.25">
      <c r="A144" t="s">
        <v>167</v>
      </c>
      <c r="B144" t="s">
        <v>168</v>
      </c>
      <c r="C144" t="s">
        <v>88</v>
      </c>
      <c r="D144" t="s">
        <v>1273</v>
      </c>
      <c r="E144" t="s">
        <v>88</v>
      </c>
    </row>
    <row r="145" spans="1:5" x14ac:dyDescent="0.25">
      <c r="A145" t="s">
        <v>169</v>
      </c>
      <c r="B145" t="s">
        <v>170</v>
      </c>
      <c r="C145" t="s">
        <v>88</v>
      </c>
      <c r="D145" t="s">
        <v>1273</v>
      </c>
      <c r="E145" t="s">
        <v>88</v>
      </c>
    </row>
    <row r="146" spans="1:5" x14ac:dyDescent="0.25">
      <c r="A146" t="s">
        <v>171</v>
      </c>
      <c r="B146" t="s">
        <v>172</v>
      </c>
      <c r="C146" t="s">
        <v>88</v>
      </c>
      <c r="D146" t="s">
        <v>1273</v>
      </c>
      <c r="E146" t="s">
        <v>88</v>
      </c>
    </row>
    <row r="147" spans="1:5" x14ac:dyDescent="0.25">
      <c r="A147" t="s">
        <v>467</v>
      </c>
      <c r="B147" t="s">
        <v>468</v>
      </c>
      <c r="C147" t="s">
        <v>653</v>
      </c>
      <c r="D147" t="s">
        <v>1474</v>
      </c>
      <c r="E147" t="s">
        <v>1525</v>
      </c>
    </row>
    <row r="148" spans="1:5" x14ac:dyDescent="0.25">
      <c r="A148" t="s">
        <v>469</v>
      </c>
      <c r="B148" t="s">
        <v>470</v>
      </c>
      <c r="C148" t="s">
        <v>653</v>
      </c>
      <c r="D148" t="s">
        <v>1474</v>
      </c>
      <c r="E148" t="s">
        <v>1526</v>
      </c>
    </row>
    <row r="149" spans="1:5" x14ac:dyDescent="0.25">
      <c r="A149" t="s">
        <v>173</v>
      </c>
      <c r="B149" t="s">
        <v>174</v>
      </c>
      <c r="C149" t="s">
        <v>88</v>
      </c>
      <c r="D149" t="s">
        <v>1273</v>
      </c>
      <c r="E149" t="s">
        <v>88</v>
      </c>
    </row>
    <row r="150" spans="1:5" x14ac:dyDescent="0.25">
      <c r="A150" t="s">
        <v>471</v>
      </c>
      <c r="B150" t="s">
        <v>472</v>
      </c>
      <c r="C150" t="s">
        <v>88</v>
      </c>
      <c r="D150" t="s">
        <v>1273</v>
      </c>
      <c r="E150" t="s">
        <v>88</v>
      </c>
    </row>
    <row r="151" spans="1:5" x14ac:dyDescent="0.25">
      <c r="A151" t="s">
        <v>473</v>
      </c>
      <c r="B151" t="s">
        <v>474</v>
      </c>
      <c r="C151" t="s">
        <v>88</v>
      </c>
      <c r="D151" t="s">
        <v>1273</v>
      </c>
      <c r="E151" t="s">
        <v>88</v>
      </c>
    </row>
    <row r="152" spans="1:5" x14ac:dyDescent="0.25">
      <c r="A152" t="s">
        <v>475</v>
      </c>
      <c r="B152" t="s">
        <v>476</v>
      </c>
      <c r="C152" t="s">
        <v>653</v>
      </c>
      <c r="D152" t="s">
        <v>1474</v>
      </c>
      <c r="E152" t="s">
        <v>1527</v>
      </c>
    </row>
    <row r="153" spans="1:5" x14ac:dyDescent="0.25">
      <c r="A153" t="s">
        <v>477</v>
      </c>
      <c r="B153" t="s">
        <v>478</v>
      </c>
      <c r="C153" t="s">
        <v>88</v>
      </c>
      <c r="D153" t="s">
        <v>1273</v>
      </c>
      <c r="E153" t="s">
        <v>88</v>
      </c>
    </row>
    <row r="154" spans="1:5" x14ac:dyDescent="0.25">
      <c r="A154" t="s">
        <v>479</v>
      </c>
      <c r="B154" t="s">
        <v>480</v>
      </c>
      <c r="C154" t="s">
        <v>88</v>
      </c>
      <c r="D154" t="s">
        <v>1273</v>
      </c>
      <c r="E154" t="s">
        <v>88</v>
      </c>
    </row>
    <row r="155" spans="1:5" x14ac:dyDescent="0.25">
      <c r="A155" t="s">
        <v>481</v>
      </c>
      <c r="B155" t="s">
        <v>482</v>
      </c>
      <c r="C155" t="s">
        <v>88</v>
      </c>
      <c r="D155" t="s">
        <v>1273</v>
      </c>
      <c r="E155" t="s">
        <v>88</v>
      </c>
    </row>
    <row r="156" spans="1:5" x14ac:dyDescent="0.25">
      <c r="A156" t="s">
        <v>175</v>
      </c>
      <c r="B156" t="s">
        <v>176</v>
      </c>
      <c r="C156" t="s">
        <v>88</v>
      </c>
      <c r="D156" t="s">
        <v>1273</v>
      </c>
      <c r="E156" t="s">
        <v>88</v>
      </c>
    </row>
    <row r="157" spans="1:5" x14ac:dyDescent="0.25">
      <c r="A157" t="s">
        <v>483</v>
      </c>
      <c r="B157" t="s">
        <v>484</v>
      </c>
      <c r="C157" t="s">
        <v>88</v>
      </c>
      <c r="D157" t="s">
        <v>1273</v>
      </c>
      <c r="E157" t="s">
        <v>88</v>
      </c>
    </row>
    <row r="158" spans="1:5" x14ac:dyDescent="0.25">
      <c r="A158" t="s">
        <v>286</v>
      </c>
      <c r="B158" t="s">
        <v>287</v>
      </c>
      <c r="C158" t="s">
        <v>88</v>
      </c>
      <c r="D158" t="s">
        <v>1273</v>
      </c>
      <c r="E158" t="s">
        <v>88</v>
      </c>
    </row>
    <row r="159" spans="1:5" x14ac:dyDescent="0.25">
      <c r="A159" t="s">
        <v>485</v>
      </c>
      <c r="B159" t="s">
        <v>486</v>
      </c>
      <c r="C159" t="s">
        <v>88</v>
      </c>
      <c r="D159" t="s">
        <v>1273</v>
      </c>
      <c r="E159" t="s">
        <v>88</v>
      </c>
    </row>
    <row r="160" spans="1:5" x14ac:dyDescent="0.25">
      <c r="A160" t="s">
        <v>487</v>
      </c>
      <c r="B160" t="s">
        <v>488</v>
      </c>
      <c r="C160" t="s">
        <v>88</v>
      </c>
      <c r="D160" t="s">
        <v>1273</v>
      </c>
      <c r="E160" t="s">
        <v>88</v>
      </c>
    </row>
    <row r="161" spans="1:5" x14ac:dyDescent="0.25">
      <c r="A161" t="s">
        <v>489</v>
      </c>
      <c r="B161" t="s">
        <v>490</v>
      </c>
      <c r="C161" t="s">
        <v>88</v>
      </c>
      <c r="D161" t="s">
        <v>1273</v>
      </c>
      <c r="E161" t="s">
        <v>88</v>
      </c>
    </row>
    <row r="162" spans="1:5" x14ac:dyDescent="0.25">
      <c r="A162" t="s">
        <v>491</v>
      </c>
      <c r="B162" t="s">
        <v>492</v>
      </c>
      <c r="C162" t="s">
        <v>653</v>
      </c>
      <c r="D162" t="s">
        <v>1474</v>
      </c>
      <c r="E162" t="s">
        <v>1528</v>
      </c>
    </row>
    <row r="163" spans="1:5" x14ac:dyDescent="0.25">
      <c r="A163" t="s">
        <v>493</v>
      </c>
      <c r="B163" t="s">
        <v>494</v>
      </c>
      <c r="C163" t="s">
        <v>653</v>
      </c>
      <c r="D163" t="s">
        <v>1474</v>
      </c>
      <c r="E163" t="s">
        <v>1529</v>
      </c>
    </row>
    <row r="164" spans="1:5" x14ac:dyDescent="0.25">
      <c r="A164" t="s">
        <v>495</v>
      </c>
      <c r="B164" t="s">
        <v>496</v>
      </c>
      <c r="C164" t="s">
        <v>88</v>
      </c>
      <c r="D164" t="s">
        <v>1273</v>
      </c>
      <c r="E164" t="s">
        <v>88</v>
      </c>
    </row>
    <row r="165" spans="1:5" x14ac:dyDescent="0.25">
      <c r="A165" t="s">
        <v>177</v>
      </c>
      <c r="B165" t="s">
        <v>178</v>
      </c>
      <c r="C165" t="s">
        <v>88</v>
      </c>
      <c r="D165" t="s">
        <v>1273</v>
      </c>
      <c r="E165" t="s">
        <v>88</v>
      </c>
    </row>
    <row r="166" spans="1:5" x14ac:dyDescent="0.25">
      <c r="A166" t="s">
        <v>497</v>
      </c>
      <c r="B166" t="s">
        <v>498</v>
      </c>
      <c r="C166" t="s">
        <v>653</v>
      </c>
      <c r="D166" t="s">
        <v>1474</v>
      </c>
      <c r="E166" t="s">
        <v>1530</v>
      </c>
    </row>
    <row r="167" spans="1:5" x14ac:dyDescent="0.25">
      <c r="A167" t="s">
        <v>499</v>
      </c>
      <c r="B167" t="s">
        <v>500</v>
      </c>
      <c r="C167" t="s">
        <v>88</v>
      </c>
      <c r="D167" t="s">
        <v>1273</v>
      </c>
      <c r="E167" t="s">
        <v>88</v>
      </c>
    </row>
    <row r="168" spans="1:5" x14ac:dyDescent="0.25">
      <c r="A168" t="s">
        <v>179</v>
      </c>
      <c r="B168" t="s">
        <v>180</v>
      </c>
      <c r="C168" t="s">
        <v>88</v>
      </c>
      <c r="D168" t="s">
        <v>1273</v>
      </c>
      <c r="E168" t="s">
        <v>88</v>
      </c>
    </row>
    <row r="169" spans="1:5" x14ac:dyDescent="0.25">
      <c r="A169" t="s">
        <v>501</v>
      </c>
      <c r="B169" t="s">
        <v>502</v>
      </c>
      <c r="C169" t="s">
        <v>653</v>
      </c>
      <c r="D169" t="s">
        <v>1474</v>
      </c>
      <c r="E169" t="s">
        <v>1531</v>
      </c>
    </row>
    <row r="170" spans="1:5" x14ac:dyDescent="0.25">
      <c r="A170" t="s">
        <v>503</v>
      </c>
      <c r="B170" t="s">
        <v>504</v>
      </c>
      <c r="C170" t="s">
        <v>653</v>
      </c>
      <c r="D170" t="s">
        <v>1474</v>
      </c>
      <c r="E170" t="s">
        <v>1517</v>
      </c>
    </row>
    <row r="171" spans="1:5" x14ac:dyDescent="0.25">
      <c r="A171" t="s">
        <v>181</v>
      </c>
      <c r="B171" t="s">
        <v>182</v>
      </c>
      <c r="C171" t="s">
        <v>88</v>
      </c>
      <c r="D171" t="s">
        <v>1273</v>
      </c>
      <c r="E171" t="s">
        <v>88</v>
      </c>
    </row>
    <row r="172" spans="1:5" x14ac:dyDescent="0.25">
      <c r="A172" t="s">
        <v>505</v>
      </c>
      <c r="B172" t="s">
        <v>506</v>
      </c>
      <c r="C172" t="s">
        <v>653</v>
      </c>
      <c r="D172" t="s">
        <v>1474</v>
      </c>
      <c r="E172" t="s">
        <v>1532</v>
      </c>
    </row>
    <row r="173" spans="1:5" x14ac:dyDescent="0.25">
      <c r="A173" t="s">
        <v>183</v>
      </c>
      <c r="B173" t="s">
        <v>184</v>
      </c>
      <c r="C173" t="s">
        <v>88</v>
      </c>
      <c r="D173" t="s">
        <v>1273</v>
      </c>
      <c r="E173" t="s">
        <v>88</v>
      </c>
    </row>
    <row r="174" spans="1:5" x14ac:dyDescent="0.25">
      <c r="A174" t="s">
        <v>185</v>
      </c>
      <c r="B174" t="s">
        <v>186</v>
      </c>
      <c r="C174" t="s">
        <v>88</v>
      </c>
      <c r="D174" t="s">
        <v>1273</v>
      </c>
      <c r="E174" t="s">
        <v>88</v>
      </c>
    </row>
    <row r="175" spans="1:5" x14ac:dyDescent="0.25">
      <c r="A175" t="s">
        <v>187</v>
      </c>
      <c r="B175" t="s">
        <v>188</v>
      </c>
      <c r="C175" t="s">
        <v>88</v>
      </c>
      <c r="D175" t="s">
        <v>1273</v>
      </c>
      <c r="E175" t="s">
        <v>88</v>
      </c>
    </row>
    <row r="176" spans="1:5" x14ac:dyDescent="0.25">
      <c r="A176" t="s">
        <v>507</v>
      </c>
      <c r="B176" t="s">
        <v>508</v>
      </c>
      <c r="C176" t="s">
        <v>88</v>
      </c>
      <c r="D176" t="s">
        <v>1273</v>
      </c>
      <c r="E176" t="s">
        <v>88</v>
      </c>
    </row>
    <row r="177" spans="1:5" x14ac:dyDescent="0.25">
      <c r="A177" t="s">
        <v>509</v>
      </c>
      <c r="B177" t="s">
        <v>510</v>
      </c>
      <c r="C177" t="s">
        <v>653</v>
      </c>
      <c r="D177" t="s">
        <v>1474</v>
      </c>
      <c r="E177" t="s">
        <v>1533</v>
      </c>
    </row>
    <row r="178" spans="1:5" x14ac:dyDescent="0.25">
      <c r="A178" t="s">
        <v>511</v>
      </c>
      <c r="B178" t="s">
        <v>512</v>
      </c>
      <c r="C178" t="s">
        <v>653</v>
      </c>
      <c r="D178" t="s">
        <v>1474</v>
      </c>
      <c r="E178" t="s">
        <v>1534</v>
      </c>
    </row>
    <row r="179" spans="1:5" x14ac:dyDescent="0.25">
      <c r="A179" t="s">
        <v>288</v>
      </c>
      <c r="B179" t="s">
        <v>289</v>
      </c>
      <c r="C179" t="s">
        <v>88</v>
      </c>
      <c r="D179" t="s">
        <v>1273</v>
      </c>
      <c r="E179" t="s">
        <v>88</v>
      </c>
    </row>
    <row r="180" spans="1:5" x14ac:dyDescent="0.25">
      <c r="A180" t="s">
        <v>513</v>
      </c>
      <c r="B180" t="s">
        <v>514</v>
      </c>
      <c r="C180" t="s">
        <v>653</v>
      </c>
      <c r="D180" t="s">
        <v>1474</v>
      </c>
      <c r="E180" t="s">
        <v>1535</v>
      </c>
    </row>
    <row r="181" spans="1:5" x14ac:dyDescent="0.25">
      <c r="A181" t="s">
        <v>189</v>
      </c>
      <c r="B181" t="s">
        <v>190</v>
      </c>
      <c r="C181" t="s">
        <v>88</v>
      </c>
      <c r="D181" t="s">
        <v>1273</v>
      </c>
      <c r="E181" t="s">
        <v>88</v>
      </c>
    </row>
    <row r="182" spans="1:5" x14ac:dyDescent="0.25">
      <c r="A182" t="s">
        <v>515</v>
      </c>
      <c r="B182" t="s">
        <v>516</v>
      </c>
      <c r="C182" t="s">
        <v>653</v>
      </c>
      <c r="D182" t="s">
        <v>1474</v>
      </c>
      <c r="E182" t="s">
        <v>1536</v>
      </c>
    </row>
    <row r="183" spans="1:5" x14ac:dyDescent="0.25">
      <c r="A183" t="s">
        <v>517</v>
      </c>
      <c r="B183" t="s">
        <v>518</v>
      </c>
      <c r="C183" t="s">
        <v>88</v>
      </c>
      <c r="D183" t="s">
        <v>1273</v>
      </c>
      <c r="E183" t="s">
        <v>88</v>
      </c>
    </row>
    <row r="184" spans="1:5" x14ac:dyDescent="0.25">
      <c r="A184" t="s">
        <v>519</v>
      </c>
      <c r="B184" t="s">
        <v>520</v>
      </c>
      <c r="C184" t="s">
        <v>653</v>
      </c>
      <c r="D184" t="s">
        <v>1474</v>
      </c>
      <c r="E184" t="s">
        <v>1485</v>
      </c>
    </row>
    <row r="185" spans="1:5" x14ac:dyDescent="0.25">
      <c r="A185" t="s">
        <v>521</v>
      </c>
      <c r="B185" t="s">
        <v>522</v>
      </c>
      <c r="C185" t="s">
        <v>88</v>
      </c>
      <c r="D185" t="s">
        <v>1273</v>
      </c>
      <c r="E185" t="s">
        <v>88</v>
      </c>
    </row>
    <row r="186" spans="1:5" x14ac:dyDescent="0.25">
      <c r="A186" t="s">
        <v>290</v>
      </c>
      <c r="B186" t="s">
        <v>291</v>
      </c>
      <c r="C186" t="s">
        <v>88</v>
      </c>
      <c r="D186" t="s">
        <v>1273</v>
      </c>
      <c r="E186" t="s">
        <v>88</v>
      </c>
    </row>
    <row r="187" spans="1:5" x14ac:dyDescent="0.25">
      <c r="A187" t="s">
        <v>523</v>
      </c>
      <c r="B187" t="s">
        <v>524</v>
      </c>
      <c r="C187" t="s">
        <v>653</v>
      </c>
      <c r="D187" t="s">
        <v>1474</v>
      </c>
      <c r="E187" t="s">
        <v>1537</v>
      </c>
    </row>
    <row r="188" spans="1:5" x14ac:dyDescent="0.25">
      <c r="A188" t="s">
        <v>525</v>
      </c>
      <c r="B188" t="s">
        <v>526</v>
      </c>
      <c r="C188" t="s">
        <v>88</v>
      </c>
      <c r="D188" t="s">
        <v>1273</v>
      </c>
      <c r="E188" t="s">
        <v>88</v>
      </c>
    </row>
    <row r="189" spans="1:5" x14ac:dyDescent="0.25">
      <c r="A189" t="s">
        <v>527</v>
      </c>
      <c r="B189" t="s">
        <v>528</v>
      </c>
      <c r="C189" t="s">
        <v>653</v>
      </c>
      <c r="D189" t="s">
        <v>1474</v>
      </c>
      <c r="E189" t="s">
        <v>1538</v>
      </c>
    </row>
    <row r="190" spans="1:5" x14ac:dyDescent="0.25">
      <c r="A190" t="s">
        <v>292</v>
      </c>
      <c r="B190" t="s">
        <v>293</v>
      </c>
      <c r="C190" t="s">
        <v>88</v>
      </c>
      <c r="D190" t="s">
        <v>1273</v>
      </c>
      <c r="E190" t="s">
        <v>88</v>
      </c>
    </row>
    <row r="191" spans="1:5" x14ac:dyDescent="0.25">
      <c r="A191" t="s">
        <v>529</v>
      </c>
      <c r="B191" t="s">
        <v>530</v>
      </c>
      <c r="C191" t="s">
        <v>653</v>
      </c>
      <c r="D191" t="s">
        <v>1474</v>
      </c>
      <c r="E191" t="s">
        <v>1539</v>
      </c>
    </row>
    <row r="192" spans="1:5" x14ac:dyDescent="0.25">
      <c r="A192" t="s">
        <v>531</v>
      </c>
      <c r="B192" t="s">
        <v>532</v>
      </c>
      <c r="C192" t="s">
        <v>88</v>
      </c>
      <c r="D192" t="s">
        <v>1273</v>
      </c>
      <c r="E192" t="s">
        <v>88</v>
      </c>
    </row>
    <row r="193" spans="1:5" x14ac:dyDescent="0.25">
      <c r="A193" t="s">
        <v>533</v>
      </c>
      <c r="B193" t="s">
        <v>534</v>
      </c>
      <c r="C193" t="s">
        <v>88</v>
      </c>
      <c r="D193" t="s">
        <v>1273</v>
      </c>
      <c r="E193" t="s">
        <v>88</v>
      </c>
    </row>
    <row r="194" spans="1:5" x14ac:dyDescent="0.25">
      <c r="A194" t="s">
        <v>651</v>
      </c>
      <c r="B194" t="s">
        <v>652</v>
      </c>
      <c r="C194" t="s">
        <v>653</v>
      </c>
      <c r="D194" t="s">
        <v>1474</v>
      </c>
      <c r="E194" t="s">
        <v>1544</v>
      </c>
    </row>
    <row r="195" spans="1:5" x14ac:dyDescent="0.25">
      <c r="A195" t="s">
        <v>535</v>
      </c>
      <c r="B195" t="s">
        <v>536</v>
      </c>
      <c r="C195" t="s">
        <v>653</v>
      </c>
      <c r="D195" t="s">
        <v>1474</v>
      </c>
      <c r="E195" t="s">
        <v>1540</v>
      </c>
    </row>
    <row r="196" spans="1:5" x14ac:dyDescent="0.25">
      <c r="A196" t="s">
        <v>537</v>
      </c>
      <c r="B196" t="s">
        <v>538</v>
      </c>
      <c r="C196" t="s">
        <v>653</v>
      </c>
      <c r="D196" t="s">
        <v>1474</v>
      </c>
      <c r="E196" t="s">
        <v>1541</v>
      </c>
    </row>
    <row r="197" spans="1:5" x14ac:dyDescent="0.25">
      <c r="A197" t="s">
        <v>191</v>
      </c>
      <c r="B197" t="s">
        <v>192</v>
      </c>
      <c r="C197" t="s">
        <v>88</v>
      </c>
      <c r="D197" t="s">
        <v>1273</v>
      </c>
      <c r="E197" t="s">
        <v>88</v>
      </c>
    </row>
    <row r="198" spans="1:5" x14ac:dyDescent="0.25">
      <c r="A198" t="s">
        <v>294</v>
      </c>
      <c r="B198" t="s">
        <v>295</v>
      </c>
      <c r="C198" t="s">
        <v>88</v>
      </c>
      <c r="D198" t="s">
        <v>1273</v>
      </c>
      <c r="E198" t="s">
        <v>88</v>
      </c>
    </row>
    <row r="199" spans="1:5" x14ac:dyDescent="0.25">
      <c r="A199" t="s">
        <v>193</v>
      </c>
      <c r="B199" t="s">
        <v>194</v>
      </c>
      <c r="C199" t="s">
        <v>88</v>
      </c>
      <c r="D199" t="s">
        <v>1273</v>
      </c>
      <c r="E199" t="s">
        <v>88</v>
      </c>
    </row>
    <row r="200" spans="1:5" x14ac:dyDescent="0.25">
      <c r="A200" t="s">
        <v>83</v>
      </c>
      <c r="B200" t="s">
        <v>1399</v>
      </c>
      <c r="C200" t="s">
        <v>88</v>
      </c>
      <c r="D200" t="s">
        <v>1273</v>
      </c>
      <c r="E200" t="s">
        <v>88</v>
      </c>
    </row>
    <row r="201" spans="1:5" x14ac:dyDescent="0.25">
      <c r="A201" t="s">
        <v>539</v>
      </c>
      <c r="B201" t="s">
        <v>540</v>
      </c>
      <c r="C201" t="s">
        <v>88</v>
      </c>
      <c r="D201" t="s">
        <v>1273</v>
      </c>
      <c r="E201" t="s">
        <v>88</v>
      </c>
    </row>
    <row r="202" spans="1:5" x14ac:dyDescent="0.25">
      <c r="A202" t="s">
        <v>541</v>
      </c>
      <c r="B202" t="s">
        <v>542</v>
      </c>
      <c r="C202" t="s">
        <v>653</v>
      </c>
      <c r="D202" t="s">
        <v>1474</v>
      </c>
      <c r="E202" t="s">
        <v>1478</v>
      </c>
    </row>
    <row r="203" spans="1:5" x14ac:dyDescent="0.25">
      <c r="A203" t="s">
        <v>543</v>
      </c>
      <c r="B203" t="s">
        <v>544</v>
      </c>
      <c r="C203" t="s">
        <v>88</v>
      </c>
      <c r="D203" t="s">
        <v>1273</v>
      </c>
      <c r="E203" t="s">
        <v>88</v>
      </c>
    </row>
    <row r="204" spans="1:5" x14ac:dyDescent="0.25">
      <c r="A204" t="s">
        <v>545</v>
      </c>
      <c r="B204" t="s">
        <v>546</v>
      </c>
      <c r="C204" t="s">
        <v>653</v>
      </c>
      <c r="D204" t="s">
        <v>1474</v>
      </c>
      <c r="E204" t="s">
        <v>1542</v>
      </c>
    </row>
    <row r="205" spans="1:5" x14ac:dyDescent="0.25">
      <c r="A205" t="s">
        <v>547</v>
      </c>
      <c r="B205" t="s">
        <v>548</v>
      </c>
      <c r="C205" t="s">
        <v>653</v>
      </c>
      <c r="D205" t="s">
        <v>1474</v>
      </c>
      <c r="E205" t="s">
        <v>1543</v>
      </c>
    </row>
    <row r="206" spans="1:5" x14ac:dyDescent="0.25">
      <c r="A206" t="s">
        <v>77</v>
      </c>
      <c r="B206" t="s">
        <v>34</v>
      </c>
      <c r="C206" t="s">
        <v>88</v>
      </c>
      <c r="D206" t="s">
        <v>1273</v>
      </c>
      <c r="E206" t="s">
        <v>88</v>
      </c>
    </row>
    <row r="207" spans="1:5" x14ac:dyDescent="0.25">
      <c r="A207" t="s">
        <v>549</v>
      </c>
      <c r="B207" t="s">
        <v>550</v>
      </c>
      <c r="C207" t="s">
        <v>88</v>
      </c>
      <c r="D207" t="s">
        <v>1273</v>
      </c>
      <c r="E207" t="s">
        <v>88</v>
      </c>
    </row>
    <row r="208" spans="1:5" x14ac:dyDescent="0.25">
      <c r="A208" t="s">
        <v>58</v>
      </c>
      <c r="B208" t="s">
        <v>1426</v>
      </c>
      <c r="C208" t="s">
        <v>88</v>
      </c>
      <c r="D208" t="s">
        <v>1273</v>
      </c>
      <c r="E208" t="s">
        <v>88</v>
      </c>
    </row>
    <row r="209" spans="1:5" x14ac:dyDescent="0.25">
      <c r="A209" t="s">
        <v>195</v>
      </c>
      <c r="B209" t="s">
        <v>196</v>
      </c>
      <c r="C209" t="s">
        <v>88</v>
      </c>
      <c r="D209" t="s">
        <v>1273</v>
      </c>
      <c r="E209" t="s">
        <v>88</v>
      </c>
    </row>
    <row r="210" spans="1:5" x14ac:dyDescent="0.25">
      <c r="A210" t="s">
        <v>551</v>
      </c>
      <c r="B210" t="s">
        <v>552</v>
      </c>
      <c r="C210" t="s">
        <v>88</v>
      </c>
      <c r="D210" t="s">
        <v>1273</v>
      </c>
      <c r="E210" t="s">
        <v>88</v>
      </c>
    </row>
    <row r="211" spans="1:5" x14ac:dyDescent="0.25">
      <c r="A211" t="s">
        <v>553</v>
      </c>
      <c r="B211" t="s">
        <v>554</v>
      </c>
      <c r="C211" t="s">
        <v>653</v>
      </c>
      <c r="D211" t="s">
        <v>1474</v>
      </c>
      <c r="E211" t="s">
        <v>1545</v>
      </c>
    </row>
    <row r="212" spans="1:5" x14ac:dyDescent="0.25">
      <c r="A212" t="s">
        <v>555</v>
      </c>
      <c r="B212" t="s">
        <v>556</v>
      </c>
      <c r="C212" t="s">
        <v>653</v>
      </c>
      <c r="D212" t="s">
        <v>1474</v>
      </c>
      <c r="E212" t="s">
        <v>1546</v>
      </c>
    </row>
    <row r="213" spans="1:5" x14ac:dyDescent="0.25">
      <c r="A213" t="s">
        <v>557</v>
      </c>
      <c r="B213" t="s">
        <v>558</v>
      </c>
      <c r="C213" t="s">
        <v>88</v>
      </c>
      <c r="D213" t="s">
        <v>1273</v>
      </c>
      <c r="E213" t="s">
        <v>88</v>
      </c>
    </row>
    <row r="214" spans="1:5" x14ac:dyDescent="0.25">
      <c r="A214" t="s">
        <v>69</v>
      </c>
      <c r="B214" t="s">
        <v>16</v>
      </c>
      <c r="C214" t="s">
        <v>653</v>
      </c>
      <c r="D214" t="s">
        <v>1474</v>
      </c>
      <c r="E214" t="s">
        <v>1510</v>
      </c>
    </row>
    <row r="215" spans="1:5" x14ac:dyDescent="0.25">
      <c r="A215" t="s">
        <v>197</v>
      </c>
      <c r="B215" t="s">
        <v>198</v>
      </c>
      <c r="C215" t="s">
        <v>88</v>
      </c>
      <c r="D215" t="s">
        <v>1273</v>
      </c>
      <c r="E215" t="s">
        <v>88</v>
      </c>
    </row>
    <row r="216" spans="1:5" x14ac:dyDescent="0.25">
      <c r="A216" t="s">
        <v>71</v>
      </c>
      <c r="B216" t="s">
        <v>22</v>
      </c>
      <c r="C216" t="s">
        <v>88</v>
      </c>
      <c r="D216" t="s">
        <v>1273</v>
      </c>
      <c r="E216" t="s">
        <v>88</v>
      </c>
    </row>
    <row r="217" spans="1:5" x14ac:dyDescent="0.25">
      <c r="A217" t="s">
        <v>559</v>
      </c>
      <c r="B217" t="s">
        <v>560</v>
      </c>
      <c r="C217" t="s">
        <v>653</v>
      </c>
      <c r="D217" t="s">
        <v>1474</v>
      </c>
      <c r="E217" t="s">
        <v>1547</v>
      </c>
    </row>
    <row r="218" spans="1:5" x14ac:dyDescent="0.25">
      <c r="A218" t="s">
        <v>561</v>
      </c>
      <c r="B218" t="s">
        <v>562</v>
      </c>
      <c r="C218" t="s">
        <v>88</v>
      </c>
      <c r="D218" t="s">
        <v>1273</v>
      </c>
      <c r="E218" t="s">
        <v>88</v>
      </c>
    </row>
    <row r="219" spans="1:5" x14ac:dyDescent="0.25">
      <c r="A219" t="s">
        <v>563</v>
      </c>
      <c r="B219" t="s">
        <v>1427</v>
      </c>
      <c r="C219" t="s">
        <v>88</v>
      </c>
      <c r="D219" t="s">
        <v>1273</v>
      </c>
      <c r="E219" t="s">
        <v>88</v>
      </c>
    </row>
    <row r="220" spans="1:5" x14ac:dyDescent="0.25">
      <c r="A220" t="s">
        <v>564</v>
      </c>
      <c r="B220" t="s">
        <v>565</v>
      </c>
      <c r="C220" t="s">
        <v>653</v>
      </c>
      <c r="D220" t="s">
        <v>1474</v>
      </c>
      <c r="E220" t="s">
        <v>1521</v>
      </c>
    </row>
    <row r="221" spans="1:5" x14ac:dyDescent="0.25">
      <c r="A221" t="s">
        <v>199</v>
      </c>
      <c r="B221" t="s">
        <v>200</v>
      </c>
      <c r="C221" t="s">
        <v>88</v>
      </c>
      <c r="D221" t="s">
        <v>1273</v>
      </c>
      <c r="E221" t="s">
        <v>88</v>
      </c>
    </row>
    <row r="222" spans="1:5" x14ac:dyDescent="0.25">
      <c r="A222" t="s">
        <v>201</v>
      </c>
      <c r="B222" t="s">
        <v>202</v>
      </c>
      <c r="C222" t="s">
        <v>88</v>
      </c>
      <c r="D222" t="s">
        <v>1273</v>
      </c>
      <c r="E222" t="s">
        <v>88</v>
      </c>
    </row>
    <row r="223" spans="1:5" x14ac:dyDescent="0.25">
      <c r="A223" t="s">
        <v>203</v>
      </c>
      <c r="B223" t="s">
        <v>204</v>
      </c>
      <c r="C223" t="s">
        <v>88</v>
      </c>
      <c r="D223" t="s">
        <v>1273</v>
      </c>
      <c r="E223" t="s">
        <v>88</v>
      </c>
    </row>
    <row r="224" spans="1:5" x14ac:dyDescent="0.25">
      <c r="A224" t="s">
        <v>296</v>
      </c>
      <c r="B224" t="s">
        <v>297</v>
      </c>
      <c r="C224" t="s">
        <v>88</v>
      </c>
      <c r="D224" t="s">
        <v>1273</v>
      </c>
      <c r="E224" t="s">
        <v>88</v>
      </c>
    </row>
    <row r="225" spans="1:5" x14ac:dyDescent="0.25">
      <c r="A225" t="s">
        <v>205</v>
      </c>
      <c r="B225" t="s">
        <v>206</v>
      </c>
      <c r="C225" t="s">
        <v>88</v>
      </c>
      <c r="D225" t="s">
        <v>1273</v>
      </c>
      <c r="E225" t="s">
        <v>88</v>
      </c>
    </row>
    <row r="226" spans="1:5" x14ac:dyDescent="0.25">
      <c r="A226" t="s">
        <v>566</v>
      </c>
      <c r="B226" t="s">
        <v>567</v>
      </c>
      <c r="C226" t="s">
        <v>88</v>
      </c>
      <c r="D226" t="s">
        <v>1273</v>
      </c>
      <c r="E226" t="s">
        <v>88</v>
      </c>
    </row>
    <row r="227" spans="1:5" x14ac:dyDescent="0.25">
      <c r="A227" t="s">
        <v>298</v>
      </c>
      <c r="B227" t="s">
        <v>299</v>
      </c>
      <c r="C227" t="s">
        <v>88</v>
      </c>
      <c r="D227" t="s">
        <v>1273</v>
      </c>
      <c r="E227" t="s">
        <v>88</v>
      </c>
    </row>
    <row r="228" spans="1:5" x14ac:dyDescent="0.25">
      <c r="A228" t="s">
        <v>1423</v>
      </c>
      <c r="B228" t="s">
        <v>1428</v>
      </c>
      <c r="C228" t="s">
        <v>88</v>
      </c>
      <c r="D228" t="s">
        <v>1273</v>
      </c>
      <c r="E228" t="s">
        <v>88</v>
      </c>
    </row>
    <row r="229" spans="1:5" x14ac:dyDescent="0.25">
      <c r="A229" t="s">
        <v>568</v>
      </c>
      <c r="B229" t="s">
        <v>569</v>
      </c>
      <c r="C229" t="s">
        <v>653</v>
      </c>
      <c r="D229" t="s">
        <v>1474</v>
      </c>
      <c r="E229" t="s">
        <v>1548</v>
      </c>
    </row>
    <row r="230" spans="1:5" x14ac:dyDescent="0.25">
      <c r="A230" t="s">
        <v>570</v>
      </c>
      <c r="B230" t="s">
        <v>571</v>
      </c>
      <c r="C230" t="s">
        <v>88</v>
      </c>
      <c r="D230" t="s">
        <v>1273</v>
      </c>
      <c r="E230" t="s">
        <v>88</v>
      </c>
    </row>
    <row r="231" spans="1:5" x14ac:dyDescent="0.25">
      <c r="A231" t="s">
        <v>207</v>
      </c>
      <c r="B231" t="s">
        <v>208</v>
      </c>
      <c r="C231" t="s">
        <v>88</v>
      </c>
      <c r="D231" t="s">
        <v>1273</v>
      </c>
      <c r="E231" t="s">
        <v>88</v>
      </c>
    </row>
    <row r="232" spans="1:5" x14ac:dyDescent="0.25">
      <c r="A232" t="s">
        <v>572</v>
      </c>
      <c r="B232" t="s">
        <v>573</v>
      </c>
      <c r="C232" t="s">
        <v>88</v>
      </c>
      <c r="D232" t="s">
        <v>1273</v>
      </c>
      <c r="E232" t="s">
        <v>88</v>
      </c>
    </row>
    <row r="233" spans="1:5" x14ac:dyDescent="0.25">
      <c r="A233" t="s">
        <v>82</v>
      </c>
      <c r="B233" t="s">
        <v>51</v>
      </c>
      <c r="C233" t="s">
        <v>88</v>
      </c>
      <c r="D233" t="s">
        <v>1273</v>
      </c>
      <c r="E233" t="s">
        <v>88</v>
      </c>
    </row>
    <row r="234" spans="1:5" x14ac:dyDescent="0.25">
      <c r="A234" t="s">
        <v>81</v>
      </c>
      <c r="B234" t="s">
        <v>47</v>
      </c>
      <c r="C234" t="s">
        <v>88</v>
      </c>
      <c r="D234" t="s">
        <v>1273</v>
      </c>
      <c r="E234" t="s">
        <v>88</v>
      </c>
    </row>
    <row r="235" spans="1:5" x14ac:dyDescent="0.25">
      <c r="A235" t="s">
        <v>59</v>
      </c>
      <c r="B235" t="s">
        <v>23</v>
      </c>
      <c r="C235" t="s">
        <v>653</v>
      </c>
      <c r="D235" t="s">
        <v>1474</v>
      </c>
      <c r="E235" t="s">
        <v>1549</v>
      </c>
    </row>
    <row r="236" spans="1:5" x14ac:dyDescent="0.25">
      <c r="A236" t="s">
        <v>300</v>
      </c>
      <c r="B236" t="s">
        <v>301</v>
      </c>
      <c r="C236" t="s">
        <v>88</v>
      </c>
      <c r="D236" t="s">
        <v>1273</v>
      </c>
      <c r="E236" t="s">
        <v>88</v>
      </c>
    </row>
    <row r="237" spans="1:5" x14ac:dyDescent="0.25">
      <c r="A237" t="s">
        <v>574</v>
      </c>
      <c r="B237" t="s">
        <v>575</v>
      </c>
      <c r="C237" t="s">
        <v>88</v>
      </c>
      <c r="D237" t="s">
        <v>1273</v>
      </c>
      <c r="E237" t="s">
        <v>88</v>
      </c>
    </row>
    <row r="238" spans="1:5" x14ac:dyDescent="0.25">
      <c r="A238" t="s">
        <v>576</v>
      </c>
      <c r="B238" t="s">
        <v>577</v>
      </c>
      <c r="C238" t="s">
        <v>653</v>
      </c>
      <c r="D238" t="s">
        <v>1474</v>
      </c>
      <c r="E238" t="s">
        <v>1550</v>
      </c>
    </row>
    <row r="239" spans="1:5" x14ac:dyDescent="0.25">
      <c r="A239" t="s">
        <v>578</v>
      </c>
      <c r="B239" t="s">
        <v>579</v>
      </c>
      <c r="C239" t="s">
        <v>88</v>
      </c>
      <c r="D239" t="s">
        <v>1273</v>
      </c>
      <c r="E239" t="s">
        <v>88</v>
      </c>
    </row>
    <row r="240" spans="1:5" x14ac:dyDescent="0.25">
      <c r="A240" t="s">
        <v>209</v>
      </c>
      <c r="B240" t="s">
        <v>210</v>
      </c>
      <c r="C240" t="s">
        <v>88</v>
      </c>
      <c r="D240" t="s">
        <v>1273</v>
      </c>
      <c r="E240" t="s">
        <v>88</v>
      </c>
    </row>
    <row r="241" spans="1:5" x14ac:dyDescent="0.25">
      <c r="A241" t="s">
        <v>580</v>
      </c>
      <c r="B241" t="s">
        <v>581</v>
      </c>
      <c r="C241" t="s">
        <v>653</v>
      </c>
      <c r="D241" t="s">
        <v>1474</v>
      </c>
      <c r="E241" t="s">
        <v>1551</v>
      </c>
    </row>
    <row r="242" spans="1:5" x14ac:dyDescent="0.25">
      <c r="A242" t="s">
        <v>211</v>
      </c>
      <c r="B242" t="s">
        <v>212</v>
      </c>
      <c r="C242" t="s">
        <v>88</v>
      </c>
      <c r="D242" t="s">
        <v>1273</v>
      </c>
      <c r="E242" t="s">
        <v>88</v>
      </c>
    </row>
    <row r="243" spans="1:5" x14ac:dyDescent="0.25">
      <c r="A243" t="s">
        <v>302</v>
      </c>
      <c r="B243" t="s">
        <v>303</v>
      </c>
      <c r="C243" t="s">
        <v>88</v>
      </c>
      <c r="D243" t="s">
        <v>1273</v>
      </c>
      <c r="E243" t="s">
        <v>88</v>
      </c>
    </row>
    <row r="244" spans="1:5" x14ac:dyDescent="0.25">
      <c r="A244" t="s">
        <v>213</v>
      </c>
      <c r="B244" t="s">
        <v>214</v>
      </c>
      <c r="C244" t="s">
        <v>88</v>
      </c>
      <c r="D244" t="s">
        <v>1273</v>
      </c>
      <c r="E244" t="s">
        <v>88</v>
      </c>
    </row>
    <row r="245" spans="1:5" x14ac:dyDescent="0.25">
      <c r="A245" t="s">
        <v>215</v>
      </c>
      <c r="B245" t="s">
        <v>216</v>
      </c>
      <c r="C245" t="s">
        <v>88</v>
      </c>
      <c r="D245" t="s">
        <v>1273</v>
      </c>
      <c r="E245" t="s">
        <v>88</v>
      </c>
    </row>
    <row r="246" spans="1:5" x14ac:dyDescent="0.25">
      <c r="A246" t="s">
        <v>217</v>
      </c>
      <c r="B246" t="s">
        <v>218</v>
      </c>
      <c r="C246" t="s">
        <v>88</v>
      </c>
      <c r="D246" t="s">
        <v>1273</v>
      </c>
      <c r="E246" t="s">
        <v>88</v>
      </c>
    </row>
    <row r="247" spans="1:5" x14ac:dyDescent="0.25">
      <c r="A247" t="s">
        <v>582</v>
      </c>
      <c r="B247" t="s">
        <v>583</v>
      </c>
      <c r="C247" t="s">
        <v>653</v>
      </c>
      <c r="D247" t="s">
        <v>1474</v>
      </c>
      <c r="E247" t="s">
        <v>1552</v>
      </c>
    </row>
    <row r="248" spans="1:5" x14ac:dyDescent="0.25">
      <c r="A248" t="s">
        <v>584</v>
      </c>
      <c r="B248" t="s">
        <v>585</v>
      </c>
      <c r="C248" t="s">
        <v>653</v>
      </c>
      <c r="D248" t="s">
        <v>1474</v>
      </c>
      <c r="E248" t="s">
        <v>1553</v>
      </c>
    </row>
    <row r="249" spans="1:5" x14ac:dyDescent="0.25">
      <c r="A249" t="s">
        <v>219</v>
      </c>
      <c r="B249" t="s">
        <v>220</v>
      </c>
      <c r="C249" t="s">
        <v>88</v>
      </c>
      <c r="D249" t="s">
        <v>1273</v>
      </c>
      <c r="E249" t="s">
        <v>88</v>
      </c>
    </row>
    <row r="250" spans="1:5" x14ac:dyDescent="0.25">
      <c r="A250" t="s">
        <v>221</v>
      </c>
      <c r="B250" t="s">
        <v>222</v>
      </c>
      <c r="C250" t="s">
        <v>88</v>
      </c>
      <c r="D250" t="s">
        <v>1273</v>
      </c>
      <c r="E250" t="s">
        <v>88</v>
      </c>
    </row>
    <row r="251" spans="1:5" x14ac:dyDescent="0.25">
      <c r="A251" t="s">
        <v>586</v>
      </c>
      <c r="B251" t="s">
        <v>587</v>
      </c>
      <c r="C251" t="s">
        <v>653</v>
      </c>
      <c r="D251" t="s">
        <v>1474</v>
      </c>
      <c r="E251" t="s">
        <v>1500</v>
      </c>
    </row>
    <row r="252" spans="1:5" x14ac:dyDescent="0.25">
      <c r="A252" t="s">
        <v>61</v>
      </c>
      <c r="B252" t="s">
        <v>31</v>
      </c>
      <c r="C252" t="s">
        <v>88</v>
      </c>
      <c r="D252" t="s">
        <v>1273</v>
      </c>
      <c r="E252" t="s">
        <v>88</v>
      </c>
    </row>
    <row r="253" spans="1:5" x14ac:dyDescent="0.25">
      <c r="A253" t="s">
        <v>78</v>
      </c>
      <c r="B253" t="s">
        <v>36</v>
      </c>
      <c r="C253" t="s">
        <v>88</v>
      </c>
      <c r="D253" t="s">
        <v>1273</v>
      </c>
      <c r="E253" t="s">
        <v>88</v>
      </c>
    </row>
    <row r="254" spans="1:5" x14ac:dyDescent="0.25">
      <c r="A254" t="s">
        <v>588</v>
      </c>
      <c r="B254" t="s">
        <v>589</v>
      </c>
      <c r="C254" t="s">
        <v>653</v>
      </c>
      <c r="D254" t="s">
        <v>1474</v>
      </c>
      <c r="E254" t="s">
        <v>1554</v>
      </c>
    </row>
    <row r="255" spans="1:5" x14ac:dyDescent="0.25">
      <c r="A255" t="s">
        <v>590</v>
      </c>
      <c r="B255" t="s">
        <v>591</v>
      </c>
      <c r="C255" t="s">
        <v>88</v>
      </c>
      <c r="D255" t="s">
        <v>1273</v>
      </c>
      <c r="E255" t="s">
        <v>88</v>
      </c>
    </row>
    <row r="256" spans="1:5" x14ac:dyDescent="0.25">
      <c r="A256" t="s">
        <v>223</v>
      </c>
      <c r="B256" t="s">
        <v>224</v>
      </c>
      <c r="C256" t="s">
        <v>88</v>
      </c>
      <c r="D256" t="s">
        <v>1273</v>
      </c>
      <c r="E256" t="s">
        <v>88</v>
      </c>
    </row>
    <row r="257" spans="1:5" x14ac:dyDescent="0.25">
      <c r="A257" t="s">
        <v>225</v>
      </c>
      <c r="B257" t="s">
        <v>226</v>
      </c>
      <c r="C257" t="s">
        <v>88</v>
      </c>
      <c r="D257" t="s">
        <v>1273</v>
      </c>
      <c r="E257" t="s">
        <v>88</v>
      </c>
    </row>
    <row r="258" spans="1:5" x14ac:dyDescent="0.25">
      <c r="A258" t="s">
        <v>592</v>
      </c>
      <c r="B258" t="s">
        <v>593</v>
      </c>
      <c r="C258" t="s">
        <v>88</v>
      </c>
      <c r="D258" t="s">
        <v>1273</v>
      </c>
      <c r="E258" t="s">
        <v>88</v>
      </c>
    </row>
    <row r="259" spans="1:5" x14ac:dyDescent="0.25">
      <c r="A259" t="s">
        <v>227</v>
      </c>
      <c r="B259" t="s">
        <v>228</v>
      </c>
      <c r="C259" t="s">
        <v>88</v>
      </c>
      <c r="D259" t="s">
        <v>1273</v>
      </c>
      <c r="E259" t="s">
        <v>88</v>
      </c>
    </row>
    <row r="260" spans="1:5" x14ac:dyDescent="0.25">
      <c r="A260" t="s">
        <v>229</v>
      </c>
      <c r="B260" t="s">
        <v>230</v>
      </c>
      <c r="C260" t="s">
        <v>88</v>
      </c>
      <c r="D260" t="s">
        <v>1273</v>
      </c>
      <c r="E260" t="s">
        <v>88</v>
      </c>
    </row>
    <row r="261" spans="1:5" x14ac:dyDescent="0.25">
      <c r="A261" t="s">
        <v>594</v>
      </c>
      <c r="B261" t="s">
        <v>595</v>
      </c>
      <c r="C261" t="s">
        <v>88</v>
      </c>
      <c r="D261" t="s">
        <v>1273</v>
      </c>
      <c r="E261" t="s">
        <v>88</v>
      </c>
    </row>
    <row r="262" spans="1:5" x14ac:dyDescent="0.25">
      <c r="A262" t="s">
        <v>596</v>
      </c>
      <c r="B262" t="s">
        <v>597</v>
      </c>
      <c r="C262" t="s">
        <v>653</v>
      </c>
      <c r="D262" t="s">
        <v>1474</v>
      </c>
      <c r="E262" t="s">
        <v>1556</v>
      </c>
    </row>
    <row r="263" spans="1:5" x14ac:dyDescent="0.25">
      <c r="A263" t="s">
        <v>231</v>
      </c>
      <c r="B263" t="s">
        <v>232</v>
      </c>
      <c r="C263" t="s">
        <v>88</v>
      </c>
      <c r="D263" t="s">
        <v>1273</v>
      </c>
      <c r="E263" t="s">
        <v>88</v>
      </c>
    </row>
    <row r="264" spans="1:5" x14ac:dyDescent="0.25">
      <c r="A264" t="s">
        <v>598</v>
      </c>
      <c r="B264" t="s">
        <v>599</v>
      </c>
      <c r="C264" t="s">
        <v>653</v>
      </c>
      <c r="D264" t="s">
        <v>1474</v>
      </c>
      <c r="E264" t="s">
        <v>1557</v>
      </c>
    </row>
    <row r="265" spans="1:5" x14ac:dyDescent="0.25">
      <c r="A265" t="s">
        <v>72</v>
      </c>
      <c r="B265" t="s">
        <v>26</v>
      </c>
      <c r="C265" t="s">
        <v>88</v>
      </c>
      <c r="D265" t="s">
        <v>1273</v>
      </c>
      <c r="E265" t="s">
        <v>88</v>
      </c>
    </row>
    <row r="266" spans="1:5" x14ac:dyDescent="0.25">
      <c r="A266" t="s">
        <v>73</v>
      </c>
      <c r="B266" t="s">
        <v>28</v>
      </c>
      <c r="C266" t="s">
        <v>88</v>
      </c>
      <c r="D266" t="s">
        <v>1273</v>
      </c>
      <c r="E266" t="s">
        <v>88</v>
      </c>
    </row>
    <row r="267" spans="1:5" x14ac:dyDescent="0.25">
      <c r="A267" t="s">
        <v>233</v>
      </c>
      <c r="B267" t="s">
        <v>234</v>
      </c>
      <c r="C267" t="s">
        <v>88</v>
      </c>
      <c r="D267" t="s">
        <v>1273</v>
      </c>
      <c r="E267" t="s">
        <v>88</v>
      </c>
    </row>
    <row r="268" spans="1:5" x14ac:dyDescent="0.25">
      <c r="A268" t="s">
        <v>600</v>
      </c>
      <c r="B268" t="s">
        <v>601</v>
      </c>
      <c r="C268" t="s">
        <v>653</v>
      </c>
      <c r="D268" t="s">
        <v>1474</v>
      </c>
      <c r="E268" t="s">
        <v>1558</v>
      </c>
    </row>
    <row r="269" spans="1:5" x14ac:dyDescent="0.25">
      <c r="A269" t="s">
        <v>67</v>
      </c>
      <c r="B269" t="s">
        <v>12</v>
      </c>
      <c r="C269" t="s">
        <v>653</v>
      </c>
      <c r="D269" t="s">
        <v>1474</v>
      </c>
      <c r="E269" t="s">
        <v>1477</v>
      </c>
    </row>
    <row r="270" spans="1:5" x14ac:dyDescent="0.25">
      <c r="A270" t="s">
        <v>62</v>
      </c>
      <c r="B270" t="s">
        <v>38</v>
      </c>
      <c r="C270" t="s">
        <v>88</v>
      </c>
      <c r="D270" t="s">
        <v>1273</v>
      </c>
      <c r="E270" t="s">
        <v>88</v>
      </c>
    </row>
    <row r="271" spans="1:5" x14ac:dyDescent="0.25">
      <c r="A271" t="s">
        <v>602</v>
      </c>
      <c r="B271" t="s">
        <v>603</v>
      </c>
      <c r="C271" t="s">
        <v>653</v>
      </c>
      <c r="D271" t="s">
        <v>1474</v>
      </c>
      <c r="E271" t="s">
        <v>1559</v>
      </c>
    </row>
    <row r="272" spans="1:5" x14ac:dyDescent="0.25">
      <c r="A272" t="s">
        <v>235</v>
      </c>
      <c r="B272" t="s">
        <v>236</v>
      </c>
      <c r="C272" t="s">
        <v>88</v>
      </c>
      <c r="D272" t="s">
        <v>1273</v>
      </c>
      <c r="E272" t="s">
        <v>88</v>
      </c>
    </row>
    <row r="273" spans="1:5" x14ac:dyDescent="0.25">
      <c r="A273" t="s">
        <v>237</v>
      </c>
      <c r="B273" t="s">
        <v>238</v>
      </c>
      <c r="C273" t="s">
        <v>88</v>
      </c>
      <c r="D273" t="s">
        <v>1273</v>
      </c>
      <c r="E273" t="s">
        <v>88</v>
      </c>
    </row>
    <row r="274" spans="1:5" x14ac:dyDescent="0.25">
      <c r="A274" t="s">
        <v>304</v>
      </c>
      <c r="B274" t="s">
        <v>305</v>
      </c>
      <c r="C274" t="s">
        <v>88</v>
      </c>
      <c r="D274" t="s">
        <v>1273</v>
      </c>
      <c r="E274" t="s">
        <v>88</v>
      </c>
    </row>
    <row r="275" spans="1:5" x14ac:dyDescent="0.25">
      <c r="A275" t="s">
        <v>239</v>
      </c>
      <c r="B275" t="s">
        <v>240</v>
      </c>
      <c r="C275" t="s">
        <v>653</v>
      </c>
      <c r="D275" t="s">
        <v>1474</v>
      </c>
      <c r="E275" t="s">
        <v>1560</v>
      </c>
    </row>
    <row r="276" spans="1:5" x14ac:dyDescent="0.25">
      <c r="A276" t="s">
        <v>241</v>
      </c>
      <c r="B276" t="s">
        <v>242</v>
      </c>
      <c r="C276" t="s">
        <v>88</v>
      </c>
      <c r="D276" t="s">
        <v>1273</v>
      </c>
      <c r="E276" t="s">
        <v>88</v>
      </c>
    </row>
    <row r="277" spans="1:5" x14ac:dyDescent="0.25">
      <c r="A277" t="s">
        <v>604</v>
      </c>
      <c r="B277" t="s">
        <v>605</v>
      </c>
      <c r="C277" t="s">
        <v>653</v>
      </c>
      <c r="D277" t="s">
        <v>1474</v>
      </c>
      <c r="E277" t="s">
        <v>1561</v>
      </c>
    </row>
    <row r="278" spans="1:5" x14ac:dyDescent="0.25">
      <c r="A278" t="s">
        <v>606</v>
      </c>
      <c r="B278" t="s">
        <v>607</v>
      </c>
      <c r="C278" t="s">
        <v>653</v>
      </c>
      <c r="D278" t="s">
        <v>1474</v>
      </c>
      <c r="E278" t="s">
        <v>1562</v>
      </c>
    </row>
    <row r="279" spans="1:5" x14ac:dyDescent="0.25">
      <c r="A279" t="s">
        <v>243</v>
      </c>
      <c r="B279" t="s">
        <v>244</v>
      </c>
      <c r="C279" t="s">
        <v>88</v>
      </c>
      <c r="D279" t="s">
        <v>1273</v>
      </c>
      <c r="E279" t="s">
        <v>88</v>
      </c>
    </row>
    <row r="280" spans="1:5" x14ac:dyDescent="0.25">
      <c r="A280" t="s">
        <v>245</v>
      </c>
      <c r="B280" t="s">
        <v>246</v>
      </c>
      <c r="C280" t="s">
        <v>88</v>
      </c>
      <c r="D280" t="s">
        <v>1273</v>
      </c>
      <c r="E280" t="s">
        <v>88</v>
      </c>
    </row>
    <row r="281" spans="1:5" x14ac:dyDescent="0.25">
      <c r="A281" t="s">
        <v>608</v>
      </c>
      <c r="B281" t="s">
        <v>609</v>
      </c>
      <c r="C281" t="s">
        <v>653</v>
      </c>
      <c r="D281" t="s">
        <v>1474</v>
      </c>
      <c r="E281" t="s">
        <v>1563</v>
      </c>
    </row>
    <row r="282" spans="1:5" x14ac:dyDescent="0.25">
      <c r="A282" t="s">
        <v>60</v>
      </c>
      <c r="B282" t="s">
        <v>42</v>
      </c>
      <c r="C282" t="s">
        <v>653</v>
      </c>
      <c r="D282" t="s">
        <v>1474</v>
      </c>
      <c r="E282" t="s">
        <v>1555</v>
      </c>
    </row>
    <row r="283" spans="1:5" x14ac:dyDescent="0.25">
      <c r="A283" t="s">
        <v>247</v>
      </c>
      <c r="B283" t="s">
        <v>248</v>
      </c>
      <c r="C283" t="s">
        <v>88</v>
      </c>
      <c r="D283" t="s">
        <v>1273</v>
      </c>
      <c r="E283" t="s">
        <v>88</v>
      </c>
    </row>
    <row r="284" spans="1:5" x14ac:dyDescent="0.25">
      <c r="A284" t="s">
        <v>610</v>
      </c>
      <c r="B284" t="s">
        <v>611</v>
      </c>
      <c r="C284" t="s">
        <v>653</v>
      </c>
      <c r="D284" t="s">
        <v>1474</v>
      </c>
      <c r="E284" t="s">
        <v>1564</v>
      </c>
    </row>
    <row r="285" spans="1:5" x14ac:dyDescent="0.25">
      <c r="A285" t="s">
        <v>249</v>
      </c>
      <c r="B285" t="s">
        <v>250</v>
      </c>
      <c r="C285" t="s">
        <v>88</v>
      </c>
      <c r="D285" t="s">
        <v>1273</v>
      </c>
      <c r="E285" t="s">
        <v>88</v>
      </c>
    </row>
    <row r="286" spans="1:5" x14ac:dyDescent="0.25">
      <c r="A286" t="s">
        <v>612</v>
      </c>
      <c r="B286" t="s">
        <v>613</v>
      </c>
      <c r="C286" t="s">
        <v>653</v>
      </c>
      <c r="D286" t="s">
        <v>1474</v>
      </c>
      <c r="E286" t="s">
        <v>1565</v>
      </c>
    </row>
    <row r="287" spans="1:5" x14ac:dyDescent="0.25">
      <c r="A287" t="s">
        <v>63</v>
      </c>
      <c r="B287" t="s">
        <v>48</v>
      </c>
      <c r="C287" t="s">
        <v>88</v>
      </c>
      <c r="D287" t="s">
        <v>1273</v>
      </c>
      <c r="E287" t="s">
        <v>88</v>
      </c>
    </row>
    <row r="288" spans="1:5" x14ac:dyDescent="0.25">
      <c r="A288" t="s">
        <v>251</v>
      </c>
      <c r="B288" t="s">
        <v>252</v>
      </c>
      <c r="C288" t="s">
        <v>88</v>
      </c>
      <c r="D288" t="s">
        <v>1273</v>
      </c>
      <c r="E288" t="s">
        <v>88</v>
      </c>
    </row>
    <row r="289" spans="1:5" x14ac:dyDescent="0.25">
      <c r="A289" t="s">
        <v>614</v>
      </c>
      <c r="B289" t="s">
        <v>615</v>
      </c>
      <c r="C289" t="s">
        <v>653</v>
      </c>
      <c r="D289" t="s">
        <v>1474</v>
      </c>
      <c r="E289" t="s">
        <v>1566</v>
      </c>
    </row>
    <row r="290" spans="1:5" x14ac:dyDescent="0.25">
      <c r="A290" t="s">
        <v>616</v>
      </c>
      <c r="B290" t="s">
        <v>617</v>
      </c>
      <c r="C290" t="s">
        <v>88</v>
      </c>
      <c r="D290" t="s">
        <v>1273</v>
      </c>
      <c r="E290" t="s">
        <v>88</v>
      </c>
    </row>
    <row r="291" spans="1:5" x14ac:dyDescent="0.25">
      <c r="A291" t="s">
        <v>618</v>
      </c>
      <c r="B291" t="s">
        <v>619</v>
      </c>
      <c r="C291" t="s">
        <v>88</v>
      </c>
      <c r="D291" t="s">
        <v>1273</v>
      </c>
      <c r="E291" t="s">
        <v>88</v>
      </c>
    </row>
    <row r="292" spans="1:5" x14ac:dyDescent="0.25">
      <c r="A292" t="s">
        <v>620</v>
      </c>
      <c r="B292" t="s">
        <v>1400</v>
      </c>
      <c r="C292" t="s">
        <v>653</v>
      </c>
      <c r="D292" t="s">
        <v>1474</v>
      </c>
      <c r="E292" t="s">
        <v>1567</v>
      </c>
    </row>
    <row r="293" spans="1:5" x14ac:dyDescent="0.25">
      <c r="A293" t="s">
        <v>621</v>
      </c>
      <c r="B293" t="s">
        <v>622</v>
      </c>
      <c r="C293" t="s">
        <v>653</v>
      </c>
      <c r="D293" t="s">
        <v>1474</v>
      </c>
      <c r="E293" t="s">
        <v>1568</v>
      </c>
    </row>
    <row r="294" spans="1:5" x14ac:dyDescent="0.25">
      <c r="A294" t="s">
        <v>623</v>
      </c>
      <c r="B294" t="s">
        <v>624</v>
      </c>
      <c r="C294" t="s">
        <v>653</v>
      </c>
      <c r="D294" t="s">
        <v>1474</v>
      </c>
      <c r="E294" t="s">
        <v>1569</v>
      </c>
    </row>
    <row r="295" spans="1:5" x14ac:dyDescent="0.25">
      <c r="A295" t="s">
        <v>253</v>
      </c>
      <c r="B295" t="s">
        <v>254</v>
      </c>
      <c r="C295" t="s">
        <v>88</v>
      </c>
      <c r="D295" t="s">
        <v>1273</v>
      </c>
      <c r="E295" t="s">
        <v>88</v>
      </c>
    </row>
    <row r="296" spans="1:5" x14ac:dyDescent="0.25">
      <c r="A296" t="s">
        <v>625</v>
      </c>
      <c r="B296" t="s">
        <v>626</v>
      </c>
      <c r="C296" t="s">
        <v>88</v>
      </c>
      <c r="D296" t="s">
        <v>1273</v>
      </c>
      <c r="E296" t="s">
        <v>88</v>
      </c>
    </row>
    <row r="297" spans="1:5" x14ac:dyDescent="0.25">
      <c r="A297" t="s">
        <v>627</v>
      </c>
      <c r="B297" t="s">
        <v>628</v>
      </c>
      <c r="C297" t="s">
        <v>88</v>
      </c>
      <c r="D297" t="s">
        <v>1273</v>
      </c>
      <c r="E297" t="s">
        <v>88</v>
      </c>
    </row>
    <row r="298" spans="1:5" x14ac:dyDescent="0.25">
      <c r="A298" t="s">
        <v>629</v>
      </c>
      <c r="B298" t="s">
        <v>630</v>
      </c>
      <c r="C298" t="s">
        <v>653</v>
      </c>
      <c r="D298" t="s">
        <v>1474</v>
      </c>
      <c r="E298" t="s">
        <v>1570</v>
      </c>
    </row>
    <row r="299" spans="1:5" x14ac:dyDescent="0.25">
      <c r="A299" t="s">
        <v>64</v>
      </c>
      <c r="B299" t="s">
        <v>1391</v>
      </c>
      <c r="C299" t="s">
        <v>88</v>
      </c>
      <c r="D299" t="s">
        <v>1273</v>
      </c>
      <c r="E299" t="s">
        <v>88</v>
      </c>
    </row>
    <row r="300" spans="1:5" x14ac:dyDescent="0.25">
      <c r="A300" t="s">
        <v>306</v>
      </c>
      <c r="B300" t="s">
        <v>1387</v>
      </c>
      <c r="C300" t="s">
        <v>88</v>
      </c>
      <c r="D300" t="s">
        <v>1273</v>
      </c>
      <c r="E300" t="s">
        <v>88</v>
      </c>
    </row>
    <row r="301" spans="1:5" x14ac:dyDescent="0.25">
      <c r="A301" t="s">
        <v>255</v>
      </c>
      <c r="B301" t="s">
        <v>1386</v>
      </c>
      <c r="C301" t="s">
        <v>88</v>
      </c>
      <c r="D301" t="s">
        <v>1273</v>
      </c>
      <c r="E301" t="s">
        <v>88</v>
      </c>
    </row>
    <row r="302" spans="1:5" x14ac:dyDescent="0.25">
      <c r="A302" t="s">
        <v>68</v>
      </c>
      <c r="B302" t="s">
        <v>1384</v>
      </c>
      <c r="C302" t="s">
        <v>88</v>
      </c>
      <c r="D302" t="s">
        <v>1273</v>
      </c>
      <c r="E302" t="s">
        <v>88</v>
      </c>
    </row>
    <row r="303" spans="1:5" x14ac:dyDescent="0.25">
      <c r="A303" t="s">
        <v>631</v>
      </c>
      <c r="B303" t="s">
        <v>632</v>
      </c>
      <c r="C303" t="s">
        <v>653</v>
      </c>
      <c r="D303" t="s">
        <v>1474</v>
      </c>
      <c r="E303" t="s">
        <v>1571</v>
      </c>
    </row>
    <row r="304" spans="1:5" x14ac:dyDescent="0.25">
      <c r="A304" t="s">
        <v>256</v>
      </c>
      <c r="B304" t="s">
        <v>257</v>
      </c>
      <c r="C304" t="s">
        <v>88</v>
      </c>
      <c r="D304" t="s">
        <v>1273</v>
      </c>
      <c r="E304" t="s">
        <v>88</v>
      </c>
    </row>
    <row r="305" spans="1:5" x14ac:dyDescent="0.25">
      <c r="A305" t="s">
        <v>307</v>
      </c>
      <c r="B305" t="s">
        <v>308</v>
      </c>
      <c r="C305" t="s">
        <v>88</v>
      </c>
      <c r="D305" t="s">
        <v>1273</v>
      </c>
      <c r="E305" t="s">
        <v>88</v>
      </c>
    </row>
    <row r="306" spans="1:5" x14ac:dyDescent="0.25">
      <c r="A306" t="s">
        <v>70</v>
      </c>
      <c r="B306" t="s">
        <v>1397</v>
      </c>
      <c r="C306" t="s">
        <v>653</v>
      </c>
      <c r="D306" t="s">
        <v>1474</v>
      </c>
      <c r="E306" t="s">
        <v>1486</v>
      </c>
    </row>
    <row r="307" spans="1:5" x14ac:dyDescent="0.25">
      <c r="A307" t="s">
        <v>258</v>
      </c>
      <c r="B307" t="s">
        <v>259</v>
      </c>
      <c r="C307" t="s">
        <v>88</v>
      </c>
      <c r="D307" t="s">
        <v>1273</v>
      </c>
      <c r="E307" t="s">
        <v>88</v>
      </c>
    </row>
    <row r="308" spans="1:5" x14ac:dyDescent="0.25">
      <c r="A308" t="s">
        <v>633</v>
      </c>
      <c r="B308" t="s">
        <v>634</v>
      </c>
      <c r="C308" t="s">
        <v>88</v>
      </c>
      <c r="D308" t="s">
        <v>1273</v>
      </c>
      <c r="E308" t="s">
        <v>88</v>
      </c>
    </row>
    <row r="309" spans="1:5" x14ac:dyDescent="0.25">
      <c r="A309" t="s">
        <v>635</v>
      </c>
      <c r="B309" t="s">
        <v>636</v>
      </c>
      <c r="C309" t="s">
        <v>88</v>
      </c>
      <c r="D309" t="s">
        <v>1273</v>
      </c>
      <c r="E309" t="s">
        <v>88</v>
      </c>
    </row>
    <row r="310" spans="1:5" x14ac:dyDescent="0.25">
      <c r="A310" t="s">
        <v>637</v>
      </c>
      <c r="B310" t="s">
        <v>638</v>
      </c>
      <c r="C310" t="s">
        <v>88</v>
      </c>
      <c r="D310" t="s">
        <v>1273</v>
      </c>
      <c r="E310" t="s">
        <v>88</v>
      </c>
    </row>
    <row r="311" spans="1:5" x14ac:dyDescent="0.25">
      <c r="A311" t="s">
        <v>639</v>
      </c>
      <c r="B311" t="s">
        <v>640</v>
      </c>
      <c r="C311" t="s">
        <v>653</v>
      </c>
      <c r="D311" t="s">
        <v>1474</v>
      </c>
      <c r="E311" t="s">
        <v>1572</v>
      </c>
    </row>
    <row r="312" spans="1:5" x14ac:dyDescent="0.25">
      <c r="A312" t="s">
        <v>641</v>
      </c>
      <c r="B312" t="s">
        <v>642</v>
      </c>
      <c r="C312" t="s">
        <v>653</v>
      </c>
      <c r="D312" t="s">
        <v>1474</v>
      </c>
      <c r="E312" t="s">
        <v>1545</v>
      </c>
    </row>
    <row r="313" spans="1:5" x14ac:dyDescent="0.25">
      <c r="A313" t="s">
        <v>643</v>
      </c>
      <c r="B313" t="s">
        <v>644</v>
      </c>
      <c r="C313" t="s">
        <v>88</v>
      </c>
      <c r="D313" t="s">
        <v>1273</v>
      </c>
      <c r="E313" t="s">
        <v>88</v>
      </c>
    </row>
    <row r="314" spans="1:5" x14ac:dyDescent="0.25">
      <c r="A314" t="s">
        <v>645</v>
      </c>
      <c r="B314" t="s">
        <v>646</v>
      </c>
      <c r="C314" t="s">
        <v>653</v>
      </c>
      <c r="D314" t="s">
        <v>1474</v>
      </c>
      <c r="E314" t="s">
        <v>1573</v>
      </c>
    </row>
    <row r="315" spans="1:5" x14ac:dyDescent="0.25">
      <c r="A315" t="s">
        <v>647</v>
      </c>
      <c r="B315" t="s">
        <v>648</v>
      </c>
      <c r="C315" t="s">
        <v>88</v>
      </c>
      <c r="D315" t="s">
        <v>1273</v>
      </c>
      <c r="E315" t="s">
        <v>88</v>
      </c>
    </row>
    <row r="316" spans="1:5" x14ac:dyDescent="0.25">
      <c r="A316" t="s">
        <v>649</v>
      </c>
      <c r="B316" t="s">
        <v>650</v>
      </c>
      <c r="C316" t="s">
        <v>88</v>
      </c>
      <c r="D316" t="s">
        <v>1273</v>
      </c>
      <c r="E316" t="s">
        <v>88</v>
      </c>
    </row>
    <row r="317" spans="1:5" x14ac:dyDescent="0.25">
      <c r="D317" t="s">
        <v>1273</v>
      </c>
    </row>
  </sheetData>
  <sheetProtection algorithmName="SHA-512" hashValue="1JCQv2EsbcQup4/KKqIPbT+nxL5HAZnwRAdY+3VctvbM5pli0JKutMyjAfmRUVvQgpuTdcVbL3w4xKHCE4UFiA==" saltValue="JYzMyR4MM9u2bH5k4G5RP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2383-2AEC-469C-A5AF-4DD061F0E81C}">
  <sheetPr codeName="Sheet2">
    <tabColor rgb="FFFFFF00"/>
  </sheetPr>
  <dimension ref="A1:X23"/>
  <sheetViews>
    <sheetView topLeftCell="B1" workbookViewId="0">
      <selection activeCell="I2" sqref="I2"/>
    </sheetView>
  </sheetViews>
  <sheetFormatPr defaultRowHeight="15" x14ac:dyDescent="0.25"/>
  <cols>
    <col min="1" max="1" width="45.7109375" customWidth="1"/>
    <col min="2" max="2" width="74.7109375" bestFit="1" customWidth="1"/>
    <col min="3" max="3" width="13.85546875" bestFit="1" customWidth="1"/>
    <col min="4" max="4" width="16.28515625" bestFit="1" customWidth="1"/>
    <col min="5" max="5" width="26.85546875" bestFit="1" customWidth="1"/>
    <col min="6" max="6" width="20.42578125" bestFit="1" customWidth="1"/>
    <col min="7" max="7" width="15" bestFit="1" customWidth="1"/>
    <col min="8" max="8" width="20.42578125" bestFit="1" customWidth="1"/>
    <col min="9" max="11" width="62.140625" bestFit="1" customWidth="1"/>
    <col min="12" max="12" width="38.85546875" bestFit="1" customWidth="1"/>
    <col min="13" max="13" width="32.42578125" bestFit="1" customWidth="1"/>
    <col min="14" max="14" width="52.7109375" bestFit="1" customWidth="1"/>
    <col min="15" max="15" width="20.42578125" bestFit="1" customWidth="1"/>
    <col min="16" max="20" width="62.140625" bestFit="1" customWidth="1"/>
    <col min="21" max="21" width="16.28515625" bestFit="1" customWidth="1"/>
    <col min="22" max="22" width="16.85546875" bestFit="1" customWidth="1"/>
    <col min="23" max="23" width="20.42578125" bestFit="1" customWidth="1"/>
    <col min="24" max="24" width="15" bestFit="1" customWidth="1"/>
    <col min="25" max="25" width="20.42578125" bestFit="1" customWidth="1"/>
    <col min="26" max="27" width="62.140625" bestFit="1" customWidth="1"/>
  </cols>
  <sheetData>
    <row r="1" spans="1:24" x14ac:dyDescent="0.25">
      <c r="B1" t="s">
        <v>1274</v>
      </c>
      <c r="C1" t="s">
        <v>1274</v>
      </c>
      <c r="D1" t="s">
        <v>1392</v>
      </c>
      <c r="E1" t="s">
        <v>1393</v>
      </c>
      <c r="F1" t="s">
        <v>1394</v>
      </c>
      <c r="G1" t="s">
        <v>1395</v>
      </c>
      <c r="H1" t="s">
        <v>1259</v>
      </c>
      <c r="I1" t="s">
        <v>1260</v>
      </c>
    </row>
    <row r="2" spans="1:24" x14ac:dyDescent="0.25">
      <c r="B2" t="s">
        <v>1437</v>
      </c>
      <c r="C2" t="s">
        <v>657</v>
      </c>
      <c r="D2" t="s">
        <v>1432</v>
      </c>
      <c r="E2" t="s">
        <v>1433</v>
      </c>
      <c r="F2" t="s">
        <v>1434</v>
      </c>
      <c r="G2" t="s">
        <v>1435</v>
      </c>
      <c r="H2" t="s">
        <v>1436</v>
      </c>
      <c r="I2">
        <v>224545247</v>
      </c>
    </row>
    <row r="3" spans="1:24" ht="15.75" thickBot="1" x14ac:dyDescent="0.3"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</row>
    <row r="4" spans="1:24" x14ac:dyDescent="0.25">
      <c r="A4" s="52" t="s">
        <v>1261</v>
      </c>
      <c r="B4" s="64" t="str" cm="1">
        <f t="array" ref="B4">Assumptions[TOTAL LEA GRANTS]</f>
        <v>315383302</v>
      </c>
      <c r="C4" s="59"/>
      <c r="D4" s="59"/>
      <c r="E4" s="59"/>
      <c r="F4" s="59"/>
      <c r="G4" s="59"/>
      <c r="H4" s="59"/>
      <c r="I4" s="59"/>
      <c r="J4" s="59"/>
      <c r="K4" s="59"/>
      <c r="L4" s="59"/>
    </row>
    <row r="5" spans="1:24" x14ac:dyDescent="0.25">
      <c r="A5" s="53" t="s">
        <v>1262</v>
      </c>
      <c r="B5" s="65"/>
      <c r="C5" s="60"/>
      <c r="D5" s="60"/>
      <c r="E5" s="60"/>
      <c r="F5" s="60"/>
      <c r="G5" s="60"/>
      <c r="H5" s="60"/>
      <c r="I5" s="60"/>
      <c r="J5" s="60"/>
      <c r="K5" s="60"/>
      <c r="L5" s="60"/>
    </row>
    <row r="6" spans="1:24" x14ac:dyDescent="0.25">
      <c r="A6" s="54" t="s">
        <v>1263</v>
      </c>
      <c r="B6" s="65">
        <f>B4+B5</f>
        <v>315383302</v>
      </c>
      <c r="C6" s="59"/>
      <c r="D6" s="59"/>
      <c r="E6" s="59"/>
      <c r="F6" s="59"/>
      <c r="G6" s="59"/>
      <c r="H6" s="59"/>
      <c r="I6" s="59"/>
      <c r="J6" s="59"/>
      <c r="K6" s="59"/>
      <c r="L6" s="59"/>
    </row>
    <row r="7" spans="1:24" x14ac:dyDescent="0.25">
      <c r="A7" s="55"/>
      <c r="B7" s="65"/>
      <c r="C7" s="2"/>
      <c r="D7" s="2"/>
      <c r="E7" s="2"/>
      <c r="F7" s="2"/>
      <c r="G7" s="2"/>
      <c r="H7" s="2"/>
      <c r="I7" s="2"/>
      <c r="J7" s="2"/>
      <c r="K7" s="2"/>
      <c r="L7" s="2"/>
    </row>
    <row r="8" spans="1:24" x14ac:dyDescent="0.25">
      <c r="A8" s="55" t="s">
        <v>1264</v>
      </c>
      <c r="B8" s="65">
        <v>0</v>
      </c>
      <c r="C8" s="2"/>
      <c r="D8" s="2"/>
      <c r="E8" s="2"/>
      <c r="F8" s="2"/>
      <c r="G8" s="2"/>
      <c r="H8" s="2"/>
      <c r="I8" s="2"/>
      <c r="J8" s="2"/>
      <c r="K8" s="2"/>
      <c r="L8" s="2"/>
    </row>
    <row r="9" spans="1:24" x14ac:dyDescent="0.25">
      <c r="A9" s="55" t="s">
        <v>1335</v>
      </c>
      <c r="B9" s="65">
        <f>'State Reservations'!$I$3</f>
        <v>315284997.39735365</v>
      </c>
      <c r="C9" s="77"/>
      <c r="D9" s="2"/>
      <c r="E9" s="2"/>
      <c r="F9" s="2"/>
      <c r="G9" s="2"/>
      <c r="H9" s="2"/>
      <c r="I9" s="2"/>
      <c r="J9" s="2"/>
      <c r="K9" s="2"/>
      <c r="L9" s="2"/>
    </row>
    <row r="10" spans="1:24" x14ac:dyDescent="0.25">
      <c r="A10" s="55" t="s">
        <v>1265</v>
      </c>
      <c r="B10" s="65">
        <f>(7%*B6)*-1</f>
        <v>-22076831.140000001</v>
      </c>
      <c r="C10" s="2"/>
      <c r="D10" s="2"/>
      <c r="E10" s="2"/>
      <c r="F10" s="2"/>
      <c r="G10" s="2"/>
      <c r="H10" s="2"/>
      <c r="I10" s="2"/>
      <c r="J10" s="2"/>
      <c r="K10" s="2"/>
      <c r="L10" s="2"/>
    </row>
    <row r="11" spans="1:24" x14ac:dyDescent="0.25">
      <c r="A11" s="55" t="s">
        <v>1358</v>
      </c>
      <c r="B11" s="66">
        <f>'State Reservations'!$I$1-'State Reservations'!$I$3</f>
        <v>98304.602646350861</v>
      </c>
      <c r="C11" s="2"/>
      <c r="D11" s="2"/>
      <c r="E11" s="2"/>
      <c r="F11" s="2"/>
      <c r="G11" s="2"/>
      <c r="H11" s="2"/>
      <c r="I11" s="2"/>
      <c r="J11" s="2"/>
      <c r="K11" s="2"/>
      <c r="L11" s="2"/>
      <c r="N11" s="61"/>
    </row>
    <row r="12" spans="1:24" x14ac:dyDescent="0.25">
      <c r="A12" s="55" t="s">
        <v>1367</v>
      </c>
      <c r="B12" s="65">
        <f>B10+B11</f>
        <v>-21978526.53735365</v>
      </c>
      <c r="C12" s="2"/>
      <c r="D12" s="2"/>
      <c r="E12" s="2"/>
      <c r="F12" s="2"/>
      <c r="G12" s="2"/>
      <c r="H12" s="2"/>
      <c r="I12" s="2"/>
      <c r="J12" s="2"/>
      <c r="K12" s="2"/>
      <c r="L12" s="2"/>
    </row>
    <row r="13" spans="1:24" x14ac:dyDescent="0.25">
      <c r="A13" s="55"/>
      <c r="B13" s="65"/>
      <c r="C13" s="2"/>
      <c r="D13" s="2"/>
      <c r="E13" s="2"/>
      <c r="F13" s="2"/>
      <c r="G13" s="2"/>
      <c r="H13" s="2"/>
      <c r="I13" s="2"/>
      <c r="J13" s="2"/>
      <c r="K13" s="2"/>
      <c r="L13" s="2"/>
    </row>
    <row r="14" spans="1:24" x14ac:dyDescent="0.25">
      <c r="A14" s="55" t="s">
        <v>1266</v>
      </c>
      <c r="B14" s="67">
        <f>B12/B9</f>
        <v>-6.9710029715286823E-2</v>
      </c>
      <c r="C14" s="2"/>
      <c r="D14" s="2"/>
      <c r="E14" s="2"/>
      <c r="F14" s="2"/>
      <c r="G14" s="2"/>
      <c r="H14" s="2"/>
      <c r="I14" s="2"/>
      <c r="J14" s="2"/>
      <c r="K14" s="2"/>
      <c r="L14" s="2"/>
    </row>
    <row r="15" spans="1:24" x14ac:dyDescent="0.25">
      <c r="A15" s="55"/>
      <c r="B15" s="68"/>
      <c r="C15" s="2"/>
      <c r="D15" s="2"/>
      <c r="E15" s="2"/>
      <c r="F15" s="2"/>
      <c r="G15" s="2"/>
      <c r="H15" s="2"/>
      <c r="I15" s="2"/>
      <c r="J15" s="2"/>
      <c r="K15" s="2"/>
      <c r="L15" s="2"/>
    </row>
    <row r="16" spans="1:24" x14ac:dyDescent="0.25">
      <c r="A16" s="56" t="s">
        <v>1267</v>
      </c>
      <c r="B16" s="65"/>
      <c r="C16" s="62"/>
      <c r="D16" s="62"/>
      <c r="E16" s="62"/>
      <c r="F16" s="62"/>
      <c r="G16" s="62"/>
      <c r="H16" s="62"/>
      <c r="I16" s="62"/>
      <c r="J16" s="62"/>
      <c r="K16" s="62"/>
      <c r="L16" s="62"/>
    </row>
    <row r="17" spans="1:14" x14ac:dyDescent="0.25">
      <c r="A17" s="57" t="s">
        <v>1268</v>
      </c>
      <c r="B17" s="65">
        <f>B6+B10</f>
        <v>293306470.86000001</v>
      </c>
      <c r="C17" s="7"/>
      <c r="D17" s="7"/>
      <c r="E17" s="7"/>
      <c r="F17" s="7"/>
      <c r="G17" s="7"/>
      <c r="H17" s="7"/>
      <c r="I17" s="7"/>
      <c r="J17" s="7"/>
      <c r="K17" s="7"/>
      <c r="L17" s="7"/>
      <c r="N17" s="43"/>
    </row>
    <row r="18" spans="1:14" x14ac:dyDescent="0.25">
      <c r="A18" s="58" t="s">
        <v>1269</v>
      </c>
      <c r="B18" s="65" cm="1">
        <f t="array" ref="B18">Assumptions[Rev Fin  T-I State Adm  1004(b).TITLE I, PART A TOTAL LEA GRANTS]</f>
        <v>224545247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</row>
    <row r="19" spans="1:14" x14ac:dyDescent="0.25">
      <c r="A19" s="55" t="s">
        <v>1270</v>
      </c>
      <c r="B19" s="65">
        <f>ROUND((B18*1%),0)*-1</f>
        <v>-2245452</v>
      </c>
      <c r="C19" s="2"/>
      <c r="D19" s="2"/>
      <c r="E19" s="2"/>
      <c r="F19" s="2"/>
      <c r="G19" s="2"/>
      <c r="H19" s="2"/>
      <c r="I19" s="2"/>
      <c r="J19" s="2"/>
      <c r="K19" s="2"/>
      <c r="L19" s="2"/>
    </row>
    <row r="20" spans="1:14" x14ac:dyDescent="0.25">
      <c r="A20" s="55"/>
      <c r="B20" s="65"/>
      <c r="C20" s="2"/>
      <c r="D20" s="2"/>
      <c r="E20" s="2"/>
      <c r="F20" s="2"/>
      <c r="G20" s="2"/>
      <c r="H20" s="2"/>
      <c r="I20" s="2"/>
      <c r="J20" s="2"/>
      <c r="K20" s="2"/>
      <c r="L20" s="2"/>
    </row>
    <row r="21" spans="1:14" x14ac:dyDescent="0.25">
      <c r="A21" s="55" t="s">
        <v>660</v>
      </c>
      <c r="B21" s="65"/>
      <c r="C21" s="2"/>
      <c r="D21" s="2"/>
      <c r="E21" s="2"/>
      <c r="F21" s="2"/>
      <c r="G21" s="2"/>
      <c r="H21" s="2"/>
      <c r="I21" s="2"/>
      <c r="J21" s="2"/>
      <c r="K21" s="2"/>
      <c r="L21" s="2"/>
    </row>
    <row r="22" spans="1:14" x14ac:dyDescent="0.25">
      <c r="A22" s="55" t="s">
        <v>1271</v>
      </c>
      <c r="B22" s="65">
        <f>'State Reservations'!AD3*-1</f>
        <v>0</v>
      </c>
      <c r="C22" s="2"/>
      <c r="D22" s="2"/>
      <c r="E22" s="2"/>
      <c r="F22" s="2"/>
      <c r="G22" s="2"/>
      <c r="H22" s="2"/>
      <c r="I22" s="2"/>
      <c r="J22" s="2"/>
      <c r="K22" s="2"/>
      <c r="L22" s="2"/>
    </row>
    <row r="23" spans="1:14" ht="15.75" thickBot="1" x14ac:dyDescent="0.3">
      <c r="A23" s="10" t="s">
        <v>1272</v>
      </c>
      <c r="B23" s="69">
        <f>B17+B19+B22</f>
        <v>291061018.86000001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N23" s="43"/>
    </row>
  </sheetData>
  <sheetProtection algorithmName="SHA-512" hashValue="HBIsVu4u5hUAw2rTGDYTys0TS1LmKXWqY5gFJNPs2jtGcW2EBwj0FIk5HEqYn0d08EZFxepHzN/37MMKbZ7gkw==" saltValue="J6DbpDWnhItKAOAKwPZs7w==" spinCount="100000" sheet="1" objects="1" scenarios="1"/>
  <phoneticPr fontId="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85DC-62F1-4FC0-9717-51C5497BC9D0}">
  <dimension ref="A1:AG318"/>
  <sheetViews>
    <sheetView workbookViewId="0">
      <selection activeCell="AE318" sqref="AE318"/>
    </sheetView>
  </sheetViews>
  <sheetFormatPr defaultRowHeight="15" x14ac:dyDescent="0.25"/>
  <cols>
    <col min="2" max="2" width="23.5703125" customWidth="1"/>
    <col min="4" max="4" width="20.7109375" customWidth="1"/>
    <col min="5" max="5" width="16.7109375" customWidth="1"/>
    <col min="6" max="7" width="15" customWidth="1"/>
    <col min="8" max="8" width="19" customWidth="1"/>
    <col min="9" max="9" width="24.5703125" customWidth="1"/>
    <col min="10" max="10" width="19" customWidth="1"/>
    <col min="11" max="11" width="24.140625" customWidth="1"/>
    <col min="12" max="12" width="13.85546875" customWidth="1"/>
    <col min="13" max="13" width="13.140625" customWidth="1"/>
    <col min="14" max="14" width="14.140625" customWidth="1"/>
    <col min="15" max="15" width="14" customWidth="1"/>
    <col min="16" max="16" width="13.7109375" customWidth="1"/>
    <col min="17" max="17" width="14" customWidth="1"/>
    <col min="18" max="18" width="15.140625" customWidth="1"/>
    <col min="19" max="19" width="11.7109375" customWidth="1"/>
    <col min="20" max="20" width="13.85546875" customWidth="1"/>
    <col min="21" max="22" width="12" bestFit="1" customWidth="1"/>
    <col min="23" max="24" width="15.5703125" customWidth="1"/>
    <col min="25" max="25" width="20" customWidth="1"/>
    <col min="26" max="26" width="17" customWidth="1"/>
    <col min="28" max="28" width="16" customWidth="1"/>
    <col min="30" max="30" width="13.28515625" bestFit="1" customWidth="1"/>
    <col min="31" max="31" width="35.5703125" customWidth="1"/>
    <col min="32" max="32" width="15.28515625" bestFit="1" customWidth="1"/>
  </cols>
  <sheetData>
    <row r="1" spans="1:33" x14ac:dyDescent="0.25">
      <c r="G1" s="43"/>
      <c r="H1" s="43"/>
      <c r="I1" s="12">
        <f>'Assumptions '!B6</f>
        <v>315383302</v>
      </c>
      <c r="J1" s="41"/>
      <c r="K1" s="42">
        <f>'Assumptions '!B12*-1</f>
        <v>21978526.53735365</v>
      </c>
      <c r="L1" s="87" t="s">
        <v>1275</v>
      </c>
      <c r="M1" s="87"/>
      <c r="N1" s="87"/>
      <c r="O1" s="87" t="s">
        <v>1276</v>
      </c>
      <c r="P1" s="87"/>
      <c r="Q1" s="87"/>
      <c r="R1" s="87" t="s">
        <v>1277</v>
      </c>
      <c r="S1" s="87"/>
      <c r="T1" s="87"/>
      <c r="U1" s="87" t="s">
        <v>1278</v>
      </c>
      <c r="V1" s="87"/>
      <c r="W1" s="87"/>
      <c r="X1" s="44">
        <f>X3-K1</f>
        <v>0</v>
      </c>
      <c r="Y1" s="13">
        <f>'Assumptions '!B19*-1</f>
        <v>2245452</v>
      </c>
      <c r="Z1" s="44"/>
      <c r="AA1" s="13">
        <v>0</v>
      </c>
      <c r="AE1" s="39">
        <f>'Assumptions '!B23</f>
        <v>291061018.86000001</v>
      </c>
      <c r="AF1" s="43" t="str">
        <f>IF(ROUND(AE3,2)=ROUND(AE1,2), "looks good", "Check model")</f>
        <v>looks good</v>
      </c>
    </row>
    <row r="2" spans="1:33" s="24" customFormat="1" ht="81.75" customHeight="1" x14ac:dyDescent="0.25">
      <c r="A2" s="15" t="s">
        <v>4</v>
      </c>
      <c r="B2" s="16" t="s">
        <v>1279</v>
      </c>
      <c r="C2" s="14" t="s">
        <v>0</v>
      </c>
      <c r="D2" s="17" t="s">
        <v>1280</v>
      </c>
      <c r="E2" s="17" t="s">
        <v>1281</v>
      </c>
      <c r="F2" s="18" t="s">
        <v>1282</v>
      </c>
      <c r="G2" s="18" t="s">
        <v>1283</v>
      </c>
      <c r="H2" s="18" t="s">
        <v>1284</v>
      </c>
      <c r="I2" s="18" t="s">
        <v>1285</v>
      </c>
      <c r="J2" s="18" t="s">
        <v>1420</v>
      </c>
      <c r="K2" s="18" t="s">
        <v>1366</v>
      </c>
      <c r="L2" s="19" t="s">
        <v>1286</v>
      </c>
      <c r="M2" s="20" t="s">
        <v>658</v>
      </c>
      <c r="N2" s="21" t="s">
        <v>659</v>
      </c>
      <c r="O2" s="19" t="s">
        <v>1286</v>
      </c>
      <c r="P2" s="20" t="s">
        <v>658</v>
      </c>
      <c r="Q2" s="21" t="s">
        <v>659</v>
      </c>
      <c r="R2" s="19" t="s">
        <v>1286</v>
      </c>
      <c r="S2" s="20" t="s">
        <v>658</v>
      </c>
      <c r="T2" s="21" t="s">
        <v>659</v>
      </c>
      <c r="U2" s="19" t="s">
        <v>1286</v>
      </c>
      <c r="V2" s="20" t="s">
        <v>658</v>
      </c>
      <c r="W2" s="21" t="s">
        <v>659</v>
      </c>
      <c r="X2" s="19" t="s">
        <v>1382</v>
      </c>
      <c r="Y2" s="22" t="s">
        <v>1287</v>
      </c>
      <c r="Z2" s="22" t="s">
        <v>1288</v>
      </c>
      <c r="AA2" s="22" t="s">
        <v>1289</v>
      </c>
      <c r="AB2" s="22" t="s">
        <v>1290</v>
      </c>
      <c r="AC2" s="22" t="s">
        <v>660</v>
      </c>
      <c r="AD2" s="22" t="s">
        <v>1291</v>
      </c>
      <c r="AE2" s="23" t="s">
        <v>1292</v>
      </c>
      <c r="AF2" s="45">
        <f>AE1-AE3</f>
        <v>0</v>
      </c>
      <c r="AG2" s="24" t="s">
        <v>4</v>
      </c>
    </row>
    <row r="3" spans="1:33" x14ac:dyDescent="0.25">
      <c r="A3" s="5"/>
      <c r="B3" s="6"/>
      <c r="C3" s="1"/>
      <c r="E3" s="25">
        <f>SUM(E4:E318)</f>
        <v>121398317.49194549</v>
      </c>
      <c r="F3" s="25">
        <f>SUM(F4:F318)</f>
        <v>15863786.980916668</v>
      </c>
      <c r="G3" s="25">
        <f>SUM(G4:G318)</f>
        <v>75357036.085869506</v>
      </c>
      <c r="H3" s="25">
        <f>SUM(H4:H318)</f>
        <v>102665856.83862199</v>
      </c>
      <c r="I3" s="81">
        <f>IF(OR(SUM(I4:I318)&gt;$I$1,ROUND(SUM(I4:I318),2)&lt;&gt;ROUND(SUM(Model_allocations[Total Title I Allocation]),2)),"bad", SUM(I4:I318))</f>
        <v>315284997.39735365</v>
      </c>
      <c r="J3" s="25">
        <f>SUM(J4:J318)</f>
        <v>240969157.08119038</v>
      </c>
      <c r="K3" s="25" cm="1">
        <f t="array" ref="K3">SUM(IF(ISERROR(K$4:K$318),0,K$4:K$318))</f>
        <v>293306470.86000013</v>
      </c>
      <c r="L3" s="25" cm="1">
        <f t="array" ref="L3">SUM(IF(ISERROR(L$4:L$318),0,L$4:L$318))</f>
        <v>2188090.6503998637</v>
      </c>
      <c r="M3" s="25" cm="1">
        <f t="array" ref="M3">SUM(IF(ISERROR(M$4:M$318),0,M$4:M$318))</f>
        <v>16740186.005538046</v>
      </c>
      <c r="N3" s="25" cm="1">
        <f t="array" ref="N3">SUM(IF(ISERROR(N$4:N$318),0,N$4:N$318))</f>
        <v>293306470.86000013</v>
      </c>
      <c r="O3" s="25" cm="1">
        <f t="array" ref="O3">SUM(IF(ISERROR(O$4:O$318),0,O$4:O$318))</f>
        <v>0</v>
      </c>
      <c r="P3" s="25" cm="1">
        <f t="array" ref="P3">SUM(IF(ISERROR(P$4:P$318),0,P$4:P$318))</f>
        <v>14552095.355138183</v>
      </c>
      <c r="Q3" s="25" cm="1">
        <f t="array" ref="Q3">SUM(IF(ISERROR(Q$4:Q$318),0,Q$4:Q$318))</f>
        <v>293306470.86000013</v>
      </c>
      <c r="R3" s="26" cm="1">
        <f t="array" ref="R3">SUM(IF(ISERROR(R$4:R$318),0,R$4:R$318))</f>
        <v>0</v>
      </c>
      <c r="S3" s="25" cm="1">
        <f t="array" ref="S3">SUM(IF(ISERROR(S$4:S$318),0,S$4:S$318))</f>
        <v>14552095.355138183</v>
      </c>
      <c r="T3" s="25" cm="1">
        <f t="array" ref="T3">SUM(IF(ISERROR(T$4:T$318),0,T$4:T$318))</f>
        <v>293306470.86000013</v>
      </c>
      <c r="U3" s="25" cm="1">
        <f t="array" ref="U3">SUM(IF(ISERROR(U$4:U$318),0,U$4:U$318))</f>
        <v>0</v>
      </c>
      <c r="V3" s="25" cm="1">
        <f t="array" ref="V3">SUM(IF(ISERROR(V$4:V$318),0,V$4:V$318))</f>
        <v>14552095.355138183</v>
      </c>
      <c r="W3" s="25" cm="1">
        <f t="array" ref="W3">SUM(IF(ISERROR(W$4:W$318),0,W$4:W$318))</f>
        <v>293306470.86000013</v>
      </c>
      <c r="X3" s="25" cm="1">
        <f t="array" ref="X3">SUM(IF(ISERROR(X$4:X$318),0,X$4:X$318))</f>
        <v>21978526.537353642</v>
      </c>
      <c r="Y3" s="40" cm="1">
        <f t="array" ref="Y3">SUM(IF(ISERROR(Y$4:Y$318),0,Y$4:Y$318))</f>
        <v>2245451.9999999986</v>
      </c>
      <c r="Z3" s="25" cm="1">
        <f t="array" ref="Z3">SUM(IF(ISERROR(Z$4:Z$318),0,Z$4:Z$318))</f>
        <v>291061018.8599999</v>
      </c>
      <c r="AD3" s="27">
        <f>SUM(AD4:AD318)</f>
        <v>0</v>
      </c>
      <c r="AE3" s="49">
        <f>SUM($AE$4:$AE$318)</f>
        <v>291061018.8599999</v>
      </c>
      <c r="AF3" s="51"/>
    </row>
    <row r="4" spans="1:33" x14ac:dyDescent="0.25">
      <c r="A4" s="7" t="s">
        <v>309</v>
      </c>
      <c r="B4" s="2" t="s">
        <v>662</v>
      </c>
      <c r="C4" s="4" t="s">
        <v>661</v>
      </c>
      <c r="D4">
        <f>_xlfn.IFNA(VLOOKUP(A4,'Prior Year data'!$A$1:$T$318,12,FALSE),0)</f>
        <v>1662590.0220443809</v>
      </c>
      <c r="E4">
        <f>VLOOKUP(A4,'Basic HH'!$B$1:$Y$319,23,FALSE)</f>
        <v>634938.69375755591</v>
      </c>
      <c r="F4">
        <f>VLOOKUP(A4,'Conc. HH'!$B$1:$Y$319,23,FALSE)</f>
        <v>167295.88148094981</v>
      </c>
      <c r="G4">
        <f>VLOOKUP(A4,'Targeted HH'!$B$1:$Y$319,23,FALSE)</f>
        <v>392655.00860822888</v>
      </c>
      <c r="H4">
        <f>VLOOKUP(A4,'EFIG HH'!$B$1:$Y$319,23,FALSE)</f>
        <v>539711.39546573057</v>
      </c>
      <c r="I4">
        <f t="shared" ref="I4:I67" si="0">SUM(E4:H4)</f>
        <v>1734600.9793124651</v>
      </c>
      <c r="J4">
        <f t="shared" ref="J4:J67" si="1">IF(I4&lt;D4,0,I4)</f>
        <v>1734600.9793124651</v>
      </c>
      <c r="K4" s="43">
        <f t="shared" ref="K4:K67" si="2">IF(J4=0,I4,I4-$K$1*J4/$J$3)</f>
        <v>1576389.9695827286</v>
      </c>
      <c r="L4">
        <f t="shared" ref="L4:L67" si="3">IF($J4=0,0,IF(K4&lt;$D4,$D4-K4,0))</f>
        <v>86200.052461652318</v>
      </c>
      <c r="M4">
        <f t="shared" ref="M4:M67" si="4">IF($J4=0,0,IF(L4&gt;0,0,K4-$D4))</f>
        <v>0</v>
      </c>
      <c r="N4" s="43">
        <f t="shared" ref="N4:N67" si="5">IF(L4&gt;0,L4+K4,K4-$L$3*M4/$M$3)</f>
        <v>1662590.0220443809</v>
      </c>
      <c r="O4">
        <f t="shared" ref="O4:O67" si="6">IF($J4=0,0,IF(N4&lt;$D4,$D4-N4,0))</f>
        <v>0</v>
      </c>
      <c r="P4">
        <f t="shared" ref="P4:P67" si="7">IF($J4=0,0,IF(O4&gt;0,0,N4-$D4))</f>
        <v>0</v>
      </c>
      <c r="Q4" s="43">
        <f t="shared" ref="Q4:Q67" si="8">IF(O4&gt;0,O4+N4,N4-$O$3*P4/$P$3)</f>
        <v>1662590.0220443809</v>
      </c>
      <c r="R4">
        <f t="shared" ref="R4:R67" si="9">IF($J4=0,0,IF(Q4&lt;$D4,$D4-Q4,0))</f>
        <v>0</v>
      </c>
      <c r="S4">
        <f t="shared" ref="S4:S67" si="10">IF($J4=0,0,IF(R4&gt;0,0,Q4-$D4))</f>
        <v>0</v>
      </c>
      <c r="T4" s="43">
        <f t="shared" ref="T4:T67" si="11">IF(R4&gt;0,R4+Q4,Q4-$R$3*S4/$S$3)</f>
        <v>1662590.0220443809</v>
      </c>
      <c r="U4">
        <f t="shared" ref="U4:U67" si="12">IF($J4=0,0,IF(T4&lt;$D4,$D4-T4,0))</f>
        <v>0</v>
      </c>
      <c r="V4">
        <f t="shared" ref="V4:V67" si="13">IF($J4=0,0,IF(U4&gt;0,0,T4-$D4))</f>
        <v>0</v>
      </c>
      <c r="W4" s="43">
        <f t="shared" ref="W4:W67" si="14">IF(U4&gt;0,U4+T4,T4-$U$3*V4/$V$3)</f>
        <v>1662590.0220443809</v>
      </c>
      <c r="X4" s="43">
        <f t="shared" ref="X4:X67" si="15">I4-W4</f>
        <v>72010.957268084167</v>
      </c>
      <c r="Y4" s="27">
        <f t="shared" ref="Y4:Y67" si="16">W4/$W$3*$Y$1</f>
        <v>12728.209095535252</v>
      </c>
      <c r="Z4" s="27">
        <f t="shared" ref="Z4:Z67" si="17">W4-Y4</f>
        <v>1649861.8129488456</v>
      </c>
      <c r="AA4">
        <f t="shared" ref="AA4:AA67" si="18">Z4/$Z$3*$AA$1</f>
        <v>0</v>
      </c>
      <c r="AB4" s="27">
        <f t="shared" ref="AB4:AB67" si="19">Z4-AA4</f>
        <v>1649861.8129488456</v>
      </c>
      <c r="AD4" s="27">
        <f t="shared" ref="AD4:AD67" si="20">IF(AC4&gt;0,AC4*AB4,0)</f>
        <v>0</v>
      </c>
      <c r="AE4" s="27">
        <f t="shared" ref="AE4:AE67" si="21">AB4-AD4</f>
        <v>1649861.8129488456</v>
      </c>
      <c r="AF4" s="50"/>
      <c r="AG4" t="str">
        <f t="shared" ref="AG4:AG67" si="22">A4</f>
        <v>5300030</v>
      </c>
    </row>
    <row r="5" spans="1:33" x14ac:dyDescent="0.25">
      <c r="A5" s="7" t="s">
        <v>260</v>
      </c>
      <c r="B5" s="2" t="s">
        <v>664</v>
      </c>
      <c r="C5" s="4" t="s">
        <v>663</v>
      </c>
      <c r="D5">
        <f>_xlfn.IFNA(VLOOKUP(A5,'Prior Year data'!$A$1:$T$318,12,FALSE),0)</f>
        <v>69271.593677719036</v>
      </c>
      <c r="E5">
        <f>VLOOKUP(A5,'Basic HH'!$B$1:$Y$319,23,FALSE)</f>
        <v>57323.616722079794</v>
      </c>
      <c r="F5">
        <f>VLOOKUP(A5,'Conc. HH'!$B$1:$Y$319,23,FALSE)</f>
        <v>0</v>
      </c>
      <c r="G5">
        <f>VLOOKUP(A5,'Targeted HH'!$B$1:$Y$319,23,FALSE)</f>
        <v>27659.909783975712</v>
      </c>
      <c r="H5">
        <f>VLOOKUP(A5,'EFIG HH'!$B$1:$Y$319,23,FALSE)</f>
        <v>37632.327816265963</v>
      </c>
      <c r="I5">
        <f t="shared" si="0"/>
        <v>122615.85432232148</v>
      </c>
      <c r="J5">
        <f t="shared" si="1"/>
        <v>122615.85432232148</v>
      </c>
      <c r="K5" s="43">
        <f t="shared" si="2"/>
        <v>111432.19978011205</v>
      </c>
      <c r="L5">
        <f t="shared" si="3"/>
        <v>0</v>
      </c>
      <c r="M5">
        <f t="shared" si="4"/>
        <v>42160.606102393009</v>
      </c>
      <c r="N5" s="43">
        <f t="shared" si="5"/>
        <v>105921.43496559214</v>
      </c>
      <c r="O5">
        <f t="shared" si="6"/>
        <v>0</v>
      </c>
      <c r="P5">
        <f t="shared" si="7"/>
        <v>36649.841287873103</v>
      </c>
      <c r="Q5" s="43">
        <f t="shared" si="8"/>
        <v>105921.43496559214</v>
      </c>
      <c r="R5">
        <f t="shared" si="9"/>
        <v>0</v>
      </c>
      <c r="S5">
        <f t="shared" si="10"/>
        <v>36649.841287873103</v>
      </c>
      <c r="T5" s="43">
        <f t="shared" si="11"/>
        <v>105921.43496559214</v>
      </c>
      <c r="U5">
        <f t="shared" si="12"/>
        <v>0</v>
      </c>
      <c r="V5">
        <f t="shared" si="13"/>
        <v>36649.841287873103</v>
      </c>
      <c r="W5" s="43">
        <f t="shared" si="14"/>
        <v>105921.43496559214</v>
      </c>
      <c r="X5" s="43">
        <f t="shared" si="15"/>
        <v>16694.419356729341</v>
      </c>
      <c r="Y5" s="27">
        <f t="shared" si="16"/>
        <v>810.8975478412965</v>
      </c>
      <c r="Z5" s="27">
        <f t="shared" si="17"/>
        <v>105110.53741775085</v>
      </c>
      <c r="AA5">
        <f t="shared" si="18"/>
        <v>0</v>
      </c>
      <c r="AB5" s="27">
        <f t="shared" si="19"/>
        <v>105110.53741775085</v>
      </c>
      <c r="AD5" s="27">
        <f t="shared" si="20"/>
        <v>0</v>
      </c>
      <c r="AE5" s="27">
        <f t="shared" si="21"/>
        <v>105110.53741775085</v>
      </c>
      <c r="AF5" s="50"/>
      <c r="AG5" t="str">
        <f t="shared" si="22"/>
        <v>5300060</v>
      </c>
    </row>
    <row r="6" spans="1:33" x14ac:dyDescent="0.25">
      <c r="A6" s="7" t="s">
        <v>262</v>
      </c>
      <c r="B6" s="2" t="s">
        <v>666</v>
      </c>
      <c r="C6" s="4" t="s">
        <v>665</v>
      </c>
      <c r="D6">
        <f>_xlfn.IFNA(VLOOKUP(A6,'Prior Year data'!$A$1:$T$318,12,FALSE),0)</f>
        <v>0</v>
      </c>
      <c r="E6">
        <f>VLOOKUP(A6,'Basic HH'!$B$1:$Y$319,23,FALSE)</f>
        <v>15633.713651476308</v>
      </c>
      <c r="F6">
        <f>VLOOKUP(A6,'Conc. HH'!$B$1:$Y$319,23,FALSE)</f>
        <v>4207.239576282991</v>
      </c>
      <c r="G6">
        <f>VLOOKUP(A6,'Targeted HH'!$B$1:$Y$319,23,FALSE)</f>
        <v>8353.2298913293325</v>
      </c>
      <c r="H6">
        <f>VLOOKUP(A6,'EFIG HH'!$B$1:$Y$319,23,FALSE)</f>
        <v>11364.877472494558</v>
      </c>
      <c r="I6">
        <f t="shared" si="0"/>
        <v>39559.060591583184</v>
      </c>
      <c r="J6">
        <f t="shared" si="1"/>
        <v>39559.060591583184</v>
      </c>
      <c r="K6" s="43">
        <f t="shared" si="2"/>
        <v>35950.923045947224</v>
      </c>
      <c r="L6">
        <f t="shared" si="3"/>
        <v>0</v>
      </c>
      <c r="M6">
        <f t="shared" si="4"/>
        <v>35950.923045947224</v>
      </c>
      <c r="N6" s="43">
        <f t="shared" si="5"/>
        <v>31251.818832645276</v>
      </c>
      <c r="O6">
        <f t="shared" si="6"/>
        <v>0</v>
      </c>
      <c r="P6">
        <f t="shared" si="7"/>
        <v>31251.818832645276</v>
      </c>
      <c r="Q6" s="43">
        <f t="shared" si="8"/>
        <v>31251.818832645276</v>
      </c>
      <c r="R6">
        <f t="shared" si="9"/>
        <v>0</v>
      </c>
      <c r="S6">
        <f t="shared" si="10"/>
        <v>31251.818832645276</v>
      </c>
      <c r="T6" s="43">
        <f t="shared" si="11"/>
        <v>31251.818832645276</v>
      </c>
      <c r="U6">
        <f t="shared" si="12"/>
        <v>0</v>
      </c>
      <c r="V6">
        <f t="shared" si="13"/>
        <v>31251.818832645276</v>
      </c>
      <c r="W6" s="43">
        <f t="shared" si="14"/>
        <v>31251.818832645276</v>
      </c>
      <c r="X6" s="43">
        <f t="shared" si="15"/>
        <v>8307.2417589379074</v>
      </c>
      <c r="Y6" s="27">
        <f t="shared" si="16"/>
        <v>239.25302055438252</v>
      </c>
      <c r="Z6" s="27">
        <f t="shared" si="17"/>
        <v>31012.565812090896</v>
      </c>
      <c r="AA6">
        <f t="shared" si="18"/>
        <v>0</v>
      </c>
      <c r="AB6" s="27">
        <f t="shared" si="19"/>
        <v>31012.565812090896</v>
      </c>
      <c r="AD6" s="27">
        <f t="shared" si="20"/>
        <v>0</v>
      </c>
      <c r="AE6" s="27">
        <f t="shared" si="21"/>
        <v>31012.565812090896</v>
      </c>
      <c r="AF6" s="50"/>
      <c r="AG6" t="str">
        <f t="shared" si="22"/>
        <v>5300090</v>
      </c>
    </row>
    <row r="7" spans="1:33" x14ac:dyDescent="0.25">
      <c r="A7" s="7" t="s">
        <v>89</v>
      </c>
      <c r="B7" s="2" t="s">
        <v>668</v>
      </c>
      <c r="C7" s="4" t="s">
        <v>667</v>
      </c>
      <c r="D7">
        <f>_xlfn.IFNA(VLOOKUP(A7,'Prior Year data'!$A$1:$T$318,12,FALSE),0)</f>
        <v>441426.27135453548</v>
      </c>
      <c r="E7">
        <f>VLOOKUP(A7,'Basic HH'!$B$1:$Y$319,23,FALSE)</f>
        <v>205843.89641110483</v>
      </c>
      <c r="F7">
        <f>VLOOKUP(A7,'Conc. HH'!$B$1:$Y$319,23,FALSE)</f>
        <v>0</v>
      </c>
      <c r="G7">
        <f>VLOOKUP(A7,'Targeted HH'!$B$1:$Y$319,23,FALSE)</f>
        <v>99324.221497003688</v>
      </c>
      <c r="H7">
        <f>VLOOKUP(A7,'EFIG HH'!$B$1:$Y$319,23,FALSE)</f>
        <v>135134.2680675005</v>
      </c>
      <c r="I7">
        <f t="shared" si="0"/>
        <v>440302.38597560901</v>
      </c>
      <c r="J7">
        <f t="shared" si="1"/>
        <v>0</v>
      </c>
      <c r="K7" s="43">
        <f t="shared" si="2"/>
        <v>440302.38597560901</v>
      </c>
      <c r="L7">
        <f t="shared" si="3"/>
        <v>0</v>
      </c>
      <c r="M7">
        <f t="shared" si="4"/>
        <v>0</v>
      </c>
      <c r="N7" s="43">
        <f t="shared" si="5"/>
        <v>440302.38597560901</v>
      </c>
      <c r="O7">
        <f t="shared" si="6"/>
        <v>0</v>
      </c>
      <c r="P7">
        <f t="shared" si="7"/>
        <v>0</v>
      </c>
      <c r="Q7" s="43">
        <f t="shared" si="8"/>
        <v>440302.38597560901</v>
      </c>
      <c r="R7">
        <f t="shared" si="9"/>
        <v>0</v>
      </c>
      <c r="S7">
        <f t="shared" si="10"/>
        <v>0</v>
      </c>
      <c r="T7" s="43">
        <f t="shared" si="11"/>
        <v>440302.38597560901</v>
      </c>
      <c r="U7">
        <f t="shared" si="12"/>
        <v>0</v>
      </c>
      <c r="V7">
        <f t="shared" si="13"/>
        <v>0</v>
      </c>
      <c r="W7" s="43">
        <f t="shared" si="14"/>
        <v>440302.38597560901</v>
      </c>
      <c r="X7" s="43">
        <f t="shared" si="15"/>
        <v>0</v>
      </c>
      <c r="Y7" s="27">
        <f t="shared" si="16"/>
        <v>3370.8014361047458</v>
      </c>
      <c r="Z7" s="27">
        <f t="shared" si="17"/>
        <v>436931.58453950426</v>
      </c>
      <c r="AA7">
        <f t="shared" si="18"/>
        <v>0</v>
      </c>
      <c r="AB7" s="27">
        <f t="shared" si="19"/>
        <v>436931.58453950426</v>
      </c>
      <c r="AD7" s="27">
        <f t="shared" si="20"/>
        <v>0</v>
      </c>
      <c r="AE7" s="27">
        <f t="shared" si="21"/>
        <v>436931.58453950426</v>
      </c>
      <c r="AF7" s="50"/>
      <c r="AG7" t="str">
        <f t="shared" si="22"/>
        <v>5300150</v>
      </c>
    </row>
    <row r="8" spans="1:33" x14ac:dyDescent="0.25">
      <c r="A8" s="7" t="s">
        <v>91</v>
      </c>
      <c r="B8" s="2" t="s">
        <v>670</v>
      </c>
      <c r="C8" s="4" t="s">
        <v>669</v>
      </c>
      <c r="D8">
        <f>_xlfn.IFNA(VLOOKUP(A8,'Prior Year data'!$A$1:$T$318,12,FALSE),0)</f>
        <v>878153.98159198533</v>
      </c>
      <c r="E8">
        <f>VLOOKUP(A8,'Basic HH'!$B$1:$Y$319,23,FALSE)</f>
        <v>470748.48883889767</v>
      </c>
      <c r="F8">
        <f>VLOOKUP(A8,'Conc. HH'!$B$1:$Y$319,23,FALSE)</f>
        <v>0</v>
      </c>
      <c r="G8">
        <f>VLOOKUP(A8,'Targeted HH'!$B$1:$Y$319,23,FALSE)</f>
        <v>227146.53186234599</v>
      </c>
      <c r="H8">
        <f>VLOOKUP(A8,'EFIG HH'!$B$1:$Y$319,23,FALSE)</f>
        <v>309041.23752145679</v>
      </c>
      <c r="I8">
        <f t="shared" si="0"/>
        <v>1006936.2582227004</v>
      </c>
      <c r="J8">
        <f t="shared" si="1"/>
        <v>1006936.2582227004</v>
      </c>
      <c r="K8" s="43">
        <f t="shared" si="2"/>
        <v>915094.7315275867</v>
      </c>
      <c r="L8">
        <f t="shared" si="3"/>
        <v>0</v>
      </c>
      <c r="M8">
        <f t="shared" si="4"/>
        <v>36940.749935601372</v>
      </c>
      <c r="N8" s="43">
        <f t="shared" si="5"/>
        <v>910266.24816867372</v>
      </c>
      <c r="O8">
        <f t="shared" si="6"/>
        <v>0</v>
      </c>
      <c r="P8">
        <f t="shared" si="7"/>
        <v>32112.266576688387</v>
      </c>
      <c r="Q8" s="43">
        <f t="shared" si="8"/>
        <v>910266.24816867372</v>
      </c>
      <c r="R8">
        <f t="shared" si="9"/>
        <v>0</v>
      </c>
      <c r="S8">
        <f t="shared" si="10"/>
        <v>32112.266576688387</v>
      </c>
      <c r="T8" s="43">
        <f t="shared" si="11"/>
        <v>910266.24816867372</v>
      </c>
      <c r="U8">
        <f t="shared" si="12"/>
        <v>0</v>
      </c>
      <c r="V8">
        <f t="shared" si="13"/>
        <v>32112.266576688387</v>
      </c>
      <c r="W8" s="43">
        <f t="shared" si="14"/>
        <v>910266.24816867372</v>
      </c>
      <c r="X8" s="43">
        <f t="shared" si="15"/>
        <v>96670.01005402673</v>
      </c>
      <c r="Y8" s="27">
        <f t="shared" si="16"/>
        <v>6968.6807846065531</v>
      </c>
      <c r="Z8" s="27">
        <f t="shared" si="17"/>
        <v>903297.56738406711</v>
      </c>
      <c r="AA8">
        <f t="shared" si="18"/>
        <v>0</v>
      </c>
      <c r="AB8" s="27">
        <f t="shared" si="19"/>
        <v>903297.56738406711</v>
      </c>
      <c r="AD8" s="27">
        <f t="shared" si="20"/>
        <v>0</v>
      </c>
      <c r="AE8" s="27">
        <f t="shared" si="21"/>
        <v>903297.56738406711</v>
      </c>
      <c r="AF8" s="50"/>
      <c r="AG8" t="str">
        <f t="shared" si="22"/>
        <v>5300240</v>
      </c>
    </row>
    <row r="9" spans="1:33" x14ac:dyDescent="0.25">
      <c r="A9" s="7" t="s">
        <v>310</v>
      </c>
      <c r="B9" s="2" t="s">
        <v>672</v>
      </c>
      <c r="C9" s="4" t="s">
        <v>671</v>
      </c>
      <c r="D9">
        <f>_xlfn.IFNA(VLOOKUP(A9,'Prior Year data'!$A$1:$T$318,12,FALSE),0)</f>
        <v>94043.459958956228</v>
      </c>
      <c r="E9">
        <f>VLOOKUP(A9,'Basic HH'!$B$1:$Y$319,23,FALSE)</f>
        <v>37358.131662173764</v>
      </c>
      <c r="F9">
        <f>VLOOKUP(A9,'Conc. HH'!$B$1:$Y$319,23,FALSE)</f>
        <v>0</v>
      </c>
      <c r="G9">
        <f>VLOOKUP(A9,'Targeted HH'!$B$1:$Y$319,23,FALSE)</f>
        <v>18159.578573091469</v>
      </c>
      <c r="H9">
        <f>VLOOKUP(A9,'EFIG HH'!$B$1:$Y$319,23,FALSE)</f>
        <v>25040.854196024917</v>
      </c>
      <c r="I9">
        <f t="shared" si="0"/>
        <v>80558.564431290142</v>
      </c>
      <c r="J9">
        <f t="shared" si="1"/>
        <v>0</v>
      </c>
      <c r="K9" s="43">
        <f t="shared" si="2"/>
        <v>80558.564431290142</v>
      </c>
      <c r="L9">
        <f t="shared" si="3"/>
        <v>0</v>
      </c>
      <c r="M9">
        <f t="shared" si="4"/>
        <v>0</v>
      </c>
      <c r="N9" s="43">
        <f t="shared" si="5"/>
        <v>80558.564431290142</v>
      </c>
      <c r="O9">
        <f t="shared" si="6"/>
        <v>0</v>
      </c>
      <c r="P9">
        <f t="shared" si="7"/>
        <v>0</v>
      </c>
      <c r="Q9" s="43">
        <f t="shared" si="8"/>
        <v>80558.564431290142</v>
      </c>
      <c r="R9">
        <f t="shared" si="9"/>
        <v>0</v>
      </c>
      <c r="S9">
        <f t="shared" si="10"/>
        <v>0</v>
      </c>
      <c r="T9" s="43">
        <f t="shared" si="11"/>
        <v>80558.564431290142</v>
      </c>
      <c r="U9">
        <f t="shared" si="12"/>
        <v>0</v>
      </c>
      <c r="V9">
        <f t="shared" si="13"/>
        <v>0</v>
      </c>
      <c r="W9" s="43">
        <f t="shared" si="14"/>
        <v>80558.564431290142</v>
      </c>
      <c r="X9" s="43">
        <f t="shared" si="15"/>
        <v>0</v>
      </c>
      <c r="Y9" s="27">
        <f t="shared" si="16"/>
        <v>616.72826067895096</v>
      </c>
      <c r="Z9" s="27">
        <f t="shared" si="17"/>
        <v>79941.83617061119</v>
      </c>
      <c r="AA9">
        <f t="shared" si="18"/>
        <v>0</v>
      </c>
      <c r="AB9" s="27">
        <f t="shared" si="19"/>
        <v>79941.83617061119</v>
      </c>
      <c r="AD9" s="27">
        <f t="shared" si="20"/>
        <v>0</v>
      </c>
      <c r="AE9" s="27">
        <f t="shared" si="21"/>
        <v>79941.83617061119</v>
      </c>
      <c r="AF9" s="50"/>
      <c r="AG9" t="str">
        <f t="shared" si="22"/>
        <v>5300280</v>
      </c>
    </row>
    <row r="10" spans="1:33" x14ac:dyDescent="0.25">
      <c r="A10" s="7" t="s">
        <v>312</v>
      </c>
      <c r="B10" s="2" t="s">
        <v>674</v>
      </c>
      <c r="C10" s="4" t="s">
        <v>673</v>
      </c>
      <c r="D10">
        <f>_xlfn.IFNA(VLOOKUP(A10,'Prior Year data'!$A$1:$T$318,12,FALSE),0)</f>
        <v>6689919.7400318375</v>
      </c>
      <c r="E10">
        <f>VLOOKUP(A10,'Basic HH'!$B$1:$Y$319,23,FALSE)</f>
        <v>2493577.3274104716</v>
      </c>
      <c r="F10">
        <f>VLOOKUP(A10,'Conc. HH'!$B$1:$Y$319,23,FALSE)</f>
        <v>671054.71241713746</v>
      </c>
      <c r="G10">
        <f>VLOOKUP(A10,'Targeted HH'!$B$1:$Y$319,23,FALSE)</f>
        <v>1787626.4421749767</v>
      </c>
      <c r="H10">
        <f>VLOOKUP(A10,'EFIG HH'!$B$1:$Y$319,23,FALSE)</f>
        <v>2432131.7318224618</v>
      </c>
      <c r="I10">
        <f t="shared" si="0"/>
        <v>7384390.2138250479</v>
      </c>
      <c r="J10">
        <f t="shared" si="1"/>
        <v>7384390.2138250479</v>
      </c>
      <c r="K10" s="43">
        <f t="shared" si="2"/>
        <v>6710868.2650303943</v>
      </c>
      <c r="L10">
        <f t="shared" si="3"/>
        <v>0</v>
      </c>
      <c r="M10">
        <f t="shared" si="4"/>
        <v>20948.524998556823</v>
      </c>
      <c r="N10" s="43">
        <f t="shared" si="5"/>
        <v>6708130.107182337</v>
      </c>
      <c r="O10">
        <f t="shared" si="6"/>
        <v>0</v>
      </c>
      <c r="P10">
        <f t="shared" si="7"/>
        <v>18210.367150499485</v>
      </c>
      <c r="Q10" s="43">
        <f t="shared" si="8"/>
        <v>6708130.107182337</v>
      </c>
      <c r="R10">
        <f t="shared" si="9"/>
        <v>0</v>
      </c>
      <c r="S10">
        <f t="shared" si="10"/>
        <v>18210.367150499485</v>
      </c>
      <c r="T10" s="43">
        <f t="shared" si="11"/>
        <v>6708130.107182337</v>
      </c>
      <c r="U10">
        <f t="shared" si="12"/>
        <v>0</v>
      </c>
      <c r="V10">
        <f t="shared" si="13"/>
        <v>18210.367150499485</v>
      </c>
      <c r="W10" s="43">
        <f t="shared" si="14"/>
        <v>6708130.107182337</v>
      </c>
      <c r="X10" s="43">
        <f t="shared" si="15"/>
        <v>676260.10664271098</v>
      </c>
      <c r="Y10" s="27">
        <f t="shared" si="16"/>
        <v>51355.103490446003</v>
      </c>
      <c r="Z10" s="27">
        <f t="shared" si="17"/>
        <v>6656775.0036918912</v>
      </c>
      <c r="AA10">
        <f t="shared" si="18"/>
        <v>0</v>
      </c>
      <c r="AB10" s="27">
        <f t="shared" si="19"/>
        <v>6656775.0036918912</v>
      </c>
      <c r="AD10" s="27">
        <f t="shared" si="20"/>
        <v>0</v>
      </c>
      <c r="AE10" s="27">
        <f t="shared" si="21"/>
        <v>6656775.0036918912</v>
      </c>
      <c r="AF10" s="50"/>
      <c r="AG10" t="str">
        <f t="shared" si="22"/>
        <v>5300300</v>
      </c>
    </row>
    <row r="11" spans="1:33" x14ac:dyDescent="0.25">
      <c r="A11" s="7" t="s">
        <v>93</v>
      </c>
      <c r="B11" s="2" t="s">
        <v>676</v>
      </c>
      <c r="C11" s="4" t="s">
        <v>675</v>
      </c>
      <c r="D11">
        <f>_xlfn.IFNA(VLOOKUP(A11,'Prior Year data'!$A$1:$T$318,12,FALSE),0)</f>
        <v>113313.31064225844</v>
      </c>
      <c r="E11">
        <f>VLOOKUP(A11,'Basic HH'!$B$1:$Y$319,23,FALSE)</f>
        <v>131149.48674294015</v>
      </c>
      <c r="F11">
        <f>VLOOKUP(A11,'Conc. HH'!$B$1:$Y$319,23,FALSE)</f>
        <v>0</v>
      </c>
      <c r="G11">
        <f>VLOOKUP(A11,'Targeted HH'!$B$1:$Y$319,23,FALSE)</f>
        <v>0</v>
      </c>
      <c r="H11">
        <f>VLOOKUP(A11,'EFIG HH'!$B$1:$Y$319,23,FALSE)</f>
        <v>0</v>
      </c>
      <c r="I11">
        <f t="shared" si="0"/>
        <v>131149.48674294015</v>
      </c>
      <c r="J11">
        <f t="shared" si="1"/>
        <v>131149.48674294015</v>
      </c>
      <c r="K11" s="43">
        <f t="shared" si="2"/>
        <v>119187.48915928748</v>
      </c>
      <c r="L11">
        <f t="shared" si="3"/>
        <v>0</v>
      </c>
      <c r="M11">
        <f t="shared" si="4"/>
        <v>5874.1785170290386</v>
      </c>
      <c r="N11" s="43">
        <f t="shared" si="5"/>
        <v>118419.68197437096</v>
      </c>
      <c r="O11">
        <f t="shared" si="6"/>
        <v>0</v>
      </c>
      <c r="P11">
        <f t="shared" si="7"/>
        <v>5106.3713321125251</v>
      </c>
      <c r="Q11" s="43">
        <f t="shared" si="8"/>
        <v>118419.68197437096</v>
      </c>
      <c r="R11">
        <f t="shared" si="9"/>
        <v>0</v>
      </c>
      <c r="S11">
        <f t="shared" si="10"/>
        <v>5106.3713321125251</v>
      </c>
      <c r="T11" s="43">
        <f t="shared" si="11"/>
        <v>118419.68197437096</v>
      </c>
      <c r="U11">
        <f t="shared" si="12"/>
        <v>0</v>
      </c>
      <c r="V11">
        <f t="shared" si="13"/>
        <v>5106.3713321125251</v>
      </c>
      <c r="W11" s="43">
        <f t="shared" si="14"/>
        <v>118419.68197437096</v>
      </c>
      <c r="X11" s="43">
        <f t="shared" si="15"/>
        <v>12729.804768569185</v>
      </c>
      <c r="Y11" s="27">
        <f t="shared" si="16"/>
        <v>906.57976603467534</v>
      </c>
      <c r="Z11" s="27">
        <f t="shared" si="17"/>
        <v>117513.10220833629</v>
      </c>
      <c r="AA11">
        <f t="shared" si="18"/>
        <v>0</v>
      </c>
      <c r="AB11" s="27">
        <f t="shared" si="19"/>
        <v>117513.10220833629</v>
      </c>
      <c r="AD11" s="27">
        <f t="shared" si="20"/>
        <v>0</v>
      </c>
      <c r="AE11" s="27">
        <f t="shared" si="21"/>
        <v>117513.10220833629</v>
      </c>
      <c r="AF11" s="50"/>
      <c r="AG11" t="str">
        <f t="shared" si="22"/>
        <v>5300330</v>
      </c>
    </row>
    <row r="12" spans="1:33" x14ac:dyDescent="0.25">
      <c r="A12" s="7" t="s">
        <v>95</v>
      </c>
      <c r="B12" s="2" t="s">
        <v>678</v>
      </c>
      <c r="C12" s="4" t="s">
        <v>677</v>
      </c>
      <c r="D12">
        <f>_xlfn.IFNA(VLOOKUP(A12,'Prior Year data'!$A$1:$T$318,12,FALSE),0)</f>
        <v>1829693.5006773435</v>
      </c>
      <c r="E12">
        <f>VLOOKUP(A12,'Basic HH'!$B$1:$Y$319,23,FALSE)</f>
        <v>774737.3653953817</v>
      </c>
      <c r="F12">
        <f>VLOOKUP(A12,'Conc. HH'!$B$1:$Y$319,23,FALSE)</f>
        <v>0</v>
      </c>
      <c r="G12">
        <f>VLOOKUP(A12,'Targeted HH'!$B$1:$Y$319,23,FALSE)</f>
        <v>415946.37061508925</v>
      </c>
      <c r="H12">
        <f>VLOOKUP(A12,'EFIG HH'!$B$1:$Y$319,23,FALSE)</f>
        <v>565910.3842067268</v>
      </c>
      <c r="I12">
        <f t="shared" si="0"/>
        <v>1756594.1202171976</v>
      </c>
      <c r="J12">
        <f t="shared" si="1"/>
        <v>0</v>
      </c>
      <c r="K12" s="43">
        <f t="shared" si="2"/>
        <v>1756594.1202171976</v>
      </c>
      <c r="L12">
        <f t="shared" si="3"/>
        <v>0</v>
      </c>
      <c r="M12">
        <f t="shared" si="4"/>
        <v>0</v>
      </c>
      <c r="N12" s="43">
        <f t="shared" si="5"/>
        <v>1756594.1202171976</v>
      </c>
      <c r="O12">
        <f t="shared" si="6"/>
        <v>0</v>
      </c>
      <c r="P12">
        <f t="shared" si="7"/>
        <v>0</v>
      </c>
      <c r="Q12" s="43">
        <f t="shared" si="8"/>
        <v>1756594.1202171976</v>
      </c>
      <c r="R12">
        <f t="shared" si="9"/>
        <v>0</v>
      </c>
      <c r="S12">
        <f t="shared" si="10"/>
        <v>0</v>
      </c>
      <c r="T12" s="43">
        <f t="shared" si="11"/>
        <v>1756594.1202171976</v>
      </c>
      <c r="U12">
        <f t="shared" si="12"/>
        <v>0</v>
      </c>
      <c r="V12">
        <f t="shared" si="13"/>
        <v>0</v>
      </c>
      <c r="W12" s="43">
        <f t="shared" si="14"/>
        <v>1756594.1202171976</v>
      </c>
      <c r="X12" s="43">
        <f t="shared" si="15"/>
        <v>0</v>
      </c>
      <c r="Y12" s="27">
        <f t="shared" si="16"/>
        <v>13447.871671104887</v>
      </c>
      <c r="Z12" s="27">
        <f t="shared" si="17"/>
        <v>1743146.2485460928</v>
      </c>
      <c r="AA12">
        <f t="shared" si="18"/>
        <v>0</v>
      </c>
      <c r="AB12" s="27">
        <f t="shared" si="19"/>
        <v>1743146.2485460928</v>
      </c>
      <c r="AD12" s="27">
        <f t="shared" si="20"/>
        <v>0</v>
      </c>
      <c r="AE12" s="27">
        <f t="shared" si="21"/>
        <v>1743146.2485460928</v>
      </c>
      <c r="AF12" s="50"/>
      <c r="AG12" t="str">
        <f t="shared" si="22"/>
        <v>5300380</v>
      </c>
    </row>
    <row r="13" spans="1:33" x14ac:dyDescent="0.25">
      <c r="A13" s="7" t="s">
        <v>97</v>
      </c>
      <c r="B13" s="2" t="s">
        <v>680</v>
      </c>
      <c r="C13" s="4" t="s">
        <v>679</v>
      </c>
      <c r="D13">
        <f>_xlfn.IFNA(VLOOKUP(A13,'Prior Year data'!$A$1:$T$318,12,FALSE),0)</f>
        <v>2780129.1147735142</v>
      </c>
      <c r="E13">
        <f>VLOOKUP(A13,'Basic HH'!$B$1:$Y$319,23,FALSE)</f>
        <v>1269804.9643587982</v>
      </c>
      <c r="F13">
        <f>VLOOKUP(A13,'Conc. HH'!$B$1:$Y$319,23,FALSE)</f>
        <v>0</v>
      </c>
      <c r="G13">
        <f>VLOOKUP(A13,'Targeted HH'!$B$1:$Y$319,23,FALSE)</f>
        <v>774267.92918022932</v>
      </c>
      <c r="H13">
        <f>VLOOKUP(A13,'EFIG HH'!$B$1:$Y$319,23,FALSE)</f>
        <v>1053420.0854628994</v>
      </c>
      <c r="I13">
        <f t="shared" si="0"/>
        <v>3097492.9790019272</v>
      </c>
      <c r="J13">
        <f t="shared" si="1"/>
        <v>3097492.9790019272</v>
      </c>
      <c r="K13" s="43">
        <f t="shared" si="2"/>
        <v>2814974.1186511703</v>
      </c>
      <c r="L13">
        <f t="shared" si="3"/>
        <v>0</v>
      </c>
      <c r="M13">
        <f t="shared" si="4"/>
        <v>34845.003877656069</v>
      </c>
      <c r="N13" s="43">
        <f t="shared" si="5"/>
        <v>2810419.5678730235</v>
      </c>
      <c r="O13">
        <f t="shared" si="6"/>
        <v>0</v>
      </c>
      <c r="P13">
        <f t="shared" si="7"/>
        <v>30290.453099509235</v>
      </c>
      <c r="Q13" s="43">
        <f t="shared" si="8"/>
        <v>2810419.5678730235</v>
      </c>
      <c r="R13">
        <f t="shared" si="9"/>
        <v>0</v>
      </c>
      <c r="S13">
        <f t="shared" si="10"/>
        <v>30290.453099509235</v>
      </c>
      <c r="T13" s="43">
        <f t="shared" si="11"/>
        <v>2810419.5678730235</v>
      </c>
      <c r="U13">
        <f t="shared" si="12"/>
        <v>0</v>
      </c>
      <c r="V13">
        <f t="shared" si="13"/>
        <v>30290.453099509235</v>
      </c>
      <c r="W13" s="43">
        <f t="shared" si="14"/>
        <v>2810419.5678730235</v>
      </c>
      <c r="X13" s="43">
        <f t="shared" si="15"/>
        <v>287073.41112890374</v>
      </c>
      <c r="Y13" s="27">
        <f t="shared" si="16"/>
        <v>21515.591596108345</v>
      </c>
      <c r="Z13" s="27">
        <f t="shared" si="17"/>
        <v>2788903.9762769151</v>
      </c>
      <c r="AA13">
        <f t="shared" si="18"/>
        <v>0</v>
      </c>
      <c r="AB13" s="27">
        <f t="shared" si="19"/>
        <v>2788903.9762769151</v>
      </c>
      <c r="AD13" s="27">
        <f t="shared" si="20"/>
        <v>0</v>
      </c>
      <c r="AE13" s="27">
        <f t="shared" si="21"/>
        <v>2788903.9762769151</v>
      </c>
      <c r="AF13" s="50"/>
      <c r="AG13" t="str">
        <f t="shared" si="22"/>
        <v>5300390</v>
      </c>
    </row>
    <row r="14" spans="1:33" x14ac:dyDescent="0.25">
      <c r="A14" s="7" t="s">
        <v>56</v>
      </c>
      <c r="B14" s="2" t="s">
        <v>681</v>
      </c>
      <c r="C14" s="4" t="s">
        <v>14</v>
      </c>
      <c r="D14">
        <f>_xlfn.IFNA(VLOOKUP(A14,'Prior Year data'!$A$1:$T$318,12,FALSE),0)</f>
        <v>3081575.6047793725</v>
      </c>
      <c r="E14">
        <f>VLOOKUP(A14,'Basic HH'!$B$1:$Y$319,23,FALSE)</f>
        <v>1167087.1892864385</v>
      </c>
      <c r="F14">
        <f>VLOOKUP(A14,'Conc. HH'!$B$1:$Y$319,23,FALSE)</f>
        <v>0</v>
      </c>
      <c r="G14">
        <f>VLOOKUP(A14,'Targeted HH'!$B$1:$Y$319,23,FALSE)</f>
        <v>700807.69043737859</v>
      </c>
      <c r="H14">
        <f>VLOOKUP(A14,'EFIG HH'!$B$1:$Y$319,23,FALSE)</f>
        <v>953474.72022408468</v>
      </c>
      <c r="I14">
        <f t="shared" si="0"/>
        <v>2821369.5999479019</v>
      </c>
      <c r="J14">
        <f t="shared" si="1"/>
        <v>0</v>
      </c>
      <c r="K14" s="43">
        <f t="shared" si="2"/>
        <v>2821369.5999479019</v>
      </c>
      <c r="L14">
        <f t="shared" si="3"/>
        <v>0</v>
      </c>
      <c r="M14">
        <f t="shared" si="4"/>
        <v>0</v>
      </c>
      <c r="N14" s="43">
        <f t="shared" si="5"/>
        <v>2821369.5999479019</v>
      </c>
      <c r="O14">
        <f t="shared" si="6"/>
        <v>0</v>
      </c>
      <c r="P14">
        <f t="shared" si="7"/>
        <v>0</v>
      </c>
      <c r="Q14" s="43">
        <f t="shared" si="8"/>
        <v>2821369.5999479019</v>
      </c>
      <c r="R14">
        <f t="shared" si="9"/>
        <v>0</v>
      </c>
      <c r="S14">
        <f t="shared" si="10"/>
        <v>0</v>
      </c>
      <c r="T14" s="43">
        <f t="shared" si="11"/>
        <v>2821369.5999479019</v>
      </c>
      <c r="U14">
        <f t="shared" si="12"/>
        <v>0</v>
      </c>
      <c r="V14">
        <f t="shared" si="13"/>
        <v>0</v>
      </c>
      <c r="W14" s="43">
        <f t="shared" si="14"/>
        <v>2821369.5999479019</v>
      </c>
      <c r="X14" s="43">
        <f t="shared" si="15"/>
        <v>0</v>
      </c>
      <c r="Y14" s="27">
        <f t="shared" si="16"/>
        <v>21599.421220973105</v>
      </c>
      <c r="Z14" s="27">
        <f t="shared" si="17"/>
        <v>2799770.1787269288</v>
      </c>
      <c r="AA14">
        <f t="shared" si="18"/>
        <v>0</v>
      </c>
      <c r="AB14" s="27">
        <f t="shared" si="19"/>
        <v>2799770.1787269288</v>
      </c>
      <c r="AD14" s="27">
        <f t="shared" si="20"/>
        <v>0</v>
      </c>
      <c r="AE14" s="27">
        <f t="shared" si="21"/>
        <v>2799770.1787269288</v>
      </c>
      <c r="AF14" s="50"/>
      <c r="AG14" t="str">
        <f t="shared" si="22"/>
        <v>5300420</v>
      </c>
    </row>
    <row r="15" spans="1:33" x14ac:dyDescent="0.25">
      <c r="A15" s="7" t="s">
        <v>99</v>
      </c>
      <c r="B15" s="2" t="s">
        <v>683</v>
      </c>
      <c r="C15" s="4" t="s">
        <v>682</v>
      </c>
      <c r="D15">
        <f>_xlfn.IFNA(VLOOKUP(A15,'Prior Year data'!$A$1:$T$318,12,FALSE),0)</f>
        <v>0</v>
      </c>
      <c r="E15">
        <f>VLOOKUP(A15,'Basic HH'!$B$1:$Y$319,23,FALSE)</f>
        <v>0</v>
      </c>
      <c r="F15">
        <f>VLOOKUP(A15,'Conc. HH'!$B$1:$Y$319,23,FALSE)</f>
        <v>0</v>
      </c>
      <c r="G15">
        <f>VLOOKUP(A15,'Targeted HH'!$B$1:$Y$319,23,FALSE)</f>
        <v>0</v>
      </c>
      <c r="H15">
        <f>VLOOKUP(A15,'EFIG HH'!$B$1:$Y$319,23,FALSE)</f>
        <v>0</v>
      </c>
      <c r="I15">
        <f t="shared" si="0"/>
        <v>0</v>
      </c>
      <c r="J15">
        <f t="shared" si="1"/>
        <v>0</v>
      </c>
      <c r="K15" s="43">
        <f t="shared" si="2"/>
        <v>0</v>
      </c>
      <c r="L15">
        <f t="shared" si="3"/>
        <v>0</v>
      </c>
      <c r="M15">
        <f t="shared" si="4"/>
        <v>0</v>
      </c>
      <c r="N15" s="43">
        <f t="shared" si="5"/>
        <v>0</v>
      </c>
      <c r="O15">
        <f t="shared" si="6"/>
        <v>0</v>
      </c>
      <c r="P15">
        <f t="shared" si="7"/>
        <v>0</v>
      </c>
      <c r="Q15" s="43">
        <f t="shared" si="8"/>
        <v>0</v>
      </c>
      <c r="R15">
        <f t="shared" si="9"/>
        <v>0</v>
      </c>
      <c r="S15">
        <f t="shared" si="10"/>
        <v>0</v>
      </c>
      <c r="T15" s="43">
        <f t="shared" si="11"/>
        <v>0</v>
      </c>
      <c r="U15">
        <f t="shared" si="12"/>
        <v>0</v>
      </c>
      <c r="V15">
        <f t="shared" si="13"/>
        <v>0</v>
      </c>
      <c r="W15" s="43">
        <f t="shared" si="14"/>
        <v>0</v>
      </c>
      <c r="X15" s="43">
        <f t="shared" si="15"/>
        <v>0</v>
      </c>
      <c r="Y15" s="27">
        <f t="shared" si="16"/>
        <v>0</v>
      </c>
      <c r="Z15" s="27">
        <f t="shared" si="17"/>
        <v>0</v>
      </c>
      <c r="AA15">
        <f t="shared" si="18"/>
        <v>0</v>
      </c>
      <c r="AB15" s="27">
        <f t="shared" si="19"/>
        <v>0</v>
      </c>
      <c r="AD15" s="27">
        <f t="shared" si="20"/>
        <v>0</v>
      </c>
      <c r="AE15" s="27">
        <f t="shared" si="21"/>
        <v>0</v>
      </c>
      <c r="AF15" s="50"/>
      <c r="AG15" t="str">
        <f t="shared" si="22"/>
        <v>5300450</v>
      </c>
    </row>
    <row r="16" spans="1:33" x14ac:dyDescent="0.25">
      <c r="A16" s="7" t="s">
        <v>264</v>
      </c>
      <c r="B16" s="2" t="s">
        <v>685</v>
      </c>
      <c r="C16" s="4" t="s">
        <v>684</v>
      </c>
      <c r="D16">
        <f>_xlfn.IFNA(VLOOKUP(A16,'Prior Year data'!$A$1:$T$318,12,FALSE),0)</f>
        <v>4459076.4720772775</v>
      </c>
      <c r="E16">
        <f>VLOOKUP(A16,'Basic HH'!$B$1:$Y$319,23,FALSE)</f>
        <v>2180034.5147336405</v>
      </c>
      <c r="F16">
        <f>VLOOKUP(A16,'Conc. HH'!$B$1:$Y$319,23,FALSE)</f>
        <v>0</v>
      </c>
      <c r="G16">
        <f>VLOOKUP(A16,'Targeted HH'!$B$1:$Y$319,23,FALSE)</f>
        <v>1485043.7927199681</v>
      </c>
      <c r="H16">
        <f>VLOOKUP(A16,'EFIG HH'!$B$1:$Y$319,23,FALSE)</f>
        <v>2020456.8729839162</v>
      </c>
      <c r="I16">
        <f t="shared" si="0"/>
        <v>5685535.1804375248</v>
      </c>
      <c r="J16">
        <f t="shared" si="1"/>
        <v>5685535.1804375248</v>
      </c>
      <c r="K16" s="43">
        <f t="shared" si="2"/>
        <v>5166963.8937387839</v>
      </c>
      <c r="L16">
        <f t="shared" si="3"/>
        <v>0</v>
      </c>
      <c r="M16">
        <f t="shared" si="4"/>
        <v>707887.42166150641</v>
      </c>
      <c r="N16" s="43">
        <f t="shared" si="5"/>
        <v>5074436.7349389484</v>
      </c>
      <c r="O16">
        <f t="shared" si="6"/>
        <v>0</v>
      </c>
      <c r="P16">
        <f t="shared" si="7"/>
        <v>615360.26286167093</v>
      </c>
      <c r="Q16" s="43">
        <f t="shared" si="8"/>
        <v>5074436.7349389484</v>
      </c>
      <c r="R16">
        <f t="shared" si="9"/>
        <v>0</v>
      </c>
      <c r="S16">
        <f t="shared" si="10"/>
        <v>615360.26286167093</v>
      </c>
      <c r="T16" s="43">
        <f t="shared" si="11"/>
        <v>5074436.7349389484</v>
      </c>
      <c r="U16">
        <f t="shared" si="12"/>
        <v>0</v>
      </c>
      <c r="V16">
        <f t="shared" si="13"/>
        <v>615360.26286167093</v>
      </c>
      <c r="W16" s="43">
        <f t="shared" si="14"/>
        <v>5074436.7349389484</v>
      </c>
      <c r="X16" s="43">
        <f t="shared" si="15"/>
        <v>611098.44549857639</v>
      </c>
      <c r="Y16" s="27">
        <f t="shared" si="16"/>
        <v>38848.117063127669</v>
      </c>
      <c r="Z16" s="27">
        <f t="shared" si="17"/>
        <v>5035588.617875821</v>
      </c>
      <c r="AA16">
        <f t="shared" si="18"/>
        <v>0</v>
      </c>
      <c r="AB16" s="27">
        <f t="shared" si="19"/>
        <v>5035588.617875821</v>
      </c>
      <c r="AD16" s="27">
        <f t="shared" si="20"/>
        <v>0</v>
      </c>
      <c r="AE16" s="27">
        <f t="shared" si="21"/>
        <v>5035588.617875821</v>
      </c>
      <c r="AF16" s="50"/>
      <c r="AG16" t="str">
        <f t="shared" si="22"/>
        <v>5300480</v>
      </c>
    </row>
    <row r="17" spans="1:33" x14ac:dyDescent="0.25">
      <c r="A17" s="7" t="s">
        <v>314</v>
      </c>
      <c r="B17" s="2" t="s">
        <v>687</v>
      </c>
      <c r="C17" s="4" t="s">
        <v>686</v>
      </c>
      <c r="D17">
        <f>_xlfn.IFNA(VLOOKUP(A17,'Prior Year data'!$A$1:$T$318,12,FALSE),0)</f>
        <v>27341.263053630544</v>
      </c>
      <c r="E17">
        <f>VLOOKUP(A17,'Basic HH'!$B$1:$Y$319,23,FALSE)</f>
        <v>0</v>
      </c>
      <c r="F17">
        <f>VLOOKUP(A17,'Conc. HH'!$B$1:$Y$319,23,FALSE)</f>
        <v>2428.0895098544547</v>
      </c>
      <c r="G17">
        <f>VLOOKUP(A17,'Targeted HH'!$B$1:$Y$319,23,FALSE)</f>
        <v>0</v>
      </c>
      <c r="H17">
        <f>VLOOKUP(A17,'EFIG HH'!$B$1:$Y$319,23,FALSE)</f>
        <v>0</v>
      </c>
      <c r="I17">
        <f t="shared" si="0"/>
        <v>2428.0895098544547</v>
      </c>
      <c r="J17">
        <f t="shared" si="1"/>
        <v>0</v>
      </c>
      <c r="K17" s="43">
        <f t="shared" si="2"/>
        <v>2428.0895098544547</v>
      </c>
      <c r="L17">
        <f t="shared" si="3"/>
        <v>0</v>
      </c>
      <c r="M17">
        <f t="shared" si="4"/>
        <v>0</v>
      </c>
      <c r="N17" s="43">
        <f t="shared" si="5"/>
        <v>2428.0895098544547</v>
      </c>
      <c r="O17">
        <f t="shared" si="6"/>
        <v>0</v>
      </c>
      <c r="P17">
        <f t="shared" si="7"/>
        <v>0</v>
      </c>
      <c r="Q17" s="43">
        <f t="shared" si="8"/>
        <v>2428.0895098544547</v>
      </c>
      <c r="R17">
        <f t="shared" si="9"/>
        <v>0</v>
      </c>
      <c r="S17">
        <f t="shared" si="10"/>
        <v>0</v>
      </c>
      <c r="T17" s="43">
        <f t="shared" si="11"/>
        <v>2428.0895098544547</v>
      </c>
      <c r="U17">
        <f t="shared" si="12"/>
        <v>0</v>
      </c>
      <c r="V17">
        <f t="shared" si="13"/>
        <v>0</v>
      </c>
      <c r="W17" s="43">
        <f t="shared" si="14"/>
        <v>2428.0895098544547</v>
      </c>
      <c r="X17" s="43">
        <f t="shared" si="15"/>
        <v>0</v>
      </c>
      <c r="Y17" s="27">
        <f t="shared" si="16"/>
        <v>18.588606075056923</v>
      </c>
      <c r="Z17" s="27">
        <f t="shared" si="17"/>
        <v>2409.500903779398</v>
      </c>
      <c r="AA17">
        <f t="shared" si="18"/>
        <v>0</v>
      </c>
      <c r="AB17" s="27">
        <f t="shared" si="19"/>
        <v>2409.500903779398</v>
      </c>
      <c r="AD17" s="27">
        <f t="shared" si="20"/>
        <v>0</v>
      </c>
      <c r="AE17" s="27">
        <f t="shared" si="21"/>
        <v>2409.500903779398</v>
      </c>
      <c r="AF17" s="50"/>
      <c r="AG17" t="str">
        <f t="shared" si="22"/>
        <v>5300510</v>
      </c>
    </row>
    <row r="18" spans="1:33" x14ac:dyDescent="0.25">
      <c r="A18" s="7" t="s">
        <v>316</v>
      </c>
      <c r="B18" s="2" t="s">
        <v>689</v>
      </c>
      <c r="C18" s="4" t="s">
        <v>688</v>
      </c>
      <c r="D18">
        <f>_xlfn.IFNA(VLOOKUP(A18,'Prior Year data'!$A$1:$T$318,12,FALSE),0)</f>
        <v>641032.97592553066</v>
      </c>
      <c r="E18">
        <f>VLOOKUP(A18,'Basic HH'!$B$1:$Y$319,23,FALSE)</f>
        <v>267510.21136970574</v>
      </c>
      <c r="F18">
        <f>VLOOKUP(A18,'Conc. HH'!$B$1:$Y$319,23,FALSE)</f>
        <v>59470.207143212981</v>
      </c>
      <c r="G18">
        <f>VLOOKUP(A18,'Targeted HH'!$B$1:$Y$319,23,FALSE)</f>
        <v>129079.57899188666</v>
      </c>
      <c r="H18">
        <f>VLOOKUP(A18,'EFIG HH'!$B$1:$Y$319,23,FALSE)</f>
        <v>175617.52980924118</v>
      </c>
      <c r="I18">
        <f t="shared" si="0"/>
        <v>631677.52731404651</v>
      </c>
      <c r="J18">
        <f t="shared" si="1"/>
        <v>0</v>
      </c>
      <c r="K18" s="43">
        <f t="shared" si="2"/>
        <v>631677.52731404651</v>
      </c>
      <c r="L18">
        <f t="shared" si="3"/>
        <v>0</v>
      </c>
      <c r="M18">
        <f t="shared" si="4"/>
        <v>0</v>
      </c>
      <c r="N18" s="43">
        <f t="shared" si="5"/>
        <v>631677.52731404651</v>
      </c>
      <c r="O18">
        <f t="shared" si="6"/>
        <v>0</v>
      </c>
      <c r="P18">
        <f t="shared" si="7"/>
        <v>0</v>
      </c>
      <c r="Q18" s="43">
        <f t="shared" si="8"/>
        <v>631677.52731404651</v>
      </c>
      <c r="R18">
        <f t="shared" si="9"/>
        <v>0</v>
      </c>
      <c r="S18">
        <f t="shared" si="10"/>
        <v>0</v>
      </c>
      <c r="T18" s="43">
        <f t="shared" si="11"/>
        <v>631677.52731404651</v>
      </c>
      <c r="U18">
        <f t="shared" si="12"/>
        <v>0</v>
      </c>
      <c r="V18">
        <f t="shared" si="13"/>
        <v>0</v>
      </c>
      <c r="W18" s="43">
        <f t="shared" si="14"/>
        <v>631677.52731404651</v>
      </c>
      <c r="X18" s="43">
        <f t="shared" si="15"/>
        <v>0</v>
      </c>
      <c r="Y18" s="27">
        <f t="shared" si="16"/>
        <v>4835.9027433097644</v>
      </c>
      <c r="Z18" s="27">
        <f t="shared" si="17"/>
        <v>626841.62457073678</v>
      </c>
      <c r="AA18">
        <f t="shared" si="18"/>
        <v>0</v>
      </c>
      <c r="AB18" s="27">
        <f t="shared" si="19"/>
        <v>626841.62457073678</v>
      </c>
      <c r="AD18" s="27">
        <f t="shared" si="20"/>
        <v>0</v>
      </c>
      <c r="AE18" s="27">
        <f t="shared" si="21"/>
        <v>626841.62457073678</v>
      </c>
      <c r="AF18" s="50"/>
      <c r="AG18" t="str">
        <f t="shared" si="22"/>
        <v>5300570</v>
      </c>
    </row>
    <row r="19" spans="1:33" x14ac:dyDescent="0.25">
      <c r="A19" s="7" t="s">
        <v>318</v>
      </c>
      <c r="B19" s="2" t="s">
        <v>691</v>
      </c>
      <c r="C19" s="4" t="s">
        <v>690</v>
      </c>
      <c r="D19">
        <f>_xlfn.IFNA(VLOOKUP(A19,'Prior Year data'!$A$1:$T$318,12,FALSE),0)</f>
        <v>49364.800662996495</v>
      </c>
      <c r="E19">
        <f>VLOOKUP(A19,'Basic HH'!$B$1:$Y$319,23,FALSE)</f>
        <v>20476.342698414395</v>
      </c>
      <c r="F19">
        <f>VLOOKUP(A19,'Conc. HH'!$B$1:$Y$319,23,FALSE)</f>
        <v>3256.4525458976077</v>
      </c>
      <c r="G19">
        <f>VLOOKUP(A19,'Targeted HH'!$B$1:$Y$319,23,FALSE)</f>
        <v>9795.1290966121178</v>
      </c>
      <c r="H19">
        <f>VLOOKUP(A19,'EFIG HH'!$B$1:$Y$319,23,FALSE)</f>
        <v>13463.581713213673</v>
      </c>
      <c r="I19">
        <f t="shared" si="0"/>
        <v>46991.50605413779</v>
      </c>
      <c r="J19">
        <f t="shared" si="1"/>
        <v>0</v>
      </c>
      <c r="K19" s="43">
        <f t="shared" si="2"/>
        <v>46991.50605413779</v>
      </c>
      <c r="L19">
        <f t="shared" si="3"/>
        <v>0</v>
      </c>
      <c r="M19">
        <f t="shared" si="4"/>
        <v>0</v>
      </c>
      <c r="N19" s="43">
        <f t="shared" si="5"/>
        <v>46991.50605413779</v>
      </c>
      <c r="O19">
        <f t="shared" si="6"/>
        <v>0</v>
      </c>
      <c r="P19">
        <f t="shared" si="7"/>
        <v>0</v>
      </c>
      <c r="Q19" s="43">
        <f t="shared" si="8"/>
        <v>46991.50605413779</v>
      </c>
      <c r="R19">
        <f t="shared" si="9"/>
        <v>0</v>
      </c>
      <c r="S19">
        <f t="shared" si="10"/>
        <v>0</v>
      </c>
      <c r="T19" s="43">
        <f t="shared" si="11"/>
        <v>46991.50605413779</v>
      </c>
      <c r="U19">
        <f t="shared" si="12"/>
        <v>0</v>
      </c>
      <c r="V19">
        <f t="shared" si="13"/>
        <v>0</v>
      </c>
      <c r="W19" s="43">
        <f t="shared" si="14"/>
        <v>46991.50605413779</v>
      </c>
      <c r="X19" s="43">
        <f t="shared" si="15"/>
        <v>0</v>
      </c>
      <c r="Y19" s="27">
        <f t="shared" si="16"/>
        <v>359.75057400844332</v>
      </c>
      <c r="Z19" s="27">
        <f t="shared" si="17"/>
        <v>46631.755480129345</v>
      </c>
      <c r="AA19">
        <f t="shared" si="18"/>
        <v>0</v>
      </c>
      <c r="AB19" s="27">
        <f t="shared" si="19"/>
        <v>46631.755480129345</v>
      </c>
      <c r="AD19" s="27">
        <f t="shared" si="20"/>
        <v>0</v>
      </c>
      <c r="AE19" s="27">
        <f t="shared" si="21"/>
        <v>46631.755480129345</v>
      </c>
      <c r="AF19" s="50"/>
      <c r="AG19" t="str">
        <f t="shared" si="22"/>
        <v>5300630</v>
      </c>
    </row>
    <row r="20" spans="1:33" x14ac:dyDescent="0.25">
      <c r="A20" s="7" t="s">
        <v>55</v>
      </c>
      <c r="B20" s="2" t="s">
        <v>692</v>
      </c>
      <c r="C20" s="4" t="s">
        <v>10</v>
      </c>
      <c r="D20">
        <f>_xlfn.IFNA(VLOOKUP(A20,'Prior Year data'!$A$1:$T$318,12,FALSE),0)</f>
        <v>1818379.8739248316</v>
      </c>
      <c r="E20">
        <f>VLOOKUP(A20,'Basic HH'!$B$1:$Y$319,23,FALSE)</f>
        <v>737211.79124382534</v>
      </c>
      <c r="F20">
        <f>VLOOKUP(A20,'Conc. HH'!$B$1:$Y$319,23,FALSE)</f>
        <v>194243.15712184162</v>
      </c>
      <c r="G20">
        <f>VLOOKUP(A20,'Targeted HH'!$B$1:$Y$319,23,FALSE)</f>
        <v>412275.3155510567</v>
      </c>
      <c r="H20">
        <f>VLOOKUP(A20,'EFIG HH'!$B$1:$Y$319,23,FALSE)</f>
        <v>566679.8614407694</v>
      </c>
      <c r="I20">
        <f t="shared" si="0"/>
        <v>1910410.1253574931</v>
      </c>
      <c r="J20">
        <f t="shared" si="1"/>
        <v>1910410.1253574931</v>
      </c>
      <c r="K20" s="43">
        <f t="shared" si="2"/>
        <v>1736163.760611105</v>
      </c>
      <c r="L20">
        <f t="shared" si="3"/>
        <v>82216.113313726615</v>
      </c>
      <c r="M20">
        <f t="shared" si="4"/>
        <v>0</v>
      </c>
      <c r="N20" s="43">
        <f t="shared" si="5"/>
        <v>1818379.8739248316</v>
      </c>
      <c r="O20">
        <f t="shared" si="6"/>
        <v>0</v>
      </c>
      <c r="P20">
        <f t="shared" si="7"/>
        <v>0</v>
      </c>
      <c r="Q20" s="43">
        <f t="shared" si="8"/>
        <v>1818379.8739248316</v>
      </c>
      <c r="R20">
        <f t="shared" si="9"/>
        <v>0</v>
      </c>
      <c r="S20">
        <f t="shared" si="10"/>
        <v>0</v>
      </c>
      <c r="T20" s="43">
        <f t="shared" si="11"/>
        <v>1818379.8739248316</v>
      </c>
      <c r="U20">
        <f t="shared" si="12"/>
        <v>0</v>
      </c>
      <c r="V20">
        <f t="shared" si="13"/>
        <v>0</v>
      </c>
      <c r="W20" s="43">
        <f t="shared" si="14"/>
        <v>1818379.8739248316</v>
      </c>
      <c r="X20" s="43">
        <f t="shared" si="15"/>
        <v>92030.251432661433</v>
      </c>
      <c r="Y20" s="27">
        <f t="shared" si="16"/>
        <v>13920.881843118907</v>
      </c>
      <c r="Z20" s="27">
        <f t="shared" si="17"/>
        <v>1804458.9920817127</v>
      </c>
      <c r="AA20">
        <f t="shared" si="18"/>
        <v>0</v>
      </c>
      <c r="AB20" s="27">
        <f t="shared" si="19"/>
        <v>1804458.9920817127</v>
      </c>
      <c r="AD20" s="27">
        <f t="shared" si="20"/>
        <v>0</v>
      </c>
      <c r="AE20" s="27">
        <f t="shared" si="21"/>
        <v>1804458.9920817127</v>
      </c>
      <c r="AF20" s="50"/>
      <c r="AG20" t="str">
        <f t="shared" si="22"/>
        <v>5300660</v>
      </c>
    </row>
    <row r="21" spans="1:33" x14ac:dyDescent="0.25">
      <c r="A21" s="7" t="s">
        <v>320</v>
      </c>
      <c r="B21" s="2" t="s">
        <v>694</v>
      </c>
      <c r="C21" s="4" t="s">
        <v>693</v>
      </c>
      <c r="D21">
        <f>_xlfn.IFNA(VLOOKUP(A21,'Prior Year data'!$A$1:$T$318,12,FALSE),0)</f>
        <v>579835.67355673655</v>
      </c>
      <c r="E21">
        <f>VLOOKUP(A21,'Basic HH'!$B$1:$Y$319,23,FALSE)</f>
        <v>210186.59464762587</v>
      </c>
      <c r="F21">
        <f>VLOOKUP(A21,'Conc. HH'!$B$1:$Y$319,23,FALSE)</f>
        <v>56563.998747804668</v>
      </c>
      <c r="G21">
        <f>VLOOKUP(A21,'Targeted HH'!$B$1:$Y$319,23,FALSE)</f>
        <v>141124.8096367791</v>
      </c>
      <c r="H21">
        <f>VLOOKUP(A21,'EFIG HH'!$B$1:$Y$319,23,FALSE)</f>
        <v>192005.51052903841</v>
      </c>
      <c r="I21">
        <f t="shared" si="0"/>
        <v>599880.91356124799</v>
      </c>
      <c r="J21">
        <f t="shared" si="1"/>
        <v>599880.91356124799</v>
      </c>
      <c r="K21" s="43">
        <f t="shared" si="2"/>
        <v>545166.44828420202</v>
      </c>
      <c r="L21">
        <f t="shared" si="3"/>
        <v>34669.225272534532</v>
      </c>
      <c r="M21">
        <f t="shared" si="4"/>
        <v>0</v>
      </c>
      <c r="N21" s="43">
        <f t="shared" si="5"/>
        <v>579835.67355673655</v>
      </c>
      <c r="O21">
        <f t="shared" si="6"/>
        <v>0</v>
      </c>
      <c r="P21">
        <f t="shared" si="7"/>
        <v>0</v>
      </c>
      <c r="Q21" s="43">
        <f t="shared" si="8"/>
        <v>579835.67355673655</v>
      </c>
      <c r="R21">
        <f t="shared" si="9"/>
        <v>0</v>
      </c>
      <c r="S21">
        <f t="shared" si="10"/>
        <v>0</v>
      </c>
      <c r="T21" s="43">
        <f t="shared" si="11"/>
        <v>579835.67355673655</v>
      </c>
      <c r="U21">
        <f t="shared" si="12"/>
        <v>0</v>
      </c>
      <c r="V21">
        <f t="shared" si="13"/>
        <v>0</v>
      </c>
      <c r="W21" s="43">
        <f t="shared" si="14"/>
        <v>579835.67355673655</v>
      </c>
      <c r="X21" s="43">
        <f t="shared" si="15"/>
        <v>20045.240004511434</v>
      </c>
      <c r="Y21" s="27">
        <f t="shared" si="16"/>
        <v>4439.0195996759421</v>
      </c>
      <c r="Z21" s="27">
        <f t="shared" si="17"/>
        <v>575396.65395706065</v>
      </c>
      <c r="AA21">
        <f t="shared" si="18"/>
        <v>0</v>
      </c>
      <c r="AB21" s="27">
        <f t="shared" si="19"/>
        <v>575396.65395706065</v>
      </c>
      <c r="AD21" s="27">
        <f t="shared" si="20"/>
        <v>0</v>
      </c>
      <c r="AE21" s="27">
        <f t="shared" si="21"/>
        <v>575396.65395706065</v>
      </c>
      <c r="AF21" s="50"/>
      <c r="AG21" t="str">
        <f t="shared" si="22"/>
        <v>5300690</v>
      </c>
    </row>
    <row r="22" spans="1:33" x14ac:dyDescent="0.25">
      <c r="A22" s="7" t="s">
        <v>322</v>
      </c>
      <c r="B22" s="2" t="s">
        <v>696</v>
      </c>
      <c r="C22" s="4" t="s">
        <v>695</v>
      </c>
      <c r="D22">
        <f>_xlfn.IFNA(VLOOKUP(A22,'Prior Year data'!$A$1:$T$318,12,FALSE),0)</f>
        <v>442531.60386433947</v>
      </c>
      <c r="E22">
        <f>VLOOKUP(A22,'Basic HH'!$B$1:$Y$319,23,FALSE)</f>
        <v>136995.75234602395</v>
      </c>
      <c r="F22">
        <f>VLOOKUP(A22,'Conc. HH'!$B$1:$Y$319,23,FALSE)</f>
        <v>36229.007462436872</v>
      </c>
      <c r="G22">
        <f>VLOOKUP(A22,'Targeted HH'!$B$1:$Y$319,23,FALSE)</f>
        <v>99289.881649412011</v>
      </c>
      <c r="H22">
        <f>VLOOKUP(A22,'EFIG HH'!$B$1:$Y$319,23,FALSE)</f>
        <v>136914.16017812517</v>
      </c>
      <c r="I22">
        <f t="shared" si="0"/>
        <v>409428.80163599795</v>
      </c>
      <c r="J22">
        <f t="shared" si="1"/>
        <v>0</v>
      </c>
      <c r="K22" s="43">
        <f t="shared" si="2"/>
        <v>409428.80163599795</v>
      </c>
      <c r="L22">
        <f t="shared" si="3"/>
        <v>0</v>
      </c>
      <c r="M22">
        <f t="shared" si="4"/>
        <v>0</v>
      </c>
      <c r="N22" s="43">
        <f t="shared" si="5"/>
        <v>409428.80163599795</v>
      </c>
      <c r="O22">
        <f t="shared" si="6"/>
        <v>0</v>
      </c>
      <c r="P22">
        <f t="shared" si="7"/>
        <v>0</v>
      </c>
      <c r="Q22" s="43">
        <f t="shared" si="8"/>
        <v>409428.80163599795</v>
      </c>
      <c r="R22">
        <f t="shared" si="9"/>
        <v>0</v>
      </c>
      <c r="S22">
        <f t="shared" si="10"/>
        <v>0</v>
      </c>
      <c r="T22" s="43">
        <f t="shared" si="11"/>
        <v>409428.80163599795</v>
      </c>
      <c r="U22">
        <f t="shared" si="12"/>
        <v>0</v>
      </c>
      <c r="V22">
        <f t="shared" si="13"/>
        <v>0</v>
      </c>
      <c r="W22" s="43">
        <f t="shared" si="14"/>
        <v>409428.80163599795</v>
      </c>
      <c r="X22" s="43">
        <f t="shared" si="15"/>
        <v>0</v>
      </c>
      <c r="Y22" s="27">
        <f t="shared" si="16"/>
        <v>3134.4440468549246</v>
      </c>
      <c r="Z22" s="27">
        <f t="shared" si="17"/>
        <v>406294.35758914304</v>
      </c>
      <c r="AA22">
        <f t="shared" si="18"/>
        <v>0</v>
      </c>
      <c r="AB22" s="27">
        <f t="shared" si="19"/>
        <v>406294.35758914304</v>
      </c>
      <c r="AD22" s="27">
        <f t="shared" si="20"/>
        <v>0</v>
      </c>
      <c r="AE22" s="27">
        <f t="shared" si="21"/>
        <v>406294.35758914304</v>
      </c>
      <c r="AF22" s="50"/>
      <c r="AG22" t="str">
        <f t="shared" si="22"/>
        <v>5300720</v>
      </c>
    </row>
    <row r="23" spans="1:33" x14ac:dyDescent="0.25">
      <c r="A23" s="7" t="s">
        <v>324</v>
      </c>
      <c r="B23" s="2" t="s">
        <v>698</v>
      </c>
      <c r="C23" s="4" t="s">
        <v>697</v>
      </c>
      <c r="D23">
        <f>_xlfn.IFNA(VLOOKUP(A23,'Prior Year data'!$A$1:$T$318,12,FALSE),0)</f>
        <v>66794.848917701835</v>
      </c>
      <c r="E23">
        <f>VLOOKUP(A23,'Basic HH'!$B$1:$Y$319,23,FALSE)</f>
        <v>21713.491182605987</v>
      </c>
      <c r="F23">
        <f>VLOOKUP(A23,'Conc. HH'!$B$1:$Y$319,23,FALSE)</f>
        <v>5843.3883003930432</v>
      </c>
      <c r="G23">
        <f>VLOOKUP(A23,'Targeted HH'!$B$1:$Y$319,23,FALSE)</f>
        <v>14837.885130639725</v>
      </c>
      <c r="H23">
        <f>VLOOKUP(A23,'EFIG HH'!$B$1:$Y$319,23,FALSE)</f>
        <v>20460.459290849209</v>
      </c>
      <c r="I23">
        <f t="shared" si="0"/>
        <v>62855.223904487968</v>
      </c>
      <c r="J23">
        <f t="shared" si="1"/>
        <v>0</v>
      </c>
      <c r="K23" s="43">
        <f t="shared" si="2"/>
        <v>62855.223904487968</v>
      </c>
      <c r="L23">
        <f t="shared" si="3"/>
        <v>0</v>
      </c>
      <c r="M23">
        <f t="shared" si="4"/>
        <v>0</v>
      </c>
      <c r="N23" s="43">
        <f t="shared" si="5"/>
        <v>62855.223904487968</v>
      </c>
      <c r="O23">
        <f t="shared" si="6"/>
        <v>0</v>
      </c>
      <c r="P23">
        <f t="shared" si="7"/>
        <v>0</v>
      </c>
      <c r="Q23" s="43">
        <f t="shared" si="8"/>
        <v>62855.223904487968</v>
      </c>
      <c r="R23">
        <f t="shared" si="9"/>
        <v>0</v>
      </c>
      <c r="S23">
        <f t="shared" si="10"/>
        <v>0</v>
      </c>
      <c r="T23" s="43">
        <f t="shared" si="11"/>
        <v>62855.223904487968</v>
      </c>
      <c r="U23">
        <f t="shared" si="12"/>
        <v>0</v>
      </c>
      <c r="V23">
        <f t="shared" si="13"/>
        <v>0</v>
      </c>
      <c r="W23" s="43">
        <f t="shared" si="14"/>
        <v>62855.223904487968</v>
      </c>
      <c r="X23" s="43">
        <f t="shared" si="15"/>
        <v>0</v>
      </c>
      <c r="Y23" s="27">
        <f t="shared" si="16"/>
        <v>481.19766268009789</v>
      </c>
      <c r="Z23" s="27">
        <f t="shared" si="17"/>
        <v>62374.026241807871</v>
      </c>
      <c r="AA23">
        <f t="shared" si="18"/>
        <v>0</v>
      </c>
      <c r="AB23" s="27">
        <f t="shared" si="19"/>
        <v>62374.026241807871</v>
      </c>
      <c r="AD23" s="27">
        <f t="shared" si="20"/>
        <v>0</v>
      </c>
      <c r="AE23" s="27">
        <f t="shared" si="21"/>
        <v>62374.026241807871</v>
      </c>
      <c r="AF23" s="50"/>
      <c r="AG23" t="str">
        <f t="shared" si="22"/>
        <v>5300750</v>
      </c>
    </row>
    <row r="24" spans="1:33" x14ac:dyDescent="0.25">
      <c r="A24" s="7" t="s">
        <v>326</v>
      </c>
      <c r="B24" s="2" t="s">
        <v>700</v>
      </c>
      <c r="C24" s="4" t="s">
        <v>699</v>
      </c>
      <c r="D24">
        <f>_xlfn.IFNA(VLOOKUP(A24,'Prior Year data'!$A$1:$T$318,12,FALSE),0)</f>
        <v>880329.56354514789</v>
      </c>
      <c r="E24">
        <f>VLOOKUP(A24,'Basic HH'!$B$1:$Y$319,23,FALSE)</f>
        <v>344810.23997978301</v>
      </c>
      <c r="F24">
        <f>VLOOKUP(A24,'Conc. HH'!$B$1:$Y$319,23,FALSE)</f>
        <v>82871.102719739152</v>
      </c>
      <c r="G24">
        <f>VLOOKUP(A24,'Targeted HH'!$B$1:$Y$319,23,FALSE)</f>
        <v>166378.5482460357</v>
      </c>
      <c r="H24">
        <f>VLOOKUP(A24,'EFIG HH'!$B$1:$Y$319,23,FALSE)</f>
        <v>226364.15368269067</v>
      </c>
      <c r="I24">
        <f t="shared" si="0"/>
        <v>820424.04462824855</v>
      </c>
      <c r="J24">
        <f t="shared" si="1"/>
        <v>0</v>
      </c>
      <c r="K24" s="43">
        <f t="shared" si="2"/>
        <v>820424.04462824855</v>
      </c>
      <c r="L24">
        <f t="shared" si="3"/>
        <v>0</v>
      </c>
      <c r="M24">
        <f t="shared" si="4"/>
        <v>0</v>
      </c>
      <c r="N24" s="43">
        <f t="shared" si="5"/>
        <v>820424.04462824855</v>
      </c>
      <c r="O24">
        <f t="shared" si="6"/>
        <v>0</v>
      </c>
      <c r="P24">
        <f t="shared" si="7"/>
        <v>0</v>
      </c>
      <c r="Q24" s="43">
        <f t="shared" si="8"/>
        <v>820424.04462824855</v>
      </c>
      <c r="R24">
        <f t="shared" si="9"/>
        <v>0</v>
      </c>
      <c r="S24">
        <f t="shared" si="10"/>
        <v>0</v>
      </c>
      <c r="T24" s="43">
        <f t="shared" si="11"/>
        <v>820424.04462824855</v>
      </c>
      <c r="U24">
        <f t="shared" si="12"/>
        <v>0</v>
      </c>
      <c r="V24">
        <f t="shared" si="13"/>
        <v>0</v>
      </c>
      <c r="W24" s="43">
        <f t="shared" si="14"/>
        <v>820424.04462824855</v>
      </c>
      <c r="X24" s="43">
        <f t="shared" si="15"/>
        <v>0</v>
      </c>
      <c r="Y24" s="27">
        <f t="shared" si="16"/>
        <v>6280.88022216841</v>
      </c>
      <c r="Z24" s="27">
        <f t="shared" si="17"/>
        <v>814143.16440608015</v>
      </c>
      <c r="AA24">
        <f t="shared" si="18"/>
        <v>0</v>
      </c>
      <c r="AB24" s="27">
        <f t="shared" si="19"/>
        <v>814143.16440608015</v>
      </c>
      <c r="AD24" s="27">
        <f t="shared" si="20"/>
        <v>0</v>
      </c>
      <c r="AE24" s="27">
        <f t="shared" si="21"/>
        <v>814143.16440608015</v>
      </c>
      <c r="AF24" s="50"/>
      <c r="AG24" t="str">
        <f t="shared" si="22"/>
        <v>5300780</v>
      </c>
    </row>
    <row r="25" spans="1:33" x14ac:dyDescent="0.25">
      <c r="A25" s="7" t="s">
        <v>101</v>
      </c>
      <c r="B25" s="2" t="s">
        <v>702</v>
      </c>
      <c r="C25" s="4" t="s">
        <v>701</v>
      </c>
      <c r="D25">
        <f>_xlfn.IFNA(VLOOKUP(A25,'Prior Year data'!$A$1:$T$318,12,FALSE),0)</f>
        <v>224872.31701636905</v>
      </c>
      <c r="E25">
        <f>VLOOKUP(A25,'Basic HH'!$B$1:$Y$319,23,FALSE)</f>
        <v>236242.78406675314</v>
      </c>
      <c r="F25">
        <f>VLOOKUP(A25,'Conc. HH'!$B$1:$Y$319,23,FALSE)</f>
        <v>0</v>
      </c>
      <c r="G25">
        <f>VLOOKUP(A25,'Targeted HH'!$B$1:$Y$319,23,FALSE)</f>
        <v>0</v>
      </c>
      <c r="H25">
        <f>VLOOKUP(A25,'EFIG HH'!$B$1:$Y$319,23,FALSE)</f>
        <v>0</v>
      </c>
      <c r="I25">
        <f t="shared" si="0"/>
        <v>236242.78406675314</v>
      </c>
      <c r="J25">
        <f t="shared" si="1"/>
        <v>236242.78406675314</v>
      </c>
      <c r="K25" s="43">
        <f t="shared" si="2"/>
        <v>214695.34471076951</v>
      </c>
      <c r="L25">
        <f t="shared" si="3"/>
        <v>10176.972305599542</v>
      </c>
      <c r="M25">
        <f t="shared" si="4"/>
        <v>0</v>
      </c>
      <c r="N25" s="43">
        <f t="shared" si="5"/>
        <v>224872.31701636905</v>
      </c>
      <c r="O25">
        <f t="shared" si="6"/>
        <v>0</v>
      </c>
      <c r="P25">
        <f t="shared" si="7"/>
        <v>0</v>
      </c>
      <c r="Q25" s="43">
        <f t="shared" si="8"/>
        <v>224872.31701636905</v>
      </c>
      <c r="R25">
        <f t="shared" si="9"/>
        <v>0</v>
      </c>
      <c r="S25">
        <f t="shared" si="10"/>
        <v>0</v>
      </c>
      <c r="T25" s="43">
        <f t="shared" si="11"/>
        <v>224872.31701636905</v>
      </c>
      <c r="U25">
        <f t="shared" si="12"/>
        <v>0</v>
      </c>
      <c r="V25">
        <f t="shared" si="13"/>
        <v>0</v>
      </c>
      <c r="W25" s="43">
        <f t="shared" si="14"/>
        <v>224872.31701636905</v>
      </c>
      <c r="X25" s="43">
        <f t="shared" si="15"/>
        <v>11370.46705038409</v>
      </c>
      <c r="Y25" s="27">
        <f t="shared" si="16"/>
        <v>1721.543996313862</v>
      </c>
      <c r="Z25" s="27">
        <f t="shared" si="17"/>
        <v>223150.7730200552</v>
      </c>
      <c r="AA25">
        <f t="shared" si="18"/>
        <v>0</v>
      </c>
      <c r="AB25" s="27">
        <f t="shared" si="19"/>
        <v>223150.7730200552</v>
      </c>
      <c r="AD25" s="27">
        <f t="shared" si="20"/>
        <v>0</v>
      </c>
      <c r="AE25" s="27">
        <f t="shared" si="21"/>
        <v>223150.7730200552</v>
      </c>
      <c r="AF25" s="50"/>
      <c r="AG25" t="str">
        <f t="shared" si="22"/>
        <v>5300810</v>
      </c>
    </row>
    <row r="26" spans="1:33" x14ac:dyDescent="0.25">
      <c r="A26" s="7" t="s">
        <v>328</v>
      </c>
      <c r="B26" s="2" t="s">
        <v>704</v>
      </c>
      <c r="C26" s="4" t="s">
        <v>703</v>
      </c>
      <c r="D26">
        <f>_xlfn.IFNA(VLOOKUP(A26,'Prior Year data'!$A$1:$T$318,12,FALSE),0)</f>
        <v>256486.01225356609</v>
      </c>
      <c r="E26">
        <f>VLOOKUP(A26,'Basic HH'!$B$1:$Y$319,23,FALSE)</f>
        <v>81905.370793657581</v>
      </c>
      <c r="F26">
        <f>VLOOKUP(A26,'Conc. HH'!$B$1:$Y$319,23,FALSE)</f>
        <v>21580.715334669967</v>
      </c>
      <c r="G26">
        <f>VLOOKUP(A26,'Targeted HH'!$B$1:$Y$319,23,FALSE)</f>
        <v>50820.82660420498</v>
      </c>
      <c r="H26">
        <f>VLOOKUP(A26,'EFIG HH'!$B$1:$Y$319,23,FALSE)</f>
        <v>70078.548573978042</v>
      </c>
      <c r="I26">
        <f t="shared" si="0"/>
        <v>224385.46130651058</v>
      </c>
      <c r="J26">
        <f t="shared" si="1"/>
        <v>0</v>
      </c>
      <c r="K26" s="43">
        <f t="shared" si="2"/>
        <v>224385.46130651058</v>
      </c>
      <c r="L26">
        <f t="shared" si="3"/>
        <v>0</v>
      </c>
      <c r="M26">
        <f t="shared" si="4"/>
        <v>0</v>
      </c>
      <c r="N26" s="43">
        <f t="shared" si="5"/>
        <v>224385.46130651058</v>
      </c>
      <c r="O26">
        <f t="shared" si="6"/>
        <v>0</v>
      </c>
      <c r="P26">
        <f t="shared" si="7"/>
        <v>0</v>
      </c>
      <c r="Q26" s="43">
        <f t="shared" si="8"/>
        <v>224385.46130651058</v>
      </c>
      <c r="R26">
        <f t="shared" si="9"/>
        <v>0</v>
      </c>
      <c r="S26">
        <f t="shared" si="10"/>
        <v>0</v>
      </c>
      <c r="T26" s="43">
        <f t="shared" si="11"/>
        <v>224385.46130651058</v>
      </c>
      <c r="U26">
        <f t="shared" si="12"/>
        <v>0</v>
      </c>
      <c r="V26">
        <f t="shared" si="13"/>
        <v>0</v>
      </c>
      <c r="W26" s="43">
        <f t="shared" si="14"/>
        <v>224385.46130651058</v>
      </c>
      <c r="X26" s="43">
        <f t="shared" si="15"/>
        <v>0</v>
      </c>
      <c r="Y26" s="27">
        <f t="shared" si="16"/>
        <v>1717.8167988735609</v>
      </c>
      <c r="Z26" s="27">
        <f t="shared" si="17"/>
        <v>222667.64450763701</v>
      </c>
      <c r="AA26">
        <f t="shared" si="18"/>
        <v>0</v>
      </c>
      <c r="AB26" s="27">
        <f t="shared" si="19"/>
        <v>222667.64450763701</v>
      </c>
      <c r="AD26" s="27">
        <f t="shared" si="20"/>
        <v>0</v>
      </c>
      <c r="AE26" s="27">
        <f t="shared" si="21"/>
        <v>222667.64450763701</v>
      </c>
      <c r="AF26" s="50"/>
      <c r="AG26" t="str">
        <f t="shared" si="22"/>
        <v>5300840</v>
      </c>
    </row>
    <row r="27" spans="1:33" x14ac:dyDescent="0.25">
      <c r="A27" s="7" t="s">
        <v>103</v>
      </c>
      <c r="B27" s="2" t="s">
        <v>706</v>
      </c>
      <c r="C27" s="4" t="s">
        <v>705</v>
      </c>
      <c r="D27">
        <f>_xlfn.IFNA(VLOOKUP(A27,'Prior Year data'!$A$1:$T$318,12,FALSE),0)</f>
        <v>0</v>
      </c>
      <c r="E27">
        <f>VLOOKUP(A27,'Basic HH'!$B$1:$Y$319,23,FALSE)</f>
        <v>0</v>
      </c>
      <c r="F27">
        <f>VLOOKUP(A27,'Conc. HH'!$B$1:$Y$319,23,FALSE)</f>
        <v>0</v>
      </c>
      <c r="G27">
        <f>VLOOKUP(A27,'Targeted HH'!$B$1:$Y$319,23,FALSE)</f>
        <v>0</v>
      </c>
      <c r="H27">
        <f>VLOOKUP(A27,'EFIG HH'!$B$1:$Y$319,23,FALSE)</f>
        <v>0</v>
      </c>
      <c r="I27">
        <f t="shared" si="0"/>
        <v>0</v>
      </c>
      <c r="J27">
        <f t="shared" si="1"/>
        <v>0</v>
      </c>
      <c r="K27" s="43">
        <f t="shared" si="2"/>
        <v>0</v>
      </c>
      <c r="L27">
        <f t="shared" si="3"/>
        <v>0</v>
      </c>
      <c r="M27">
        <f t="shared" si="4"/>
        <v>0</v>
      </c>
      <c r="N27" s="43">
        <f t="shared" si="5"/>
        <v>0</v>
      </c>
      <c r="O27">
        <f t="shared" si="6"/>
        <v>0</v>
      </c>
      <c r="P27">
        <f t="shared" si="7"/>
        <v>0</v>
      </c>
      <c r="Q27" s="43">
        <f t="shared" si="8"/>
        <v>0</v>
      </c>
      <c r="R27">
        <f t="shared" si="9"/>
        <v>0</v>
      </c>
      <c r="S27">
        <f t="shared" si="10"/>
        <v>0</v>
      </c>
      <c r="T27" s="43">
        <f t="shared" si="11"/>
        <v>0</v>
      </c>
      <c r="U27">
        <f t="shared" si="12"/>
        <v>0</v>
      </c>
      <c r="V27">
        <f t="shared" si="13"/>
        <v>0</v>
      </c>
      <c r="W27" s="43">
        <f t="shared" si="14"/>
        <v>0</v>
      </c>
      <c r="X27" s="43">
        <f t="shared" si="15"/>
        <v>0</v>
      </c>
      <c r="Y27" s="27">
        <f t="shared" si="16"/>
        <v>0</v>
      </c>
      <c r="Z27" s="27">
        <f t="shared" si="17"/>
        <v>0</v>
      </c>
      <c r="AA27">
        <f t="shared" si="18"/>
        <v>0</v>
      </c>
      <c r="AB27" s="27">
        <f t="shared" si="19"/>
        <v>0</v>
      </c>
      <c r="AD27" s="27">
        <f t="shared" si="20"/>
        <v>0</v>
      </c>
      <c r="AE27" s="27">
        <f t="shared" si="21"/>
        <v>0</v>
      </c>
      <c r="AF27" s="50"/>
      <c r="AG27" t="str">
        <f t="shared" si="22"/>
        <v>5300870</v>
      </c>
    </row>
    <row r="28" spans="1:33" x14ac:dyDescent="0.25">
      <c r="A28" s="7" t="s">
        <v>330</v>
      </c>
      <c r="B28" s="2" t="s">
        <v>708</v>
      </c>
      <c r="C28" s="4" t="s">
        <v>707</v>
      </c>
      <c r="D28">
        <f>_xlfn.IFNA(VLOOKUP(A28,'Prior Year data'!$A$1:$T$318,12,FALSE),0)</f>
        <v>320836.85492838285</v>
      </c>
      <c r="E28">
        <f>VLOOKUP(A28,'Basic HH'!$B$1:$Y$319,23,FALSE)</f>
        <v>132886.56603754865</v>
      </c>
      <c r="F28">
        <f>VLOOKUP(A28,'Conc. HH'!$B$1:$Y$319,23,FALSE)</f>
        <v>0</v>
      </c>
      <c r="G28">
        <f>VLOOKUP(A28,'Targeted HH'!$B$1:$Y$319,23,FALSE)</f>
        <v>64120.699953761876</v>
      </c>
      <c r="H28">
        <f>VLOOKUP(A28,'EFIG HH'!$B$1:$Y$319,23,FALSE)</f>
        <v>87238.578119525628</v>
      </c>
      <c r="I28">
        <f t="shared" si="0"/>
        <v>284245.84411083616</v>
      </c>
      <c r="J28">
        <f t="shared" si="1"/>
        <v>0</v>
      </c>
      <c r="K28" s="43">
        <f t="shared" si="2"/>
        <v>284245.84411083616</v>
      </c>
      <c r="L28">
        <f t="shared" si="3"/>
        <v>0</v>
      </c>
      <c r="M28">
        <f t="shared" si="4"/>
        <v>0</v>
      </c>
      <c r="N28" s="43">
        <f t="shared" si="5"/>
        <v>284245.84411083616</v>
      </c>
      <c r="O28">
        <f t="shared" si="6"/>
        <v>0</v>
      </c>
      <c r="P28">
        <f t="shared" si="7"/>
        <v>0</v>
      </c>
      <c r="Q28" s="43">
        <f t="shared" si="8"/>
        <v>284245.84411083616</v>
      </c>
      <c r="R28">
        <f t="shared" si="9"/>
        <v>0</v>
      </c>
      <c r="S28">
        <f t="shared" si="10"/>
        <v>0</v>
      </c>
      <c r="T28" s="43">
        <f t="shared" si="11"/>
        <v>284245.84411083616</v>
      </c>
      <c r="U28">
        <f t="shared" si="12"/>
        <v>0</v>
      </c>
      <c r="V28">
        <f t="shared" si="13"/>
        <v>0</v>
      </c>
      <c r="W28" s="43">
        <f t="shared" si="14"/>
        <v>284245.84411083616</v>
      </c>
      <c r="X28" s="43">
        <f t="shared" si="15"/>
        <v>0</v>
      </c>
      <c r="Y28" s="27">
        <f t="shared" si="16"/>
        <v>2176.0870030549622</v>
      </c>
      <c r="Z28" s="27">
        <f t="shared" si="17"/>
        <v>282069.75710778119</v>
      </c>
      <c r="AA28">
        <f t="shared" si="18"/>
        <v>0</v>
      </c>
      <c r="AB28" s="27">
        <f t="shared" si="19"/>
        <v>282069.75710778119</v>
      </c>
      <c r="AD28" s="27">
        <f t="shared" si="20"/>
        <v>0</v>
      </c>
      <c r="AE28" s="27">
        <f t="shared" si="21"/>
        <v>282069.75710778119</v>
      </c>
      <c r="AF28" s="50"/>
      <c r="AG28" t="str">
        <f t="shared" si="22"/>
        <v>5300950</v>
      </c>
    </row>
    <row r="29" spans="1:33" x14ac:dyDescent="0.25">
      <c r="A29" s="7" t="s">
        <v>332</v>
      </c>
      <c r="B29" s="2" t="s">
        <v>710</v>
      </c>
      <c r="C29" s="4" t="s">
        <v>709</v>
      </c>
      <c r="D29">
        <f>_xlfn.IFNA(VLOOKUP(A29,'Prior Year data'!$A$1:$T$318,12,FALSE),0)</f>
        <v>333544.30596098746</v>
      </c>
      <c r="E29">
        <f>VLOOKUP(A29,'Basic HH'!$B$1:$Y$319,23,FALSE)</f>
        <v>142440.5021578953</v>
      </c>
      <c r="F29">
        <f>VLOOKUP(A29,'Conc. HH'!$B$1:$Y$319,23,FALSE)</f>
        <v>26500.786235580534</v>
      </c>
      <c r="G29">
        <f>VLOOKUP(A29,'Targeted HH'!$B$1:$Y$319,23,FALSE)</f>
        <v>68730.684917757826</v>
      </c>
      <c r="H29">
        <f>VLOOKUP(A29,'EFIG HH'!$B$1:$Y$319,23,FALSE)</f>
        <v>93510.632755569968</v>
      </c>
      <c r="I29">
        <f t="shared" si="0"/>
        <v>331182.60606680368</v>
      </c>
      <c r="J29">
        <f t="shared" si="1"/>
        <v>0</v>
      </c>
      <c r="K29" s="43">
        <f t="shared" si="2"/>
        <v>331182.60606680368</v>
      </c>
      <c r="L29">
        <f t="shared" si="3"/>
        <v>0</v>
      </c>
      <c r="M29">
        <f t="shared" si="4"/>
        <v>0</v>
      </c>
      <c r="N29" s="43">
        <f t="shared" si="5"/>
        <v>331182.60606680368</v>
      </c>
      <c r="O29">
        <f t="shared" si="6"/>
        <v>0</v>
      </c>
      <c r="P29">
        <f t="shared" si="7"/>
        <v>0</v>
      </c>
      <c r="Q29" s="43">
        <f t="shared" si="8"/>
        <v>331182.60606680368</v>
      </c>
      <c r="R29">
        <f t="shared" si="9"/>
        <v>0</v>
      </c>
      <c r="S29">
        <f t="shared" si="10"/>
        <v>0</v>
      </c>
      <c r="T29" s="43">
        <f t="shared" si="11"/>
        <v>331182.60606680368</v>
      </c>
      <c r="U29">
        <f t="shared" si="12"/>
        <v>0</v>
      </c>
      <c r="V29">
        <f t="shared" si="13"/>
        <v>0</v>
      </c>
      <c r="W29" s="43">
        <f t="shared" si="14"/>
        <v>331182.60606680368</v>
      </c>
      <c r="X29" s="43">
        <f t="shared" si="15"/>
        <v>0</v>
      </c>
      <c r="Y29" s="27">
        <f t="shared" si="16"/>
        <v>2535.4184753492013</v>
      </c>
      <c r="Z29" s="27">
        <f t="shared" si="17"/>
        <v>328647.18759145448</v>
      </c>
      <c r="AA29">
        <f t="shared" si="18"/>
        <v>0</v>
      </c>
      <c r="AB29" s="27">
        <f t="shared" si="19"/>
        <v>328647.18759145448</v>
      </c>
      <c r="AD29" s="27">
        <f t="shared" si="20"/>
        <v>0</v>
      </c>
      <c r="AE29" s="27">
        <f t="shared" si="21"/>
        <v>328647.18759145448</v>
      </c>
      <c r="AF29" s="50"/>
      <c r="AG29" t="str">
        <f t="shared" si="22"/>
        <v>5300960</v>
      </c>
    </row>
    <row r="30" spans="1:33" x14ac:dyDescent="0.25">
      <c r="A30" s="7" t="s">
        <v>105</v>
      </c>
      <c r="B30" s="2" t="s">
        <v>712</v>
      </c>
      <c r="C30" s="4" t="s">
        <v>711</v>
      </c>
      <c r="D30">
        <f>_xlfn.IFNA(VLOOKUP(A30,'Prior Year data'!$A$1:$T$318,12,FALSE),0)</f>
        <v>339066.2216856773</v>
      </c>
      <c r="E30">
        <f>VLOOKUP(A30,'Basic HH'!$B$1:$Y$319,23,FALSE)</f>
        <v>167628.15192971815</v>
      </c>
      <c r="F30">
        <f>VLOOKUP(A30,'Conc. HH'!$B$1:$Y$319,23,FALSE)</f>
        <v>0</v>
      </c>
      <c r="G30">
        <f>VLOOKUP(A30,'Targeted HH'!$B$1:$Y$319,23,FALSE)</f>
        <v>80884.281641019887</v>
      </c>
      <c r="H30">
        <f>VLOOKUP(A30,'EFIG HH'!$B$1:$Y$319,23,FALSE)</f>
        <v>110046.04952332319</v>
      </c>
      <c r="I30">
        <f t="shared" si="0"/>
        <v>358558.48309406126</v>
      </c>
      <c r="J30">
        <f t="shared" si="1"/>
        <v>358558.48309406126</v>
      </c>
      <c r="K30" s="43">
        <f t="shared" si="2"/>
        <v>325854.76602366095</v>
      </c>
      <c r="L30">
        <f t="shared" si="3"/>
        <v>13211.455662016349</v>
      </c>
      <c r="M30">
        <f t="shared" si="4"/>
        <v>0</v>
      </c>
      <c r="N30" s="43">
        <f t="shared" si="5"/>
        <v>339066.2216856773</v>
      </c>
      <c r="O30">
        <f t="shared" si="6"/>
        <v>0</v>
      </c>
      <c r="P30">
        <f t="shared" si="7"/>
        <v>0</v>
      </c>
      <c r="Q30" s="43">
        <f t="shared" si="8"/>
        <v>339066.2216856773</v>
      </c>
      <c r="R30">
        <f t="shared" si="9"/>
        <v>0</v>
      </c>
      <c r="S30">
        <f t="shared" si="10"/>
        <v>0</v>
      </c>
      <c r="T30" s="43">
        <f t="shared" si="11"/>
        <v>339066.2216856773</v>
      </c>
      <c r="U30">
        <f t="shared" si="12"/>
        <v>0</v>
      </c>
      <c r="V30">
        <f t="shared" si="13"/>
        <v>0</v>
      </c>
      <c r="W30" s="43">
        <f t="shared" si="14"/>
        <v>339066.2216856773</v>
      </c>
      <c r="X30" s="43">
        <f t="shared" si="15"/>
        <v>19492.261408383958</v>
      </c>
      <c r="Y30" s="27">
        <f t="shared" si="16"/>
        <v>2595.7726857651064</v>
      </c>
      <c r="Z30" s="27">
        <f t="shared" si="17"/>
        <v>336470.44899991219</v>
      </c>
      <c r="AA30">
        <f t="shared" si="18"/>
        <v>0</v>
      </c>
      <c r="AB30" s="27">
        <f t="shared" si="19"/>
        <v>336470.44899991219</v>
      </c>
      <c r="AD30" s="27">
        <f t="shared" si="20"/>
        <v>0</v>
      </c>
      <c r="AE30" s="27">
        <f t="shared" si="21"/>
        <v>336470.44899991219</v>
      </c>
      <c r="AF30" s="50"/>
      <c r="AG30" t="str">
        <f t="shared" si="22"/>
        <v>5300990</v>
      </c>
    </row>
    <row r="31" spans="1:33" x14ac:dyDescent="0.25">
      <c r="A31" s="7" t="s">
        <v>66</v>
      </c>
      <c r="B31" s="2" t="s">
        <v>713</v>
      </c>
      <c r="C31" s="4" t="s">
        <v>8</v>
      </c>
      <c r="D31">
        <f>_xlfn.IFNA(VLOOKUP(A31,'Prior Year data'!$A$1:$T$318,12,FALSE),0)</f>
        <v>125395.82446423011</v>
      </c>
      <c r="E31">
        <f>VLOOKUP(A31,'Basic HH'!$B$1:$Y$319,23,FALSE)</f>
        <v>60892.348264767832</v>
      </c>
      <c r="F31">
        <f>VLOOKUP(A31,'Conc. HH'!$B$1:$Y$319,23,FALSE)</f>
        <v>0</v>
      </c>
      <c r="G31">
        <f>VLOOKUP(A31,'Targeted HH'!$B$1:$Y$319,23,FALSE)</f>
        <v>34048.463628828817</v>
      </c>
      <c r="H31">
        <f>VLOOKUP(A31,'EFIG HH'!$B$1:$Y$319,23,FALSE)</f>
        <v>46799.24102339628</v>
      </c>
      <c r="I31">
        <f t="shared" si="0"/>
        <v>141740.05291699292</v>
      </c>
      <c r="J31">
        <f t="shared" si="1"/>
        <v>141740.05291699292</v>
      </c>
      <c r="K31" s="43">
        <f t="shared" si="2"/>
        <v>128812.10167138014</v>
      </c>
      <c r="L31">
        <f t="shared" si="3"/>
        <v>0</v>
      </c>
      <c r="M31">
        <f t="shared" si="4"/>
        <v>3416.2772071500222</v>
      </c>
      <c r="N31" s="43">
        <f t="shared" si="5"/>
        <v>128365.56396781662</v>
      </c>
      <c r="O31">
        <f t="shared" si="6"/>
        <v>0</v>
      </c>
      <c r="P31">
        <f t="shared" si="7"/>
        <v>2969.7395035865047</v>
      </c>
      <c r="Q31" s="43">
        <f t="shared" si="8"/>
        <v>128365.56396781662</v>
      </c>
      <c r="R31">
        <f t="shared" si="9"/>
        <v>0</v>
      </c>
      <c r="S31">
        <f t="shared" si="10"/>
        <v>2969.7395035865047</v>
      </c>
      <c r="T31" s="43">
        <f t="shared" si="11"/>
        <v>128365.56396781662</v>
      </c>
      <c r="U31">
        <f t="shared" si="12"/>
        <v>0</v>
      </c>
      <c r="V31">
        <f t="shared" si="13"/>
        <v>2969.7395035865047</v>
      </c>
      <c r="W31" s="43">
        <f t="shared" si="14"/>
        <v>128365.56396781662</v>
      </c>
      <c r="X31" s="43">
        <f t="shared" si="15"/>
        <v>13374.488949176302</v>
      </c>
      <c r="Y31" s="27">
        <f t="shared" si="16"/>
        <v>982.72196824543539</v>
      </c>
      <c r="Z31" s="27">
        <f t="shared" si="17"/>
        <v>127382.84199957119</v>
      </c>
      <c r="AA31">
        <f t="shared" si="18"/>
        <v>0</v>
      </c>
      <c r="AB31" s="27">
        <f t="shared" si="19"/>
        <v>127382.84199957119</v>
      </c>
      <c r="AD31" s="27">
        <f t="shared" si="20"/>
        <v>0</v>
      </c>
      <c r="AE31" s="27">
        <f t="shared" si="21"/>
        <v>127382.84199957119</v>
      </c>
      <c r="AF31" s="50"/>
      <c r="AG31" t="str">
        <f t="shared" si="22"/>
        <v>5301000</v>
      </c>
    </row>
    <row r="32" spans="1:33" x14ac:dyDescent="0.25">
      <c r="A32" s="7" t="s">
        <v>334</v>
      </c>
      <c r="B32" s="2" t="s">
        <v>715</v>
      </c>
      <c r="C32" s="4" t="s">
        <v>714</v>
      </c>
      <c r="D32">
        <f>_xlfn.IFNA(VLOOKUP(A32,'Prior Year data'!$A$1:$T$318,12,FALSE),0)</f>
        <v>51011.458196781576</v>
      </c>
      <c r="E32">
        <f>VLOOKUP(A32,'Basic HH'!$B$1:$Y$319,23,FALSE)</f>
        <v>20906.517965187813</v>
      </c>
      <c r="F32">
        <f>VLOOKUP(A32,'Conc. HH'!$B$1:$Y$319,23,FALSE)</f>
        <v>5609.6527683773238</v>
      </c>
      <c r="G32">
        <f>VLOOKUP(A32,'Targeted HH'!$B$1:$Y$319,23,FALSE)</f>
        <v>15264.804293868739</v>
      </c>
      <c r="H32">
        <f>VLOOKUP(A32,'EFIG HH'!$B$1:$Y$319,23,FALSE)</f>
        <v>20981.748981521883</v>
      </c>
      <c r="I32">
        <f t="shared" si="0"/>
        <v>62762.72400895576</v>
      </c>
      <c r="J32">
        <f t="shared" si="1"/>
        <v>62762.72400895576</v>
      </c>
      <c r="K32" s="43">
        <f t="shared" si="2"/>
        <v>57038.206349118234</v>
      </c>
      <c r="L32">
        <f t="shared" si="3"/>
        <v>0</v>
      </c>
      <c r="M32">
        <f t="shared" si="4"/>
        <v>6026.7481523366587</v>
      </c>
      <c r="N32" s="43">
        <f t="shared" si="5"/>
        <v>56250.456960904754</v>
      </c>
      <c r="O32">
        <f t="shared" si="6"/>
        <v>0</v>
      </c>
      <c r="P32">
        <f t="shared" si="7"/>
        <v>5238.9987641231783</v>
      </c>
      <c r="Q32" s="43">
        <f t="shared" si="8"/>
        <v>56250.456960904754</v>
      </c>
      <c r="R32">
        <f t="shared" si="9"/>
        <v>0</v>
      </c>
      <c r="S32">
        <f t="shared" si="10"/>
        <v>5238.9987641231783</v>
      </c>
      <c r="T32" s="43">
        <f t="shared" si="11"/>
        <v>56250.456960904754</v>
      </c>
      <c r="U32">
        <f t="shared" si="12"/>
        <v>0</v>
      </c>
      <c r="V32">
        <f t="shared" si="13"/>
        <v>5238.9987641231783</v>
      </c>
      <c r="W32" s="43">
        <f t="shared" si="14"/>
        <v>56250.456960904754</v>
      </c>
      <c r="X32" s="43">
        <f t="shared" si="15"/>
        <v>6512.267048051006</v>
      </c>
      <c r="Y32" s="27">
        <f t="shared" si="16"/>
        <v>430.63387150454719</v>
      </c>
      <c r="Z32" s="27">
        <f t="shared" si="17"/>
        <v>55819.823089400204</v>
      </c>
      <c r="AA32">
        <f t="shared" si="18"/>
        <v>0</v>
      </c>
      <c r="AB32" s="27">
        <f t="shared" si="19"/>
        <v>55819.823089400204</v>
      </c>
      <c r="AD32" s="27">
        <f t="shared" si="20"/>
        <v>0</v>
      </c>
      <c r="AE32" s="27">
        <f t="shared" si="21"/>
        <v>55819.823089400204</v>
      </c>
      <c r="AF32" s="50"/>
      <c r="AG32" t="str">
        <f t="shared" si="22"/>
        <v>5301050</v>
      </c>
    </row>
    <row r="33" spans="1:33" x14ac:dyDescent="0.25">
      <c r="A33" s="7" t="s">
        <v>107</v>
      </c>
      <c r="B33" s="2" t="s">
        <v>717</v>
      </c>
      <c r="C33" s="4" t="s">
        <v>716</v>
      </c>
      <c r="D33">
        <f>_xlfn.IFNA(VLOOKUP(A33,'Prior Year data'!$A$1:$T$318,12,FALSE),0)</f>
        <v>1549206.4288185781</v>
      </c>
      <c r="E33">
        <f>VLOOKUP(A33,'Basic HH'!$B$1:$Y$319,23,FALSE)</f>
        <v>680066.54383921938</v>
      </c>
      <c r="F33">
        <f>VLOOKUP(A33,'Conc. HH'!$B$1:$Y$319,23,FALSE)</f>
        <v>0</v>
      </c>
      <c r="G33">
        <f>VLOOKUP(A33,'Targeted HH'!$B$1:$Y$319,23,FALSE)</f>
        <v>347425.23046842223</v>
      </c>
      <c r="H33">
        <f>VLOOKUP(A33,'EFIG HH'!$B$1:$Y$319,23,FALSE)</f>
        <v>472684.8448437042</v>
      </c>
      <c r="I33">
        <f t="shared" si="0"/>
        <v>1500176.6191513459</v>
      </c>
      <c r="J33">
        <f t="shared" si="1"/>
        <v>0</v>
      </c>
      <c r="K33" s="43">
        <f t="shared" si="2"/>
        <v>1500176.6191513459</v>
      </c>
      <c r="L33">
        <f t="shared" si="3"/>
        <v>0</v>
      </c>
      <c r="M33">
        <f t="shared" si="4"/>
        <v>0</v>
      </c>
      <c r="N33" s="43">
        <f t="shared" si="5"/>
        <v>1500176.6191513459</v>
      </c>
      <c r="O33">
        <f t="shared" si="6"/>
        <v>0</v>
      </c>
      <c r="P33">
        <f t="shared" si="7"/>
        <v>0</v>
      </c>
      <c r="Q33" s="43">
        <f t="shared" si="8"/>
        <v>1500176.6191513459</v>
      </c>
      <c r="R33">
        <f t="shared" si="9"/>
        <v>0</v>
      </c>
      <c r="S33">
        <f t="shared" si="10"/>
        <v>0</v>
      </c>
      <c r="T33" s="43">
        <f t="shared" si="11"/>
        <v>1500176.6191513459</v>
      </c>
      <c r="U33">
        <f t="shared" si="12"/>
        <v>0</v>
      </c>
      <c r="V33">
        <f t="shared" si="13"/>
        <v>0</v>
      </c>
      <c r="W33" s="43">
        <f t="shared" si="14"/>
        <v>1500176.6191513459</v>
      </c>
      <c r="X33" s="43">
        <f t="shared" si="15"/>
        <v>0</v>
      </c>
      <c r="Y33" s="27">
        <f t="shared" si="16"/>
        <v>11484.828752497937</v>
      </c>
      <c r="Z33" s="27">
        <f t="shared" si="17"/>
        <v>1488691.790398848</v>
      </c>
      <c r="AA33">
        <f t="shared" si="18"/>
        <v>0</v>
      </c>
      <c r="AB33" s="27">
        <f t="shared" si="19"/>
        <v>1488691.790398848</v>
      </c>
      <c r="AD33" s="27">
        <f t="shared" si="20"/>
        <v>0</v>
      </c>
      <c r="AE33" s="27">
        <f t="shared" si="21"/>
        <v>1488691.790398848</v>
      </c>
      <c r="AF33" s="50"/>
      <c r="AG33" t="str">
        <f t="shared" si="22"/>
        <v>5301080</v>
      </c>
    </row>
    <row r="34" spans="1:33" x14ac:dyDescent="0.25">
      <c r="A34" s="7" t="s">
        <v>266</v>
      </c>
      <c r="B34" s="2" t="s">
        <v>719</v>
      </c>
      <c r="C34" s="4" t="s">
        <v>718</v>
      </c>
      <c r="D34">
        <f>_xlfn.IFNA(VLOOKUP(A34,'Prior Year data'!$A$1:$T$318,12,FALSE),0)</f>
        <v>3389374.7685668645</v>
      </c>
      <c r="E34">
        <f>VLOOKUP(A34,'Basic HH'!$B$1:$Y$319,23,FALSE)</f>
        <v>1355095.1078629245</v>
      </c>
      <c r="F34">
        <f>VLOOKUP(A34,'Conc. HH'!$B$1:$Y$319,23,FALSE)</f>
        <v>0</v>
      </c>
      <c r="G34">
        <f>VLOOKUP(A34,'Targeted HH'!$B$1:$Y$319,23,FALSE)</f>
        <v>851476.57932692498</v>
      </c>
      <c r="H34">
        <f>VLOOKUP(A34,'EFIG HH'!$B$1:$Y$319,23,FALSE)</f>
        <v>1170369.9246415028</v>
      </c>
      <c r="I34">
        <f t="shared" si="0"/>
        <v>3376941.6118313521</v>
      </c>
      <c r="J34">
        <f t="shared" si="1"/>
        <v>0</v>
      </c>
      <c r="K34" s="43">
        <f t="shared" si="2"/>
        <v>3376941.6118313521</v>
      </c>
      <c r="L34">
        <f t="shared" si="3"/>
        <v>0</v>
      </c>
      <c r="M34">
        <f t="shared" si="4"/>
        <v>0</v>
      </c>
      <c r="N34" s="43">
        <f t="shared" si="5"/>
        <v>3376941.6118313521</v>
      </c>
      <c r="O34">
        <f t="shared" si="6"/>
        <v>0</v>
      </c>
      <c r="P34">
        <f t="shared" si="7"/>
        <v>0</v>
      </c>
      <c r="Q34" s="43">
        <f t="shared" si="8"/>
        <v>3376941.6118313521</v>
      </c>
      <c r="R34">
        <f t="shared" si="9"/>
        <v>0</v>
      </c>
      <c r="S34">
        <f t="shared" si="10"/>
        <v>0</v>
      </c>
      <c r="T34" s="43">
        <f t="shared" si="11"/>
        <v>3376941.6118313521</v>
      </c>
      <c r="U34">
        <f t="shared" si="12"/>
        <v>0</v>
      </c>
      <c r="V34">
        <f t="shared" si="13"/>
        <v>0</v>
      </c>
      <c r="W34" s="43">
        <f t="shared" si="14"/>
        <v>3376941.6118313521</v>
      </c>
      <c r="X34" s="43">
        <f t="shared" si="15"/>
        <v>0</v>
      </c>
      <c r="Y34" s="27">
        <f t="shared" si="16"/>
        <v>25852.686692989144</v>
      </c>
      <c r="Z34" s="27">
        <f t="shared" si="17"/>
        <v>3351088.9251383631</v>
      </c>
      <c r="AA34">
        <f t="shared" si="18"/>
        <v>0</v>
      </c>
      <c r="AB34" s="27">
        <f t="shared" si="19"/>
        <v>3351088.9251383631</v>
      </c>
      <c r="AD34" s="27">
        <f t="shared" si="20"/>
        <v>0</v>
      </c>
      <c r="AE34" s="27">
        <f t="shared" si="21"/>
        <v>3351088.9251383631</v>
      </c>
      <c r="AF34" s="50"/>
      <c r="AG34" t="str">
        <f t="shared" si="22"/>
        <v>5301110</v>
      </c>
    </row>
    <row r="35" spans="1:33" x14ac:dyDescent="0.25">
      <c r="A35" s="7" t="s">
        <v>336</v>
      </c>
      <c r="B35" s="2" t="s">
        <v>721</v>
      </c>
      <c r="C35" s="4" t="s">
        <v>720</v>
      </c>
      <c r="D35">
        <f>_xlfn.IFNA(VLOOKUP(A35,'Prior Year data'!$A$1:$T$318,12,FALSE),0)</f>
        <v>1524716.7209842585</v>
      </c>
      <c r="E35">
        <f>VLOOKUP(A35,'Basic HH'!$B$1:$Y$319,23,FALSE)</f>
        <v>748681.1759762544</v>
      </c>
      <c r="F35">
        <f>VLOOKUP(A35,'Conc. HH'!$B$1:$Y$319,23,FALSE)</f>
        <v>201480.02859755218</v>
      </c>
      <c r="G35">
        <f>VLOOKUP(A35,'Targeted HH'!$B$1:$Y$319,23,FALSE)</f>
        <v>419957.93762180448</v>
      </c>
      <c r="H35">
        <f>VLOOKUP(A35,'EFIG HH'!$B$1:$Y$319,23,FALSE)</f>
        <v>571368.26913233404</v>
      </c>
      <c r="I35">
        <f t="shared" si="0"/>
        <v>1941487.4113279451</v>
      </c>
      <c r="J35">
        <f t="shared" si="1"/>
        <v>1941487.4113279451</v>
      </c>
      <c r="K35" s="43">
        <f t="shared" si="2"/>
        <v>1764406.5221856388</v>
      </c>
      <c r="L35">
        <f t="shared" si="3"/>
        <v>0</v>
      </c>
      <c r="M35">
        <f t="shared" si="4"/>
        <v>239689.80120138032</v>
      </c>
      <c r="N35" s="43">
        <f t="shared" si="5"/>
        <v>1733076.9412101682</v>
      </c>
      <c r="O35">
        <f t="shared" si="6"/>
        <v>0</v>
      </c>
      <c r="P35">
        <f t="shared" si="7"/>
        <v>208360.22022590972</v>
      </c>
      <c r="Q35" s="43">
        <f t="shared" si="8"/>
        <v>1733076.9412101682</v>
      </c>
      <c r="R35">
        <f t="shared" si="9"/>
        <v>0</v>
      </c>
      <c r="S35">
        <f t="shared" si="10"/>
        <v>208360.22022590972</v>
      </c>
      <c r="T35" s="43">
        <f t="shared" si="11"/>
        <v>1733076.9412101682</v>
      </c>
      <c r="U35">
        <f t="shared" si="12"/>
        <v>0</v>
      </c>
      <c r="V35">
        <f t="shared" si="13"/>
        <v>208360.22022590972</v>
      </c>
      <c r="W35" s="43">
        <f t="shared" si="14"/>
        <v>1733076.9412101682</v>
      </c>
      <c r="X35" s="43">
        <f t="shared" si="15"/>
        <v>208410.47011777689</v>
      </c>
      <c r="Y35" s="27">
        <f t="shared" si="16"/>
        <v>13267.832354274071</v>
      </c>
      <c r="Z35" s="27">
        <f t="shared" si="17"/>
        <v>1719809.1088558941</v>
      </c>
      <c r="AA35">
        <f t="shared" si="18"/>
        <v>0</v>
      </c>
      <c r="AB35" s="27">
        <f t="shared" si="19"/>
        <v>1719809.1088558941</v>
      </c>
      <c r="AD35" s="27">
        <f t="shared" si="20"/>
        <v>0</v>
      </c>
      <c r="AE35" s="27">
        <f t="shared" si="21"/>
        <v>1719809.1088558941</v>
      </c>
      <c r="AF35" s="50"/>
      <c r="AG35" t="str">
        <f t="shared" si="22"/>
        <v>5301140</v>
      </c>
    </row>
    <row r="36" spans="1:33" x14ac:dyDescent="0.25">
      <c r="A36" s="7" t="s">
        <v>338</v>
      </c>
      <c r="B36" s="2" t="s">
        <v>723</v>
      </c>
      <c r="C36" s="4" t="s">
        <v>722</v>
      </c>
      <c r="D36">
        <f>_xlfn.IFNA(VLOOKUP(A36,'Prior Year data'!$A$1:$T$318,12,FALSE),0)</f>
        <v>528994.46226912865</v>
      </c>
      <c r="E36">
        <f>VLOOKUP(A36,'Basic HH'!$B$1:$Y$319,23,FALSE)</f>
        <v>355232.71574743389</v>
      </c>
      <c r="F36">
        <f>VLOOKUP(A36,'Conc. HH'!$B$1:$Y$319,23,FALSE)</f>
        <v>0</v>
      </c>
      <c r="G36">
        <f>VLOOKUP(A36,'Targeted HH'!$B$1:$Y$319,23,FALSE)</f>
        <v>171407.62275221309</v>
      </c>
      <c r="H36">
        <f>VLOOKUP(A36,'EFIG HH'!$B$1:$Y$319,23,FALSE)</f>
        <v>233206.39510382994</v>
      </c>
      <c r="I36">
        <f t="shared" si="0"/>
        <v>759846.7336034769</v>
      </c>
      <c r="J36">
        <f t="shared" si="1"/>
        <v>759846.7336034769</v>
      </c>
      <c r="K36" s="43">
        <f t="shared" si="2"/>
        <v>690541.96530402754</v>
      </c>
      <c r="L36">
        <f t="shared" si="3"/>
        <v>0</v>
      </c>
      <c r="M36">
        <f t="shared" si="4"/>
        <v>161547.50303489889</v>
      </c>
      <c r="N36" s="43">
        <f t="shared" si="5"/>
        <v>669426.27513970283</v>
      </c>
      <c r="O36">
        <f t="shared" si="6"/>
        <v>0</v>
      </c>
      <c r="P36">
        <f t="shared" si="7"/>
        <v>140431.81287057418</v>
      </c>
      <c r="Q36" s="43">
        <f t="shared" si="8"/>
        <v>669426.27513970283</v>
      </c>
      <c r="R36">
        <f t="shared" si="9"/>
        <v>0</v>
      </c>
      <c r="S36">
        <f t="shared" si="10"/>
        <v>140431.81287057418</v>
      </c>
      <c r="T36" s="43">
        <f t="shared" si="11"/>
        <v>669426.27513970283</v>
      </c>
      <c r="U36">
        <f t="shared" si="12"/>
        <v>0</v>
      </c>
      <c r="V36">
        <f t="shared" si="13"/>
        <v>140431.81287057418</v>
      </c>
      <c r="W36" s="43">
        <f t="shared" si="14"/>
        <v>669426.27513970283</v>
      </c>
      <c r="X36" s="43">
        <f t="shared" si="15"/>
        <v>90420.458463774063</v>
      </c>
      <c r="Y36" s="27">
        <f t="shared" si="16"/>
        <v>5124.8939853170868</v>
      </c>
      <c r="Z36" s="27">
        <f t="shared" si="17"/>
        <v>664301.38115438574</v>
      </c>
      <c r="AA36">
        <f t="shared" si="18"/>
        <v>0</v>
      </c>
      <c r="AB36" s="27">
        <f t="shared" si="19"/>
        <v>664301.38115438574</v>
      </c>
      <c r="AD36" s="27">
        <f t="shared" si="20"/>
        <v>0</v>
      </c>
      <c r="AE36" s="27">
        <f t="shared" si="21"/>
        <v>664301.38115438574</v>
      </c>
      <c r="AF36" s="50"/>
      <c r="AG36" t="str">
        <f t="shared" si="22"/>
        <v>5301170</v>
      </c>
    </row>
    <row r="37" spans="1:33" x14ac:dyDescent="0.25">
      <c r="A37" s="7" t="s">
        <v>268</v>
      </c>
      <c r="B37" s="2" t="s">
        <v>725</v>
      </c>
      <c r="C37" s="4" t="s">
        <v>724</v>
      </c>
      <c r="D37">
        <f>_xlfn.IFNA(VLOOKUP(A37,'Prior Year data'!$A$1:$T$318,12,FALSE),0)</f>
        <v>1460213.592211822</v>
      </c>
      <c r="E37">
        <f>VLOOKUP(A37,'Basic HH'!$B$1:$Y$319,23,FALSE)</f>
        <v>640617.00727896474</v>
      </c>
      <c r="F37">
        <f>VLOOKUP(A37,'Conc. HH'!$B$1:$Y$319,23,FALSE)</f>
        <v>0</v>
      </c>
      <c r="G37">
        <f>VLOOKUP(A37,'Targeted HH'!$B$1:$Y$319,23,FALSE)</f>
        <v>338806.51893102983</v>
      </c>
      <c r="H37">
        <f>VLOOKUP(A37,'EFIG HH'!$B$1:$Y$319,23,FALSE)</f>
        <v>465695.67461598007</v>
      </c>
      <c r="I37">
        <f t="shared" si="0"/>
        <v>1445119.2008259746</v>
      </c>
      <c r="J37">
        <f t="shared" si="1"/>
        <v>0</v>
      </c>
      <c r="K37" s="43">
        <f t="shared" si="2"/>
        <v>1445119.2008259746</v>
      </c>
      <c r="L37">
        <f t="shared" si="3"/>
        <v>0</v>
      </c>
      <c r="M37">
        <f t="shared" si="4"/>
        <v>0</v>
      </c>
      <c r="N37" s="43">
        <f t="shared" si="5"/>
        <v>1445119.2008259746</v>
      </c>
      <c r="O37">
        <f t="shared" si="6"/>
        <v>0</v>
      </c>
      <c r="P37">
        <f t="shared" si="7"/>
        <v>0</v>
      </c>
      <c r="Q37" s="43">
        <f t="shared" si="8"/>
        <v>1445119.2008259746</v>
      </c>
      <c r="R37">
        <f t="shared" si="9"/>
        <v>0</v>
      </c>
      <c r="S37">
        <f t="shared" si="10"/>
        <v>0</v>
      </c>
      <c r="T37" s="43">
        <f t="shared" si="11"/>
        <v>1445119.2008259746</v>
      </c>
      <c r="U37">
        <f t="shared" si="12"/>
        <v>0</v>
      </c>
      <c r="V37">
        <f t="shared" si="13"/>
        <v>0</v>
      </c>
      <c r="W37" s="43">
        <f t="shared" si="14"/>
        <v>1445119.2008259746</v>
      </c>
      <c r="X37" s="43">
        <f t="shared" si="15"/>
        <v>0</v>
      </c>
      <c r="Y37" s="27">
        <f t="shared" si="16"/>
        <v>11063.328368510323</v>
      </c>
      <c r="Z37" s="27">
        <f t="shared" si="17"/>
        <v>1434055.8724574642</v>
      </c>
      <c r="AA37">
        <f t="shared" si="18"/>
        <v>0</v>
      </c>
      <c r="AB37" s="27">
        <f t="shared" si="19"/>
        <v>1434055.8724574642</v>
      </c>
      <c r="AD37" s="27">
        <f t="shared" si="20"/>
        <v>0</v>
      </c>
      <c r="AE37" s="27">
        <f t="shared" si="21"/>
        <v>1434055.8724574642</v>
      </c>
      <c r="AF37" s="50"/>
      <c r="AG37" t="str">
        <f t="shared" si="22"/>
        <v>5301230</v>
      </c>
    </row>
    <row r="38" spans="1:33" x14ac:dyDescent="0.25">
      <c r="A38" s="7" t="s">
        <v>340</v>
      </c>
      <c r="B38" s="2" t="s">
        <v>727</v>
      </c>
      <c r="C38" s="4" t="s">
        <v>726</v>
      </c>
      <c r="D38">
        <f>_xlfn.IFNA(VLOOKUP(A38,'Prior Year data'!$A$1:$T$318,12,FALSE),0)</f>
        <v>394716.41245081241</v>
      </c>
      <c r="E38">
        <f>VLOOKUP(A38,'Basic HH'!$B$1:$Y$319,23,FALSE)</f>
        <v>140036.72205738933</v>
      </c>
      <c r="F38">
        <f>VLOOKUP(A38,'Conc. HH'!$B$1:$Y$319,23,FALSE)</f>
        <v>35761.536398405435</v>
      </c>
      <c r="G38">
        <f>VLOOKUP(A38,'Targeted HH'!$B$1:$Y$319,23,FALSE)</f>
        <v>78700.719305723978</v>
      </c>
      <c r="H38">
        <f>VLOOKUP(A38,'EFIG HH'!$B$1:$Y$319,23,FALSE)</f>
        <v>103703.32233418374</v>
      </c>
      <c r="I38">
        <f t="shared" si="0"/>
        <v>358202.30009570246</v>
      </c>
      <c r="J38">
        <f t="shared" si="1"/>
        <v>0</v>
      </c>
      <c r="K38" s="43">
        <f t="shared" si="2"/>
        <v>358202.30009570246</v>
      </c>
      <c r="L38">
        <f t="shared" si="3"/>
        <v>0</v>
      </c>
      <c r="M38">
        <f t="shared" si="4"/>
        <v>0</v>
      </c>
      <c r="N38" s="43">
        <f t="shared" si="5"/>
        <v>358202.30009570246</v>
      </c>
      <c r="O38">
        <f t="shared" si="6"/>
        <v>0</v>
      </c>
      <c r="P38">
        <f t="shared" si="7"/>
        <v>0</v>
      </c>
      <c r="Q38" s="43">
        <f t="shared" si="8"/>
        <v>358202.30009570246</v>
      </c>
      <c r="R38">
        <f t="shared" si="9"/>
        <v>0</v>
      </c>
      <c r="S38">
        <f t="shared" si="10"/>
        <v>0</v>
      </c>
      <c r="T38" s="43">
        <f t="shared" si="11"/>
        <v>358202.30009570246</v>
      </c>
      <c r="U38">
        <f t="shared" si="12"/>
        <v>0</v>
      </c>
      <c r="V38">
        <f t="shared" si="13"/>
        <v>0</v>
      </c>
      <c r="W38" s="43">
        <f t="shared" si="14"/>
        <v>358202.30009570246</v>
      </c>
      <c r="X38" s="43">
        <f t="shared" si="15"/>
        <v>0</v>
      </c>
      <c r="Y38" s="27">
        <f t="shared" si="16"/>
        <v>2742.2718250850085</v>
      </c>
      <c r="Z38" s="27">
        <f t="shared" si="17"/>
        <v>355460.02827061748</v>
      </c>
      <c r="AA38">
        <f t="shared" si="18"/>
        <v>0</v>
      </c>
      <c r="AB38" s="27">
        <f t="shared" si="19"/>
        <v>355460.02827061748</v>
      </c>
      <c r="AD38" s="27">
        <f t="shared" si="20"/>
        <v>0</v>
      </c>
      <c r="AE38" s="27">
        <f t="shared" si="21"/>
        <v>355460.02827061748</v>
      </c>
      <c r="AF38" s="50"/>
      <c r="AG38" t="str">
        <f t="shared" si="22"/>
        <v>5301260</v>
      </c>
    </row>
    <row r="39" spans="1:33" x14ac:dyDescent="0.25">
      <c r="A39" s="7" t="s">
        <v>109</v>
      </c>
      <c r="B39" s="2" t="s">
        <v>729</v>
      </c>
      <c r="C39" s="4" t="s">
        <v>728</v>
      </c>
      <c r="D39">
        <f>_xlfn.IFNA(VLOOKUP(A39,'Prior Year data'!$A$1:$T$318,12,FALSE),0)</f>
        <v>373368.71189982921</v>
      </c>
      <c r="E39">
        <f>VLOOKUP(A39,'Basic HH'!$B$1:$Y$319,23,FALSE)</f>
        <v>132018.0263902444</v>
      </c>
      <c r="F39">
        <f>VLOOKUP(A39,'Conc. HH'!$B$1:$Y$319,23,FALSE)</f>
        <v>33831.380503972068</v>
      </c>
      <c r="G39">
        <f>VLOOKUP(A39,'Targeted HH'!$B$1:$Y$319,23,FALSE)</f>
        <v>68459.040839028879</v>
      </c>
      <c r="H39">
        <f>VLOOKUP(A39,'EFIG HH'!$B$1:$Y$319,23,FALSE)</f>
        <v>94400.475933401656</v>
      </c>
      <c r="I39">
        <f t="shared" si="0"/>
        <v>328708.923666647</v>
      </c>
      <c r="J39">
        <f t="shared" si="1"/>
        <v>0</v>
      </c>
      <c r="K39" s="43">
        <f t="shared" si="2"/>
        <v>328708.923666647</v>
      </c>
      <c r="L39">
        <f t="shared" si="3"/>
        <v>0</v>
      </c>
      <c r="M39">
        <f t="shared" si="4"/>
        <v>0</v>
      </c>
      <c r="N39" s="43">
        <f t="shared" si="5"/>
        <v>328708.923666647</v>
      </c>
      <c r="O39">
        <f t="shared" si="6"/>
        <v>0</v>
      </c>
      <c r="P39">
        <f t="shared" si="7"/>
        <v>0</v>
      </c>
      <c r="Q39" s="43">
        <f t="shared" si="8"/>
        <v>328708.923666647</v>
      </c>
      <c r="R39">
        <f t="shared" si="9"/>
        <v>0</v>
      </c>
      <c r="S39">
        <f t="shared" si="10"/>
        <v>0</v>
      </c>
      <c r="T39" s="43">
        <f t="shared" si="11"/>
        <v>328708.923666647</v>
      </c>
      <c r="U39">
        <f t="shared" si="12"/>
        <v>0</v>
      </c>
      <c r="V39">
        <f t="shared" si="13"/>
        <v>0</v>
      </c>
      <c r="W39" s="43">
        <f t="shared" si="14"/>
        <v>328708.923666647</v>
      </c>
      <c r="X39" s="43">
        <f t="shared" si="15"/>
        <v>0</v>
      </c>
      <c r="Y39" s="27">
        <f t="shared" si="16"/>
        <v>2516.4808260143254</v>
      </c>
      <c r="Z39" s="27">
        <f t="shared" si="17"/>
        <v>326192.44284063269</v>
      </c>
      <c r="AA39">
        <f t="shared" si="18"/>
        <v>0</v>
      </c>
      <c r="AB39" s="27">
        <f t="shared" si="19"/>
        <v>326192.44284063269</v>
      </c>
      <c r="AD39" s="27">
        <f t="shared" si="20"/>
        <v>0</v>
      </c>
      <c r="AE39" s="27">
        <f t="shared" si="21"/>
        <v>326192.44284063269</v>
      </c>
      <c r="AF39" s="50"/>
      <c r="AG39" t="str">
        <f t="shared" si="22"/>
        <v>5301290</v>
      </c>
    </row>
    <row r="40" spans="1:33" x14ac:dyDescent="0.25">
      <c r="A40" s="7" t="s">
        <v>342</v>
      </c>
      <c r="B40" s="2" t="s">
        <v>731</v>
      </c>
      <c r="C40" s="4" t="s">
        <v>730</v>
      </c>
      <c r="D40">
        <f>_xlfn.IFNA(VLOOKUP(A40,'Prior Year data'!$A$1:$T$318,12,FALSE),0)</f>
        <v>1199089.585711271</v>
      </c>
      <c r="E40">
        <f>VLOOKUP(A40,'Basic HH'!$B$1:$Y$319,23,FALSE)</f>
        <v>469235.1809964375</v>
      </c>
      <c r="F40">
        <f>VLOOKUP(A40,'Conc. HH'!$B$1:$Y$319,23,FALSE)</f>
        <v>123646.09643631682</v>
      </c>
      <c r="G40">
        <f>VLOOKUP(A40,'Targeted HH'!$B$1:$Y$319,23,FALSE)</f>
        <v>271841.10025092715</v>
      </c>
      <c r="H40">
        <f>VLOOKUP(A40,'EFIG HH'!$B$1:$Y$319,23,FALSE)</f>
        <v>373650.49813423608</v>
      </c>
      <c r="I40">
        <f t="shared" si="0"/>
        <v>1238372.8758179175</v>
      </c>
      <c r="J40">
        <f t="shared" si="1"/>
        <v>1238372.8758179175</v>
      </c>
      <c r="K40" s="43">
        <f t="shared" si="2"/>
        <v>1125422.2748199129</v>
      </c>
      <c r="L40">
        <f t="shared" si="3"/>
        <v>73667.310891358182</v>
      </c>
      <c r="M40">
        <f t="shared" si="4"/>
        <v>0</v>
      </c>
      <c r="N40" s="43">
        <f t="shared" si="5"/>
        <v>1199089.585711271</v>
      </c>
      <c r="O40">
        <f t="shared" si="6"/>
        <v>0</v>
      </c>
      <c r="P40">
        <f t="shared" si="7"/>
        <v>0</v>
      </c>
      <c r="Q40" s="43">
        <f t="shared" si="8"/>
        <v>1199089.585711271</v>
      </c>
      <c r="R40">
        <f t="shared" si="9"/>
        <v>0</v>
      </c>
      <c r="S40">
        <f t="shared" si="10"/>
        <v>0</v>
      </c>
      <c r="T40" s="43">
        <f t="shared" si="11"/>
        <v>1199089.585711271</v>
      </c>
      <c r="U40">
        <f t="shared" si="12"/>
        <v>0</v>
      </c>
      <c r="V40">
        <f t="shared" si="13"/>
        <v>0</v>
      </c>
      <c r="W40" s="43">
        <f t="shared" si="14"/>
        <v>1199089.585711271</v>
      </c>
      <c r="X40" s="43">
        <f t="shared" si="15"/>
        <v>39283.290106646484</v>
      </c>
      <c r="Y40" s="27">
        <f t="shared" si="16"/>
        <v>9179.8114801896645</v>
      </c>
      <c r="Z40" s="27">
        <f t="shared" si="17"/>
        <v>1189909.7742310814</v>
      </c>
      <c r="AA40">
        <f t="shared" si="18"/>
        <v>0</v>
      </c>
      <c r="AB40" s="27">
        <f t="shared" si="19"/>
        <v>1189909.7742310814</v>
      </c>
      <c r="AD40" s="27">
        <f t="shared" si="20"/>
        <v>0</v>
      </c>
      <c r="AE40" s="27">
        <f t="shared" si="21"/>
        <v>1189909.7742310814</v>
      </c>
      <c r="AF40" s="50"/>
      <c r="AG40" t="str">
        <f t="shared" si="22"/>
        <v>5301320</v>
      </c>
    </row>
    <row r="41" spans="1:33" x14ac:dyDescent="0.25">
      <c r="A41" s="7" t="s">
        <v>344</v>
      </c>
      <c r="B41" s="2" t="s">
        <v>733</v>
      </c>
      <c r="C41" s="4" t="s">
        <v>732</v>
      </c>
      <c r="D41">
        <f>_xlfn.IFNA(VLOOKUP(A41,'Prior Year data'!$A$1:$T$318,12,FALSE),0)</f>
        <v>288198.15205790842</v>
      </c>
      <c r="E41">
        <f>VLOOKUP(A41,'Basic HH'!$B$1:$Y$319,23,FALSE)</f>
        <v>132886.56603754865</v>
      </c>
      <c r="F41">
        <f>VLOOKUP(A41,'Conc. HH'!$B$1:$Y$319,23,FALSE)</f>
        <v>19651.006742485562</v>
      </c>
      <c r="G41">
        <f>VLOOKUP(A41,'Targeted HH'!$B$1:$Y$319,23,FALSE)</f>
        <v>64120.699953761876</v>
      </c>
      <c r="H41">
        <f>VLOOKUP(A41,'EFIG HH'!$B$1:$Y$319,23,FALSE)</f>
        <v>87238.578119525628</v>
      </c>
      <c r="I41">
        <f t="shared" si="0"/>
        <v>303896.85085332172</v>
      </c>
      <c r="J41">
        <f t="shared" si="1"/>
        <v>303896.85085332172</v>
      </c>
      <c r="K41" s="43">
        <f t="shared" si="2"/>
        <v>276178.75994906755</v>
      </c>
      <c r="L41">
        <f t="shared" si="3"/>
        <v>12019.392108840868</v>
      </c>
      <c r="M41">
        <f t="shared" si="4"/>
        <v>0</v>
      </c>
      <c r="N41" s="43">
        <f t="shared" si="5"/>
        <v>288198.15205790842</v>
      </c>
      <c r="O41">
        <f t="shared" si="6"/>
        <v>0</v>
      </c>
      <c r="P41">
        <f t="shared" si="7"/>
        <v>0</v>
      </c>
      <c r="Q41" s="43">
        <f t="shared" si="8"/>
        <v>288198.15205790842</v>
      </c>
      <c r="R41">
        <f t="shared" si="9"/>
        <v>0</v>
      </c>
      <c r="S41">
        <f t="shared" si="10"/>
        <v>0</v>
      </c>
      <c r="T41" s="43">
        <f t="shared" si="11"/>
        <v>288198.15205790842</v>
      </c>
      <c r="U41">
        <f t="shared" si="12"/>
        <v>0</v>
      </c>
      <c r="V41">
        <f t="shared" si="13"/>
        <v>0</v>
      </c>
      <c r="W41" s="43">
        <f t="shared" si="14"/>
        <v>288198.15205790842</v>
      </c>
      <c r="X41" s="43">
        <f t="shared" si="15"/>
        <v>15698.698795413307</v>
      </c>
      <c r="Y41" s="27">
        <f t="shared" si="16"/>
        <v>2206.344493652929</v>
      </c>
      <c r="Z41" s="27">
        <f t="shared" si="17"/>
        <v>285991.80756425549</v>
      </c>
      <c r="AA41">
        <f t="shared" si="18"/>
        <v>0</v>
      </c>
      <c r="AB41" s="27">
        <f t="shared" si="19"/>
        <v>285991.80756425549</v>
      </c>
      <c r="AD41" s="27">
        <f t="shared" si="20"/>
        <v>0</v>
      </c>
      <c r="AE41" s="27">
        <f t="shared" si="21"/>
        <v>285991.80756425549</v>
      </c>
      <c r="AF41" s="50"/>
      <c r="AG41" t="str">
        <f t="shared" si="22"/>
        <v>5301350</v>
      </c>
    </row>
    <row r="42" spans="1:33" x14ac:dyDescent="0.25">
      <c r="A42" s="7" t="s">
        <v>346</v>
      </c>
      <c r="B42" s="2" t="s">
        <v>735</v>
      </c>
      <c r="C42" s="4" t="s">
        <v>734</v>
      </c>
      <c r="D42">
        <f>_xlfn.IFNA(VLOOKUP(A42,'Prior Year data'!$A$1:$T$318,12,FALSE),0)</f>
        <v>4236933.1501451973</v>
      </c>
      <c r="E42">
        <f>VLOOKUP(A42,'Basic HH'!$B$1:$Y$319,23,FALSE)</f>
        <v>1806562.4663928177</v>
      </c>
      <c r="F42">
        <f>VLOOKUP(A42,'Conc. HH'!$B$1:$Y$319,23,FALSE)</f>
        <v>486169.90659270139</v>
      </c>
      <c r="G42">
        <f>VLOOKUP(A42,'Targeted HH'!$B$1:$Y$319,23,FALSE)</f>
        <v>1162763.9347824336</v>
      </c>
      <c r="H42">
        <f>VLOOKUP(A42,'EFIG HH'!$B$1:$Y$319,23,FALSE)</f>
        <v>1581983.2352459074</v>
      </c>
      <c r="I42">
        <f t="shared" si="0"/>
        <v>5037479.5430138605</v>
      </c>
      <c r="J42">
        <f t="shared" si="1"/>
        <v>5037479.5430138605</v>
      </c>
      <c r="K42" s="43">
        <f t="shared" si="2"/>
        <v>4578016.6841210844</v>
      </c>
      <c r="L42">
        <f t="shared" si="3"/>
        <v>0</v>
      </c>
      <c r="M42">
        <f t="shared" si="4"/>
        <v>341083.53397588711</v>
      </c>
      <c r="N42" s="43">
        <f t="shared" si="5"/>
        <v>4533434.0437937258</v>
      </c>
      <c r="O42">
        <f t="shared" si="6"/>
        <v>0</v>
      </c>
      <c r="P42">
        <f t="shared" si="7"/>
        <v>296500.89364852849</v>
      </c>
      <c r="Q42" s="43">
        <f t="shared" si="8"/>
        <v>4533434.0437937258</v>
      </c>
      <c r="R42">
        <f t="shared" si="9"/>
        <v>0</v>
      </c>
      <c r="S42">
        <f t="shared" si="10"/>
        <v>296500.89364852849</v>
      </c>
      <c r="T42" s="43">
        <f t="shared" si="11"/>
        <v>4533434.0437937258</v>
      </c>
      <c r="U42">
        <f t="shared" si="12"/>
        <v>0</v>
      </c>
      <c r="V42">
        <f t="shared" si="13"/>
        <v>296500.89364852849</v>
      </c>
      <c r="W42" s="43">
        <f t="shared" si="14"/>
        <v>4533434.0437937258</v>
      </c>
      <c r="X42" s="43">
        <f t="shared" si="15"/>
        <v>504045.49922013469</v>
      </c>
      <c r="Y42" s="27">
        <f t="shared" si="16"/>
        <v>34706.389227135733</v>
      </c>
      <c r="Z42" s="27">
        <f t="shared" si="17"/>
        <v>4498727.6545665897</v>
      </c>
      <c r="AA42">
        <f t="shared" si="18"/>
        <v>0</v>
      </c>
      <c r="AB42" s="27">
        <f t="shared" si="19"/>
        <v>4498727.6545665897</v>
      </c>
      <c r="AD42" s="27">
        <f t="shared" si="20"/>
        <v>0</v>
      </c>
      <c r="AE42" s="27">
        <f t="shared" si="21"/>
        <v>4498727.6545665897</v>
      </c>
      <c r="AF42" s="50"/>
      <c r="AG42" t="str">
        <f t="shared" si="22"/>
        <v>5301410</v>
      </c>
    </row>
    <row r="43" spans="1:33" x14ac:dyDescent="0.25">
      <c r="A43" s="7" t="s">
        <v>270</v>
      </c>
      <c r="B43" s="2" t="s">
        <v>737</v>
      </c>
      <c r="C43" s="4" t="s">
        <v>736</v>
      </c>
      <c r="D43">
        <f>_xlfn.IFNA(VLOOKUP(A43,'Prior Year data'!$A$1:$T$318,12,FALSE),0)</f>
        <v>82032.150407825146</v>
      </c>
      <c r="E43">
        <f>VLOOKUP(A43,'Basic HH'!$B$1:$Y$319,23,FALSE)</f>
        <v>52980.918485558606</v>
      </c>
      <c r="F43">
        <f>VLOOKUP(A43,'Conc. HH'!$B$1:$Y$319,23,FALSE)</f>
        <v>0</v>
      </c>
      <c r="G43">
        <f>VLOOKUP(A43,'Targeted HH'!$B$1:$Y$319,23,FALSE)</f>
        <v>25564.462073068458</v>
      </c>
      <c r="H43">
        <f>VLOOKUP(A43,'EFIG HH'!$B$1:$Y$319,23,FALSE)</f>
        <v>34781.393890791274</v>
      </c>
      <c r="I43">
        <f t="shared" si="0"/>
        <v>113326.77444941833</v>
      </c>
      <c r="J43">
        <f t="shared" si="1"/>
        <v>113326.77444941833</v>
      </c>
      <c r="K43" s="43">
        <f t="shared" si="2"/>
        <v>102990.36646343689</v>
      </c>
      <c r="L43">
        <f t="shared" si="3"/>
        <v>0</v>
      </c>
      <c r="M43">
        <f t="shared" si="4"/>
        <v>20958.216055611745</v>
      </c>
      <c r="N43" s="43">
        <f t="shared" si="5"/>
        <v>100250.94190834693</v>
      </c>
      <c r="O43">
        <f t="shared" si="6"/>
        <v>0</v>
      </c>
      <c r="P43">
        <f t="shared" si="7"/>
        <v>18218.79150052178</v>
      </c>
      <c r="Q43" s="43">
        <f t="shared" si="8"/>
        <v>100250.94190834693</v>
      </c>
      <c r="R43">
        <f t="shared" si="9"/>
        <v>0</v>
      </c>
      <c r="S43">
        <f t="shared" si="10"/>
        <v>18218.79150052178</v>
      </c>
      <c r="T43" s="43">
        <f t="shared" si="11"/>
        <v>100250.94190834693</v>
      </c>
      <c r="U43">
        <f t="shared" si="12"/>
        <v>0</v>
      </c>
      <c r="V43">
        <f t="shared" si="13"/>
        <v>18218.79150052178</v>
      </c>
      <c r="W43" s="43">
        <f t="shared" si="14"/>
        <v>100250.94190834693</v>
      </c>
      <c r="X43" s="43">
        <f t="shared" si="15"/>
        <v>13075.832541071402</v>
      </c>
      <c r="Y43" s="27">
        <f t="shared" si="16"/>
        <v>767.48623155139796</v>
      </c>
      <c r="Z43" s="27">
        <f t="shared" si="17"/>
        <v>99483.455676795522</v>
      </c>
      <c r="AA43">
        <f t="shared" si="18"/>
        <v>0</v>
      </c>
      <c r="AB43" s="27">
        <f t="shared" si="19"/>
        <v>99483.455676795522</v>
      </c>
      <c r="AD43" s="27">
        <f t="shared" si="20"/>
        <v>0</v>
      </c>
      <c r="AE43" s="27">
        <f t="shared" si="21"/>
        <v>99483.455676795522</v>
      </c>
      <c r="AF43" s="50"/>
      <c r="AG43" t="str">
        <f t="shared" si="22"/>
        <v>5301440</v>
      </c>
    </row>
    <row r="44" spans="1:33" x14ac:dyDescent="0.25">
      <c r="A44" s="7" t="s">
        <v>348</v>
      </c>
      <c r="B44" s="2" t="s">
        <v>739</v>
      </c>
      <c r="C44" s="4" t="s">
        <v>738</v>
      </c>
      <c r="D44">
        <f>_xlfn.IFNA(VLOOKUP(A44,'Prior Year data'!$A$1:$T$318,12,FALSE),0)</f>
        <v>395577.25863329013</v>
      </c>
      <c r="E44">
        <f>VLOOKUP(A44,'Basic HH'!$B$1:$Y$319,23,FALSE)</f>
        <v>248402.33912901251</v>
      </c>
      <c r="F44">
        <f>VLOOKUP(A44,'Conc. HH'!$B$1:$Y$319,23,FALSE)</f>
        <v>0</v>
      </c>
      <c r="G44">
        <f>VLOOKUP(A44,'Targeted HH'!$B$1:$Y$319,23,FALSE)</f>
        <v>119859.60906389474</v>
      </c>
      <c r="H44">
        <f>VLOOKUP(A44,'EFIG HH'!$B$1:$Y$319,23,FALSE)</f>
        <v>163073.42053715247</v>
      </c>
      <c r="I44">
        <f t="shared" si="0"/>
        <v>531335.36873005971</v>
      </c>
      <c r="J44">
        <f t="shared" si="1"/>
        <v>531335.36873005971</v>
      </c>
      <c r="K44" s="43">
        <f t="shared" si="2"/>
        <v>482872.86571381887</v>
      </c>
      <c r="L44">
        <f t="shared" si="3"/>
        <v>0</v>
      </c>
      <c r="M44">
        <f t="shared" si="4"/>
        <v>87295.607080528745</v>
      </c>
      <c r="N44" s="43">
        <f t="shared" si="5"/>
        <v>471462.55631757353</v>
      </c>
      <c r="O44">
        <f t="shared" si="6"/>
        <v>0</v>
      </c>
      <c r="P44">
        <f t="shared" si="7"/>
        <v>75885.297684283403</v>
      </c>
      <c r="Q44" s="43">
        <f t="shared" si="8"/>
        <v>471462.55631757353</v>
      </c>
      <c r="R44">
        <f t="shared" si="9"/>
        <v>0</v>
      </c>
      <c r="S44">
        <f t="shared" si="10"/>
        <v>75885.297684283403</v>
      </c>
      <c r="T44" s="43">
        <f t="shared" si="11"/>
        <v>471462.55631757353</v>
      </c>
      <c r="U44">
        <f t="shared" si="12"/>
        <v>0</v>
      </c>
      <c r="V44">
        <f t="shared" si="13"/>
        <v>75885.297684283403</v>
      </c>
      <c r="W44" s="43">
        <f t="shared" si="14"/>
        <v>471462.55631757353</v>
      </c>
      <c r="X44" s="43">
        <f t="shared" si="15"/>
        <v>59872.812412486179</v>
      </c>
      <c r="Y44" s="27">
        <f t="shared" si="16"/>
        <v>3609.3528277925957</v>
      </c>
      <c r="Z44" s="27">
        <f t="shared" si="17"/>
        <v>467853.20348978095</v>
      </c>
      <c r="AA44">
        <f t="shared" si="18"/>
        <v>0</v>
      </c>
      <c r="AB44" s="27">
        <f t="shared" si="19"/>
        <v>467853.20348978095</v>
      </c>
      <c r="AD44" s="27">
        <f t="shared" si="20"/>
        <v>0</v>
      </c>
      <c r="AE44" s="27">
        <f t="shared" si="21"/>
        <v>467853.20348978095</v>
      </c>
      <c r="AF44" s="50"/>
      <c r="AG44" t="str">
        <f t="shared" si="22"/>
        <v>5301470</v>
      </c>
    </row>
    <row r="45" spans="1:33" x14ac:dyDescent="0.25">
      <c r="A45" s="7" t="s">
        <v>350</v>
      </c>
      <c r="B45" s="2" t="s">
        <v>741</v>
      </c>
      <c r="C45" s="4" t="s">
        <v>740</v>
      </c>
      <c r="D45">
        <f>_xlfn.IFNA(VLOOKUP(A45,'Prior Year data'!$A$1:$T$318,12,FALSE),0)</f>
        <v>30545.001830211982</v>
      </c>
      <c r="E45">
        <f>VLOOKUP(A45,'Basic HH'!$B$1:$Y$319,23,FALSE)</f>
        <v>0</v>
      </c>
      <c r="F45">
        <f>VLOOKUP(A45,'Conc. HH'!$B$1:$Y$319,23,FALSE)</f>
        <v>0</v>
      </c>
      <c r="G45">
        <f>VLOOKUP(A45,'Targeted HH'!$B$1:$Y$319,23,FALSE)</f>
        <v>0</v>
      </c>
      <c r="H45">
        <f>VLOOKUP(A45,'EFIG HH'!$B$1:$Y$319,23,FALSE)</f>
        <v>0</v>
      </c>
      <c r="I45">
        <f t="shared" si="0"/>
        <v>0</v>
      </c>
      <c r="J45">
        <f t="shared" si="1"/>
        <v>0</v>
      </c>
      <c r="K45" s="43">
        <f t="shared" si="2"/>
        <v>0</v>
      </c>
      <c r="L45">
        <f t="shared" si="3"/>
        <v>0</v>
      </c>
      <c r="M45">
        <f t="shared" si="4"/>
        <v>0</v>
      </c>
      <c r="N45" s="43">
        <f t="shared" si="5"/>
        <v>0</v>
      </c>
      <c r="O45">
        <f t="shared" si="6"/>
        <v>0</v>
      </c>
      <c r="P45">
        <f t="shared" si="7"/>
        <v>0</v>
      </c>
      <c r="Q45" s="43">
        <f t="shared" si="8"/>
        <v>0</v>
      </c>
      <c r="R45">
        <f t="shared" si="9"/>
        <v>0</v>
      </c>
      <c r="S45">
        <f t="shared" si="10"/>
        <v>0</v>
      </c>
      <c r="T45" s="43">
        <f t="shared" si="11"/>
        <v>0</v>
      </c>
      <c r="U45">
        <f t="shared" si="12"/>
        <v>0</v>
      </c>
      <c r="V45">
        <f t="shared" si="13"/>
        <v>0</v>
      </c>
      <c r="W45" s="43">
        <f t="shared" si="14"/>
        <v>0</v>
      </c>
      <c r="X45" s="43">
        <f t="shared" si="15"/>
        <v>0</v>
      </c>
      <c r="Y45" s="27">
        <f t="shared" si="16"/>
        <v>0</v>
      </c>
      <c r="Z45" s="27">
        <f t="shared" si="17"/>
        <v>0</v>
      </c>
      <c r="AA45">
        <f t="shared" si="18"/>
        <v>0</v>
      </c>
      <c r="AB45" s="27">
        <f t="shared" si="19"/>
        <v>0</v>
      </c>
      <c r="AD45" s="27">
        <f t="shared" si="20"/>
        <v>0</v>
      </c>
      <c r="AE45" s="27">
        <f t="shared" si="21"/>
        <v>0</v>
      </c>
      <c r="AF45" s="50"/>
      <c r="AG45" t="str">
        <f t="shared" si="22"/>
        <v>5301500</v>
      </c>
    </row>
    <row r="46" spans="1:33" x14ac:dyDescent="0.25">
      <c r="A46" s="7" t="s">
        <v>352</v>
      </c>
      <c r="B46" s="2" t="s">
        <v>743</v>
      </c>
      <c r="C46" s="4" t="s">
        <v>742</v>
      </c>
      <c r="D46">
        <f>_xlfn.IFNA(VLOOKUP(A46,'Prior Year data'!$A$1:$T$318,12,FALSE),0)</f>
        <v>85267.398002930757</v>
      </c>
      <c r="E46">
        <f>VLOOKUP(A46,'Basic HH'!$B$1:$Y$319,23,FALSE)</f>
        <v>33295.565648262062</v>
      </c>
      <c r="F46">
        <f>VLOOKUP(A46,'Conc. HH'!$B$1:$Y$319,23,FALSE)</f>
        <v>8881.9502165974263</v>
      </c>
      <c r="G46">
        <f>VLOOKUP(A46,'Targeted HH'!$B$1:$Y$319,23,FALSE)</f>
        <v>19000.153110159124</v>
      </c>
      <c r="H46">
        <f>VLOOKUP(A46,'EFIG HH'!$B$1:$Y$319,23,FALSE)</f>
        <v>26116.053340295057</v>
      </c>
      <c r="I46">
        <f t="shared" si="0"/>
        <v>87293.722315313673</v>
      </c>
      <c r="J46">
        <f t="shared" si="1"/>
        <v>87293.722315313673</v>
      </c>
      <c r="K46" s="43">
        <f t="shared" si="2"/>
        <v>79331.75981483869</v>
      </c>
      <c r="L46">
        <f t="shared" si="3"/>
        <v>5935.6381880920671</v>
      </c>
      <c r="M46">
        <f t="shared" si="4"/>
        <v>0</v>
      </c>
      <c r="N46" s="43">
        <f t="shared" si="5"/>
        <v>85267.398002930757</v>
      </c>
      <c r="O46">
        <f t="shared" si="6"/>
        <v>0</v>
      </c>
      <c r="P46">
        <f t="shared" si="7"/>
        <v>0</v>
      </c>
      <c r="Q46" s="43">
        <f t="shared" si="8"/>
        <v>85267.398002930757</v>
      </c>
      <c r="R46">
        <f t="shared" si="9"/>
        <v>0</v>
      </c>
      <c r="S46">
        <f t="shared" si="10"/>
        <v>0</v>
      </c>
      <c r="T46" s="43">
        <f t="shared" si="11"/>
        <v>85267.398002930757</v>
      </c>
      <c r="U46">
        <f t="shared" si="12"/>
        <v>0</v>
      </c>
      <c r="V46">
        <f t="shared" si="13"/>
        <v>0</v>
      </c>
      <c r="W46" s="43">
        <f t="shared" si="14"/>
        <v>85267.398002930757</v>
      </c>
      <c r="X46" s="43">
        <f t="shared" si="15"/>
        <v>2026.3243123829161</v>
      </c>
      <c r="Y46" s="27">
        <f t="shared" si="16"/>
        <v>652.7774474906339</v>
      </c>
      <c r="Z46" s="27">
        <f t="shared" si="17"/>
        <v>84614.620555440124</v>
      </c>
      <c r="AA46">
        <f t="shared" si="18"/>
        <v>0</v>
      </c>
      <c r="AB46" s="27">
        <f t="shared" si="19"/>
        <v>84614.620555440124</v>
      </c>
      <c r="AD46" s="27">
        <f t="shared" si="20"/>
        <v>0</v>
      </c>
      <c r="AE46" s="27">
        <f t="shared" si="21"/>
        <v>84614.620555440124</v>
      </c>
      <c r="AF46" s="50"/>
      <c r="AG46" t="str">
        <f t="shared" si="22"/>
        <v>5301560</v>
      </c>
    </row>
    <row r="47" spans="1:33" x14ac:dyDescent="0.25">
      <c r="A47" s="7" t="s">
        <v>353</v>
      </c>
      <c r="B47" s="2" t="s">
        <v>745</v>
      </c>
      <c r="C47" s="4" t="s">
        <v>744</v>
      </c>
      <c r="D47">
        <f>_xlfn.IFNA(VLOOKUP(A47,'Prior Year data'!$A$1:$T$318,12,FALSE),0)</f>
        <v>208071.03914022737</v>
      </c>
      <c r="E47">
        <f>VLOOKUP(A47,'Basic HH'!$B$1:$Y$319,23,FALSE)</f>
        <v>92933.742261553591</v>
      </c>
      <c r="F47">
        <f>VLOOKUP(A47,'Conc. HH'!$B$1:$Y$319,23,FALSE)</f>
        <v>19187.19088165279</v>
      </c>
      <c r="G47">
        <f>VLOOKUP(A47,'Targeted HH'!$B$1:$Y$319,23,FALSE)</f>
        <v>44842.581013415169</v>
      </c>
      <c r="H47">
        <f>VLOOKUP(A47,'EFIG HH'!$B$1:$Y$319,23,FALSE)</f>
        <v>61009.986005158462</v>
      </c>
      <c r="I47">
        <f t="shared" si="0"/>
        <v>217973.50016177999</v>
      </c>
      <c r="J47">
        <f t="shared" si="1"/>
        <v>217973.50016177999</v>
      </c>
      <c r="K47" s="43">
        <f t="shared" si="2"/>
        <v>198092.38169925666</v>
      </c>
      <c r="L47">
        <f t="shared" si="3"/>
        <v>9978.65744097071</v>
      </c>
      <c r="M47">
        <f t="shared" si="4"/>
        <v>0</v>
      </c>
      <c r="N47" s="43">
        <f t="shared" si="5"/>
        <v>208071.03914022737</v>
      </c>
      <c r="O47">
        <f t="shared" si="6"/>
        <v>0</v>
      </c>
      <c r="P47">
        <f t="shared" si="7"/>
        <v>0</v>
      </c>
      <c r="Q47" s="43">
        <f t="shared" si="8"/>
        <v>208071.03914022737</v>
      </c>
      <c r="R47">
        <f t="shared" si="9"/>
        <v>0</v>
      </c>
      <c r="S47">
        <f t="shared" si="10"/>
        <v>0</v>
      </c>
      <c r="T47" s="43">
        <f t="shared" si="11"/>
        <v>208071.03914022737</v>
      </c>
      <c r="U47">
        <f t="shared" si="12"/>
        <v>0</v>
      </c>
      <c r="V47">
        <f t="shared" si="13"/>
        <v>0</v>
      </c>
      <c r="W47" s="43">
        <f t="shared" si="14"/>
        <v>208071.03914022737</v>
      </c>
      <c r="X47" s="43">
        <f t="shared" si="15"/>
        <v>9902.4610215526191</v>
      </c>
      <c r="Y47" s="27">
        <f t="shared" si="16"/>
        <v>1592.9192752195033</v>
      </c>
      <c r="Z47" s="27">
        <f t="shared" si="17"/>
        <v>206478.11986500787</v>
      </c>
      <c r="AA47">
        <f t="shared" si="18"/>
        <v>0</v>
      </c>
      <c r="AB47" s="27">
        <f t="shared" si="19"/>
        <v>206478.11986500787</v>
      </c>
      <c r="AD47" s="27">
        <f t="shared" si="20"/>
        <v>0</v>
      </c>
      <c r="AE47" s="27">
        <f t="shared" si="21"/>
        <v>206478.11986500787</v>
      </c>
      <c r="AF47" s="50"/>
      <c r="AG47" t="str">
        <f t="shared" si="22"/>
        <v>5301590</v>
      </c>
    </row>
    <row r="48" spans="1:33" x14ac:dyDescent="0.25">
      <c r="A48" s="7" t="s">
        <v>354</v>
      </c>
      <c r="B48" s="2" t="s">
        <v>747</v>
      </c>
      <c r="C48" s="4" t="s">
        <v>746</v>
      </c>
      <c r="D48">
        <f>_xlfn.IFNA(VLOOKUP(A48,'Prior Year data'!$A$1:$T$318,12,FALSE),0)</f>
        <v>674057.37695067853</v>
      </c>
      <c r="E48">
        <f>VLOOKUP(A48,'Basic HH'!$B$1:$Y$319,23,FALSE)</f>
        <v>297040.55937804998</v>
      </c>
      <c r="F48">
        <f>VLOOKUP(A48,'Conc. HH'!$B$1:$Y$319,23,FALSE)</f>
        <v>79937.551949376837</v>
      </c>
      <c r="G48">
        <f>VLOOKUP(A48,'Targeted HH'!$B$1:$Y$319,23,FALSE)</f>
        <v>152296.2176317462</v>
      </c>
      <c r="H48">
        <f>VLOOKUP(A48,'EFIG HH'!$B$1:$Y$319,23,FALSE)</f>
        <v>207204.62329257364</v>
      </c>
      <c r="I48">
        <f t="shared" si="0"/>
        <v>736478.95225174667</v>
      </c>
      <c r="J48">
        <f t="shared" si="1"/>
        <v>736478.95225174667</v>
      </c>
      <c r="K48" s="43">
        <f t="shared" si="2"/>
        <v>669305.5330792109</v>
      </c>
      <c r="L48">
        <f t="shared" si="3"/>
        <v>4751.8438714676304</v>
      </c>
      <c r="M48">
        <f t="shared" si="4"/>
        <v>0</v>
      </c>
      <c r="N48" s="43">
        <f t="shared" si="5"/>
        <v>674057.37695067853</v>
      </c>
      <c r="O48">
        <f t="shared" si="6"/>
        <v>0</v>
      </c>
      <c r="P48">
        <f t="shared" si="7"/>
        <v>0</v>
      </c>
      <c r="Q48" s="43">
        <f t="shared" si="8"/>
        <v>674057.37695067853</v>
      </c>
      <c r="R48">
        <f t="shared" si="9"/>
        <v>0</v>
      </c>
      <c r="S48">
        <f t="shared" si="10"/>
        <v>0</v>
      </c>
      <c r="T48" s="43">
        <f t="shared" si="11"/>
        <v>674057.37695067853</v>
      </c>
      <c r="U48">
        <f t="shared" si="12"/>
        <v>0</v>
      </c>
      <c r="V48">
        <f t="shared" si="13"/>
        <v>0</v>
      </c>
      <c r="W48" s="43">
        <f t="shared" si="14"/>
        <v>674057.37695067853</v>
      </c>
      <c r="X48" s="43">
        <f t="shared" si="15"/>
        <v>62421.575301068136</v>
      </c>
      <c r="Y48" s="27">
        <f t="shared" si="16"/>
        <v>5160.3480848913932</v>
      </c>
      <c r="Z48" s="27">
        <f t="shared" si="17"/>
        <v>668897.02886578708</v>
      </c>
      <c r="AA48">
        <f t="shared" si="18"/>
        <v>0</v>
      </c>
      <c r="AB48" s="27">
        <f t="shared" si="19"/>
        <v>668897.02886578708</v>
      </c>
      <c r="AD48" s="27">
        <f t="shared" si="20"/>
        <v>0</v>
      </c>
      <c r="AE48" s="27">
        <f t="shared" si="21"/>
        <v>668897.02886578708</v>
      </c>
      <c r="AF48" s="50"/>
      <c r="AG48" t="str">
        <f t="shared" si="22"/>
        <v>5301630</v>
      </c>
    </row>
    <row r="49" spans="1:33" x14ac:dyDescent="0.25">
      <c r="A49" s="7" t="s">
        <v>356</v>
      </c>
      <c r="B49" s="2" t="s">
        <v>749</v>
      </c>
      <c r="C49" s="4" t="s">
        <v>748</v>
      </c>
      <c r="D49">
        <f>_xlfn.IFNA(VLOOKUP(A49,'Prior Year data'!$A$1:$T$318,12,FALSE),0)</f>
        <v>279056.09020578145</v>
      </c>
      <c r="E49">
        <f>VLOOKUP(A49,'Basic HH'!$B$1:$Y$319,23,FALSE)</f>
        <v>103113.01144558682</v>
      </c>
      <c r="F49">
        <f>VLOOKUP(A49,'Conc. HH'!$B$1:$Y$319,23,FALSE)</f>
        <v>27168.579126682715</v>
      </c>
      <c r="G49">
        <f>VLOOKUP(A49,'Targeted HH'!$B$1:$Y$319,23,FALSE)</f>
        <v>57051.519527593788</v>
      </c>
      <c r="H49">
        <f>VLOOKUP(A49,'EFIG HH'!$B$1:$Y$319,23,FALSE)</f>
        <v>78418.343183290577</v>
      </c>
      <c r="I49">
        <f t="shared" si="0"/>
        <v>265751.45328315388</v>
      </c>
      <c r="J49">
        <f t="shared" si="1"/>
        <v>0</v>
      </c>
      <c r="K49" s="43">
        <f t="shared" si="2"/>
        <v>265751.45328315388</v>
      </c>
      <c r="L49">
        <f t="shared" si="3"/>
        <v>0</v>
      </c>
      <c r="M49">
        <f t="shared" si="4"/>
        <v>0</v>
      </c>
      <c r="N49" s="43">
        <f t="shared" si="5"/>
        <v>265751.45328315388</v>
      </c>
      <c r="O49">
        <f t="shared" si="6"/>
        <v>0</v>
      </c>
      <c r="P49">
        <f t="shared" si="7"/>
        <v>0</v>
      </c>
      <c r="Q49" s="43">
        <f t="shared" si="8"/>
        <v>265751.45328315388</v>
      </c>
      <c r="R49">
        <f t="shared" si="9"/>
        <v>0</v>
      </c>
      <c r="S49">
        <f t="shared" si="10"/>
        <v>0</v>
      </c>
      <c r="T49" s="43">
        <f t="shared" si="11"/>
        <v>265751.45328315388</v>
      </c>
      <c r="U49">
        <f t="shared" si="12"/>
        <v>0</v>
      </c>
      <c r="V49">
        <f t="shared" si="13"/>
        <v>0</v>
      </c>
      <c r="W49" s="43">
        <f t="shared" si="14"/>
        <v>265751.45328315388</v>
      </c>
      <c r="X49" s="43">
        <f t="shared" si="15"/>
        <v>0</v>
      </c>
      <c r="Y49" s="27">
        <f t="shared" si="16"/>
        <v>2034.5003999669486</v>
      </c>
      <c r="Z49" s="27">
        <f t="shared" si="17"/>
        <v>263716.95288318692</v>
      </c>
      <c r="AA49">
        <f t="shared" si="18"/>
        <v>0</v>
      </c>
      <c r="AB49" s="27">
        <f t="shared" si="19"/>
        <v>263716.95288318692</v>
      </c>
      <c r="AD49" s="27">
        <f t="shared" si="20"/>
        <v>0</v>
      </c>
      <c r="AE49" s="27">
        <f t="shared" si="21"/>
        <v>263716.95288318692</v>
      </c>
      <c r="AF49" s="50"/>
      <c r="AG49" t="str">
        <f t="shared" si="22"/>
        <v>5301660</v>
      </c>
    </row>
    <row r="50" spans="1:33" x14ac:dyDescent="0.25">
      <c r="A50" s="7" t="s">
        <v>111</v>
      </c>
      <c r="B50" s="2" t="s">
        <v>751</v>
      </c>
      <c r="C50" s="4" t="s">
        <v>750</v>
      </c>
      <c r="D50">
        <f>_xlfn.IFNA(VLOOKUP(A50,'Prior Year data'!$A$1:$T$318,12,FALSE),0)</f>
        <v>90754.668624332888</v>
      </c>
      <c r="E50">
        <f>VLOOKUP(A50,'Basic HH'!$B$1:$Y$319,23,FALSE)</f>
        <v>43146.579257373196</v>
      </c>
      <c r="F50">
        <f>VLOOKUP(A50,'Conc. HH'!$B$1:$Y$319,23,FALSE)</f>
        <v>0</v>
      </c>
      <c r="G50">
        <f>VLOOKUP(A50,'Targeted HH'!$B$1:$Y$319,23,FALSE)</f>
        <v>20639.736310718396</v>
      </c>
      <c r="H50">
        <f>VLOOKUP(A50,'EFIG HH'!$B$1:$Y$319,23,FALSE)</f>
        <v>28369.690038557383</v>
      </c>
      <c r="I50">
        <f t="shared" si="0"/>
        <v>92156.005606648978</v>
      </c>
      <c r="J50">
        <f t="shared" si="1"/>
        <v>92156.005606648978</v>
      </c>
      <c r="K50" s="43">
        <f t="shared" si="2"/>
        <v>83750.559700890153</v>
      </c>
      <c r="L50">
        <f t="shared" si="3"/>
        <v>7004.1089234427345</v>
      </c>
      <c r="M50">
        <f t="shared" si="4"/>
        <v>0</v>
      </c>
      <c r="N50" s="43">
        <f t="shared" si="5"/>
        <v>90754.668624332888</v>
      </c>
      <c r="O50">
        <f t="shared" si="6"/>
        <v>0</v>
      </c>
      <c r="P50">
        <f t="shared" si="7"/>
        <v>0</v>
      </c>
      <c r="Q50" s="43">
        <f t="shared" si="8"/>
        <v>90754.668624332888</v>
      </c>
      <c r="R50">
        <f t="shared" si="9"/>
        <v>0</v>
      </c>
      <c r="S50">
        <f t="shared" si="10"/>
        <v>0</v>
      </c>
      <c r="T50" s="43">
        <f t="shared" si="11"/>
        <v>90754.668624332888</v>
      </c>
      <c r="U50">
        <f t="shared" si="12"/>
        <v>0</v>
      </c>
      <c r="V50">
        <f t="shared" si="13"/>
        <v>0</v>
      </c>
      <c r="W50" s="43">
        <f t="shared" si="14"/>
        <v>90754.668624332888</v>
      </c>
      <c r="X50" s="43">
        <f t="shared" si="15"/>
        <v>1401.3369823160901</v>
      </c>
      <c r="Y50" s="27">
        <f t="shared" si="16"/>
        <v>694.78607674194643</v>
      </c>
      <c r="Z50" s="27">
        <f t="shared" si="17"/>
        <v>90059.88254759094</v>
      </c>
      <c r="AA50">
        <f t="shared" si="18"/>
        <v>0</v>
      </c>
      <c r="AB50" s="27">
        <f t="shared" si="19"/>
        <v>90059.88254759094</v>
      </c>
      <c r="AD50" s="27">
        <f t="shared" si="20"/>
        <v>0</v>
      </c>
      <c r="AE50" s="27">
        <f t="shared" si="21"/>
        <v>90059.88254759094</v>
      </c>
      <c r="AF50" s="50"/>
      <c r="AG50" t="str">
        <f t="shared" si="22"/>
        <v>5301680</v>
      </c>
    </row>
    <row r="51" spans="1:33" x14ac:dyDescent="0.25">
      <c r="A51" s="7" t="s">
        <v>113</v>
      </c>
      <c r="B51" s="2" t="s">
        <v>753</v>
      </c>
      <c r="C51" s="4" t="s">
        <v>752</v>
      </c>
      <c r="D51">
        <f>_xlfn.IFNA(VLOOKUP(A51,'Prior Year data'!$A$1:$T$318,12,FALSE),0)</f>
        <v>76476.657011797884</v>
      </c>
      <c r="E51">
        <f>VLOOKUP(A51,'Basic HH'!$B$1:$Y$319,23,FALSE)</f>
        <v>35257.763097266521</v>
      </c>
      <c r="F51">
        <f>VLOOKUP(A51,'Conc. HH'!$B$1:$Y$319,23,FALSE)</f>
        <v>9284.2994646663465</v>
      </c>
      <c r="G51">
        <f>VLOOKUP(A51,'Targeted HH'!$B$1:$Y$319,23,FALSE)</f>
        <v>16888.074029049742</v>
      </c>
      <c r="H51">
        <f>VLOOKUP(A51,'EFIG HH'!$B$1:$Y$319,23,FALSE)</f>
        <v>23212.473124257784</v>
      </c>
      <c r="I51">
        <f t="shared" si="0"/>
        <v>84642.609715240396</v>
      </c>
      <c r="J51">
        <f t="shared" si="1"/>
        <v>84642.609715240396</v>
      </c>
      <c r="K51" s="43">
        <f t="shared" si="2"/>
        <v>76922.452221431027</v>
      </c>
      <c r="L51">
        <f t="shared" si="3"/>
        <v>0</v>
      </c>
      <c r="M51">
        <f t="shared" si="4"/>
        <v>445.7952096331428</v>
      </c>
      <c r="N51" s="43">
        <f t="shared" si="5"/>
        <v>76864.182837215791</v>
      </c>
      <c r="O51">
        <f t="shared" si="6"/>
        <v>0</v>
      </c>
      <c r="P51">
        <f t="shared" si="7"/>
        <v>387.52582541790616</v>
      </c>
      <c r="Q51" s="43">
        <f t="shared" si="8"/>
        <v>76864.182837215791</v>
      </c>
      <c r="R51">
        <f t="shared" si="9"/>
        <v>0</v>
      </c>
      <c r="S51">
        <f t="shared" si="10"/>
        <v>387.52582541790616</v>
      </c>
      <c r="T51" s="43">
        <f t="shared" si="11"/>
        <v>76864.182837215791</v>
      </c>
      <c r="U51">
        <f t="shared" si="12"/>
        <v>0</v>
      </c>
      <c r="V51">
        <f t="shared" si="13"/>
        <v>387.52582541790616</v>
      </c>
      <c r="W51" s="43">
        <f t="shared" si="14"/>
        <v>76864.182837215791</v>
      </c>
      <c r="X51" s="43">
        <f t="shared" si="15"/>
        <v>7778.4268780246057</v>
      </c>
      <c r="Y51" s="27">
        <f t="shared" si="16"/>
        <v>588.44536424351224</v>
      </c>
      <c r="Z51" s="27">
        <f t="shared" si="17"/>
        <v>76275.73747297228</v>
      </c>
      <c r="AA51">
        <f t="shared" si="18"/>
        <v>0</v>
      </c>
      <c r="AB51" s="27">
        <f t="shared" si="19"/>
        <v>76275.73747297228</v>
      </c>
      <c r="AD51" s="27">
        <f t="shared" si="20"/>
        <v>0</v>
      </c>
      <c r="AE51" s="27">
        <f t="shared" si="21"/>
        <v>76275.73747297228</v>
      </c>
      <c r="AF51" s="50"/>
      <c r="AG51" t="str">
        <f t="shared" si="22"/>
        <v>5301710</v>
      </c>
    </row>
    <row r="52" spans="1:33" x14ac:dyDescent="0.25">
      <c r="A52" s="7" t="s">
        <v>358</v>
      </c>
      <c r="B52" s="2" t="s">
        <v>755</v>
      </c>
      <c r="C52" s="4" t="s">
        <v>754</v>
      </c>
      <c r="D52">
        <f>_xlfn.IFNA(VLOOKUP(A52,'Prior Year data'!$A$1:$T$318,12,FALSE),0)</f>
        <v>75191.289762038126</v>
      </c>
      <c r="E52">
        <f>VLOOKUP(A52,'Basic HH'!$B$1:$Y$319,23,FALSE)</f>
        <v>42558.442717907717</v>
      </c>
      <c r="F52">
        <f>VLOOKUP(A52,'Conc. HH'!$B$1:$Y$319,23,FALSE)</f>
        <v>11453.041068770368</v>
      </c>
      <c r="G52">
        <f>VLOOKUP(A52,'Targeted HH'!$B$1:$Y$319,23,FALSE)</f>
        <v>23792.216217091533</v>
      </c>
      <c r="H52">
        <f>VLOOKUP(A52,'EFIG HH'!$B$1:$Y$319,23,FALSE)</f>
        <v>32370.18801398178</v>
      </c>
      <c r="I52">
        <f t="shared" si="0"/>
        <v>110173.88801775141</v>
      </c>
      <c r="J52">
        <f t="shared" si="1"/>
        <v>110173.88801775141</v>
      </c>
      <c r="K52" s="43">
        <f t="shared" si="2"/>
        <v>100125.05126680693</v>
      </c>
      <c r="L52">
        <f t="shared" si="3"/>
        <v>0</v>
      </c>
      <c r="M52">
        <f t="shared" si="4"/>
        <v>24933.761504768801</v>
      </c>
      <c r="N52" s="43">
        <f t="shared" si="5"/>
        <v>96865.987693090618</v>
      </c>
      <c r="O52">
        <f t="shared" si="6"/>
        <v>0</v>
      </c>
      <c r="P52">
        <f t="shared" si="7"/>
        <v>21674.697931052491</v>
      </c>
      <c r="Q52" s="43">
        <f t="shared" si="8"/>
        <v>96865.987693090618</v>
      </c>
      <c r="R52">
        <f t="shared" si="9"/>
        <v>0</v>
      </c>
      <c r="S52">
        <f t="shared" si="10"/>
        <v>21674.697931052491</v>
      </c>
      <c r="T52" s="43">
        <f t="shared" si="11"/>
        <v>96865.987693090618</v>
      </c>
      <c r="U52">
        <f t="shared" si="12"/>
        <v>0</v>
      </c>
      <c r="V52">
        <f t="shared" si="13"/>
        <v>21674.697931052491</v>
      </c>
      <c r="W52" s="43">
        <f t="shared" si="14"/>
        <v>96865.987693090618</v>
      </c>
      <c r="X52" s="43">
        <f t="shared" si="15"/>
        <v>13307.90032466079</v>
      </c>
      <c r="Y52" s="27">
        <f t="shared" si="16"/>
        <v>741.57220316235623</v>
      </c>
      <c r="Z52" s="27">
        <f t="shared" si="17"/>
        <v>96124.415489928258</v>
      </c>
      <c r="AA52">
        <f t="shared" si="18"/>
        <v>0</v>
      </c>
      <c r="AB52" s="27">
        <f t="shared" si="19"/>
        <v>96124.415489928258</v>
      </c>
      <c r="AD52" s="27">
        <f t="shared" si="20"/>
        <v>0</v>
      </c>
      <c r="AE52" s="27">
        <f t="shared" si="21"/>
        <v>96124.415489928258</v>
      </c>
      <c r="AF52" s="50"/>
      <c r="AG52" t="str">
        <f t="shared" si="22"/>
        <v>5303440</v>
      </c>
    </row>
    <row r="53" spans="1:33" x14ac:dyDescent="0.25">
      <c r="A53" s="7" t="s">
        <v>360</v>
      </c>
      <c r="B53" s="2" t="s">
        <v>757</v>
      </c>
      <c r="C53" s="4" t="s">
        <v>756</v>
      </c>
      <c r="D53">
        <f>_xlfn.IFNA(VLOOKUP(A53,'Prior Year data'!$A$1:$T$318,12,FALSE),0)</f>
        <v>180739.77460861896</v>
      </c>
      <c r="E53">
        <f>VLOOKUP(A53,'Basic HH'!$B$1:$Y$319,23,FALSE)</f>
        <v>95539.361203466324</v>
      </c>
      <c r="F53">
        <f>VLOOKUP(A53,'Conc. HH'!$B$1:$Y$319,23,FALSE)</f>
        <v>0</v>
      </c>
      <c r="G53">
        <f>VLOOKUP(A53,'Targeted HH'!$B$1:$Y$319,23,FALSE)</f>
        <v>46099.849639959502</v>
      </c>
      <c r="H53">
        <f>VLOOKUP(A53,'EFIG HH'!$B$1:$Y$319,23,FALSE)</f>
        <v>62720.546360443266</v>
      </c>
      <c r="I53">
        <f t="shared" si="0"/>
        <v>204359.75720386909</v>
      </c>
      <c r="J53">
        <f t="shared" si="1"/>
        <v>204359.75720386909</v>
      </c>
      <c r="K53" s="43">
        <f t="shared" si="2"/>
        <v>185720.33296685337</v>
      </c>
      <c r="L53">
        <f t="shared" si="3"/>
        <v>0</v>
      </c>
      <c r="M53">
        <f t="shared" si="4"/>
        <v>4980.5583582344116</v>
      </c>
      <c r="N53" s="43">
        <f t="shared" si="5"/>
        <v>185069.3298553098</v>
      </c>
      <c r="O53">
        <f t="shared" si="6"/>
        <v>0</v>
      </c>
      <c r="P53">
        <f t="shared" si="7"/>
        <v>4329.5552466908412</v>
      </c>
      <c r="Q53" s="43">
        <f t="shared" si="8"/>
        <v>185069.3298553098</v>
      </c>
      <c r="R53">
        <f t="shared" si="9"/>
        <v>0</v>
      </c>
      <c r="S53">
        <f t="shared" si="10"/>
        <v>4329.5552466908412</v>
      </c>
      <c r="T53" s="43">
        <f t="shared" si="11"/>
        <v>185069.3298553098</v>
      </c>
      <c r="U53">
        <f t="shared" si="12"/>
        <v>0</v>
      </c>
      <c r="V53">
        <f t="shared" si="13"/>
        <v>4329.5552466908412</v>
      </c>
      <c r="W53" s="43">
        <f t="shared" si="14"/>
        <v>185069.3298553098</v>
      </c>
      <c r="X53" s="43">
        <f t="shared" si="15"/>
        <v>19290.427348559286</v>
      </c>
      <c r="Y53" s="27">
        <f t="shared" si="16"/>
        <v>1416.8262147227588</v>
      </c>
      <c r="Z53" s="27">
        <f t="shared" si="17"/>
        <v>183652.50364058703</v>
      </c>
      <c r="AA53">
        <f t="shared" si="18"/>
        <v>0</v>
      </c>
      <c r="AB53" s="27">
        <f t="shared" si="19"/>
        <v>183652.50364058703</v>
      </c>
      <c r="AD53" s="27">
        <f t="shared" si="20"/>
        <v>0</v>
      </c>
      <c r="AE53" s="27">
        <f t="shared" si="21"/>
        <v>183652.50364058703</v>
      </c>
      <c r="AF53" s="50"/>
      <c r="AG53" t="str">
        <f t="shared" si="22"/>
        <v>5301800</v>
      </c>
    </row>
    <row r="54" spans="1:33" x14ac:dyDescent="0.25">
      <c r="A54" s="7" t="s">
        <v>362</v>
      </c>
      <c r="B54" s="2" t="s">
        <v>759</v>
      </c>
      <c r="C54" s="4" t="s">
        <v>758</v>
      </c>
      <c r="D54">
        <f>_xlfn.IFNA(VLOOKUP(A54,'Prior Year data'!$A$1:$T$318,12,FALSE),0)</f>
        <v>127427.59457641035</v>
      </c>
      <c r="E54">
        <f>VLOOKUP(A54,'Basic HH'!$B$1:$Y$319,23,FALSE)</f>
        <v>52980.918485558606</v>
      </c>
      <c r="F54">
        <f>VLOOKUP(A54,'Conc. HH'!$B$1:$Y$319,23,FALSE)</f>
        <v>14257.867452959028</v>
      </c>
      <c r="G54">
        <f>VLOOKUP(A54,'Targeted HH'!$B$1:$Y$319,23,FALSE)</f>
        <v>28497.683137453583</v>
      </c>
      <c r="H54">
        <f>VLOOKUP(A54,'EFIG HH'!$B$1:$Y$319,23,FALSE)</f>
        <v>39170.579762045498</v>
      </c>
      <c r="I54">
        <f t="shared" si="0"/>
        <v>134907.04883801669</v>
      </c>
      <c r="J54">
        <f t="shared" si="1"/>
        <v>134907.04883801669</v>
      </c>
      <c r="K54" s="43">
        <f t="shared" si="2"/>
        <v>122602.32823029431</v>
      </c>
      <c r="L54">
        <f t="shared" si="3"/>
        <v>4825.2663461160409</v>
      </c>
      <c r="M54">
        <f t="shared" si="4"/>
        <v>0</v>
      </c>
      <c r="N54" s="43">
        <f t="shared" si="5"/>
        <v>127427.59457641035</v>
      </c>
      <c r="O54">
        <f t="shared" si="6"/>
        <v>0</v>
      </c>
      <c r="P54">
        <f t="shared" si="7"/>
        <v>0</v>
      </c>
      <c r="Q54" s="43">
        <f t="shared" si="8"/>
        <v>127427.59457641035</v>
      </c>
      <c r="R54">
        <f t="shared" si="9"/>
        <v>0</v>
      </c>
      <c r="S54">
        <f t="shared" si="10"/>
        <v>0</v>
      </c>
      <c r="T54" s="43">
        <f t="shared" si="11"/>
        <v>127427.59457641035</v>
      </c>
      <c r="U54">
        <f t="shared" si="12"/>
        <v>0</v>
      </c>
      <c r="V54">
        <f t="shared" si="13"/>
        <v>0</v>
      </c>
      <c r="W54" s="43">
        <f t="shared" si="14"/>
        <v>127427.59457641035</v>
      </c>
      <c r="X54" s="43">
        <f t="shared" si="15"/>
        <v>7479.4542616063409</v>
      </c>
      <c r="Y54" s="27">
        <f t="shared" si="16"/>
        <v>975.5412018624213</v>
      </c>
      <c r="Z54" s="27">
        <f t="shared" si="17"/>
        <v>126452.05337454793</v>
      </c>
      <c r="AA54">
        <f t="shared" si="18"/>
        <v>0</v>
      </c>
      <c r="AB54" s="27">
        <f t="shared" si="19"/>
        <v>126452.05337454793</v>
      </c>
      <c r="AD54" s="27">
        <f t="shared" si="20"/>
        <v>0</v>
      </c>
      <c r="AE54" s="27">
        <f t="shared" si="21"/>
        <v>126452.05337454793</v>
      </c>
      <c r="AF54" s="50"/>
      <c r="AG54" t="str">
        <f t="shared" si="22"/>
        <v>5301830</v>
      </c>
    </row>
    <row r="55" spans="1:33" x14ac:dyDescent="0.25">
      <c r="A55" s="7" t="s">
        <v>364</v>
      </c>
      <c r="B55" s="2" t="s">
        <v>761</v>
      </c>
      <c r="C55" s="8" t="s">
        <v>760</v>
      </c>
      <c r="D55">
        <f>_xlfn.IFNA(VLOOKUP(A55,'Prior Year data'!$A$1:$T$318,12,FALSE),0)</f>
        <v>32410.53286495561</v>
      </c>
      <c r="E55">
        <f>VLOOKUP(A55,'Basic HH'!$B$1:$Y$319,23,FALSE)</f>
        <v>12159.555062259347</v>
      </c>
      <c r="F55">
        <f>VLOOKUP(A55,'Conc. HH'!$B$1:$Y$319,23,FALSE)</f>
        <v>2904.7144877147721</v>
      </c>
      <c r="G55">
        <f>VLOOKUP(A55,'Targeted HH'!$B$1:$Y$319,23,FALSE)</f>
        <v>5867.253590540301</v>
      </c>
      <c r="H55">
        <f>VLOOKUP(A55,'EFIG HH'!$B$1:$Y$319,23,FALSE)</f>
        <v>7982.6149913291438</v>
      </c>
      <c r="I55">
        <f t="shared" si="0"/>
        <v>28914.138131843567</v>
      </c>
      <c r="J55">
        <f t="shared" si="1"/>
        <v>0</v>
      </c>
      <c r="K55" s="43">
        <f t="shared" si="2"/>
        <v>28914.138131843567</v>
      </c>
      <c r="L55">
        <f t="shared" si="3"/>
        <v>0</v>
      </c>
      <c r="M55">
        <f t="shared" si="4"/>
        <v>0</v>
      </c>
      <c r="N55" s="43">
        <f t="shared" si="5"/>
        <v>28914.138131843567</v>
      </c>
      <c r="O55">
        <f t="shared" si="6"/>
        <v>0</v>
      </c>
      <c r="P55">
        <f t="shared" si="7"/>
        <v>0</v>
      </c>
      <c r="Q55" s="43">
        <f t="shared" si="8"/>
        <v>28914.138131843567</v>
      </c>
      <c r="R55">
        <f t="shared" si="9"/>
        <v>0</v>
      </c>
      <c r="S55">
        <f t="shared" si="10"/>
        <v>0</v>
      </c>
      <c r="T55" s="43">
        <f t="shared" si="11"/>
        <v>28914.138131843567</v>
      </c>
      <c r="U55">
        <f t="shared" si="12"/>
        <v>0</v>
      </c>
      <c r="V55">
        <f t="shared" si="13"/>
        <v>0</v>
      </c>
      <c r="W55" s="43">
        <f t="shared" si="14"/>
        <v>28914.138131843567</v>
      </c>
      <c r="X55" s="43">
        <f t="shared" si="15"/>
        <v>0</v>
      </c>
      <c r="Y55" s="27">
        <f t="shared" si="16"/>
        <v>221.35655277586525</v>
      </c>
      <c r="Z55" s="27">
        <f t="shared" si="17"/>
        <v>28692.781579067701</v>
      </c>
      <c r="AA55">
        <f t="shared" si="18"/>
        <v>0</v>
      </c>
      <c r="AB55" s="27">
        <f t="shared" si="19"/>
        <v>28692.781579067701</v>
      </c>
      <c r="AD55" s="27">
        <f t="shared" si="20"/>
        <v>0</v>
      </c>
      <c r="AE55" s="27">
        <f t="shared" si="21"/>
        <v>28692.781579067701</v>
      </c>
      <c r="AF55" s="50"/>
      <c r="AG55" t="str">
        <f t="shared" si="22"/>
        <v>5301860</v>
      </c>
    </row>
    <row r="56" spans="1:33" x14ac:dyDescent="0.25">
      <c r="A56" s="7" t="s">
        <v>366</v>
      </c>
      <c r="B56" s="2" t="s">
        <v>763</v>
      </c>
      <c r="C56" s="4" t="s">
        <v>762</v>
      </c>
      <c r="D56">
        <f>_xlfn.IFNA(VLOOKUP(A56,'Prior Year data'!$A$1:$T$318,12,FALSE),0)</f>
        <v>125150.59027033058</v>
      </c>
      <c r="E56">
        <f>VLOOKUP(A56,'Basic HH'!$B$1:$Y$319,23,FALSE)</f>
        <v>47769.680601733162</v>
      </c>
      <c r="F56">
        <f>VLOOKUP(A56,'Conc. HH'!$B$1:$Y$319,23,FALSE)</f>
        <v>12855.454260864699</v>
      </c>
      <c r="G56">
        <f>VLOOKUP(A56,'Targeted HH'!$B$1:$Y$319,23,FALSE)</f>
        <v>39723.664186632595</v>
      </c>
      <c r="H56">
        <f>VLOOKUP(A56,'EFIG HH'!$B$1:$Y$319,23,FALSE)</f>
        <v>54045.510791964443</v>
      </c>
      <c r="I56">
        <f t="shared" si="0"/>
        <v>154394.30984119489</v>
      </c>
      <c r="J56">
        <f t="shared" si="1"/>
        <v>154394.30984119489</v>
      </c>
      <c r="K56" s="43">
        <f t="shared" si="2"/>
        <v>140312.17801501363</v>
      </c>
      <c r="L56">
        <f t="shared" si="3"/>
        <v>0</v>
      </c>
      <c r="M56">
        <f t="shared" si="4"/>
        <v>15161.587744683056</v>
      </c>
      <c r="N56" s="43">
        <f t="shared" si="5"/>
        <v>138330.42414570876</v>
      </c>
      <c r="O56">
        <f t="shared" si="6"/>
        <v>0</v>
      </c>
      <c r="P56">
        <f t="shared" si="7"/>
        <v>13179.833875378186</v>
      </c>
      <c r="Q56" s="43">
        <f t="shared" si="8"/>
        <v>138330.42414570876</v>
      </c>
      <c r="R56">
        <f t="shared" si="9"/>
        <v>0</v>
      </c>
      <c r="S56">
        <f t="shared" si="10"/>
        <v>13179.833875378186</v>
      </c>
      <c r="T56" s="43">
        <f t="shared" si="11"/>
        <v>138330.42414570876</v>
      </c>
      <c r="U56">
        <f t="shared" si="12"/>
        <v>0</v>
      </c>
      <c r="V56">
        <f t="shared" si="13"/>
        <v>13179.833875378186</v>
      </c>
      <c r="W56" s="43">
        <f t="shared" si="14"/>
        <v>138330.42414570876</v>
      </c>
      <c r="X56" s="43">
        <f t="shared" si="15"/>
        <v>16063.885695486126</v>
      </c>
      <c r="Y56" s="27">
        <f t="shared" si="16"/>
        <v>1059.0094608144232</v>
      </c>
      <c r="Z56" s="27">
        <f t="shared" si="17"/>
        <v>137271.41468489435</v>
      </c>
      <c r="AA56">
        <f t="shared" si="18"/>
        <v>0</v>
      </c>
      <c r="AB56" s="27">
        <f t="shared" si="19"/>
        <v>137271.41468489435</v>
      </c>
      <c r="AD56" s="27">
        <f t="shared" si="20"/>
        <v>0</v>
      </c>
      <c r="AE56" s="27">
        <f t="shared" si="21"/>
        <v>137271.41468489435</v>
      </c>
      <c r="AF56" s="50"/>
      <c r="AG56" t="str">
        <f t="shared" si="22"/>
        <v>5301890</v>
      </c>
    </row>
    <row r="57" spans="1:33" x14ac:dyDescent="0.25">
      <c r="A57" s="7" t="s">
        <v>368</v>
      </c>
      <c r="B57" s="2" t="s">
        <v>765</v>
      </c>
      <c r="C57" s="4" t="s">
        <v>764</v>
      </c>
      <c r="D57">
        <f>_xlfn.IFNA(VLOOKUP(A57,'Prior Year data'!$A$1:$T$318,12,FALSE),0)</f>
        <v>221473.21874216039</v>
      </c>
      <c r="E57">
        <f>VLOOKUP(A57,'Basic HH'!$B$1:$Y$319,23,FALSE)</f>
        <v>67746.092489730669</v>
      </c>
      <c r="F57">
        <f>VLOOKUP(A57,'Conc. HH'!$B$1:$Y$319,23,FALSE)</f>
        <v>18231.371497226301</v>
      </c>
      <c r="G57">
        <f>VLOOKUP(A57,'Targeted HH'!$B$1:$Y$319,23,FALSE)</f>
        <v>50892.080166789652</v>
      </c>
      <c r="H57">
        <f>VLOOKUP(A57,'EFIG HH'!$B$1:$Y$319,23,FALSE)</f>
        <v>67060.096023923572</v>
      </c>
      <c r="I57">
        <f t="shared" si="0"/>
        <v>203929.6401776702</v>
      </c>
      <c r="J57">
        <f t="shared" si="1"/>
        <v>0</v>
      </c>
      <c r="K57" s="43">
        <f t="shared" si="2"/>
        <v>203929.6401776702</v>
      </c>
      <c r="L57">
        <f t="shared" si="3"/>
        <v>0</v>
      </c>
      <c r="M57">
        <f t="shared" si="4"/>
        <v>0</v>
      </c>
      <c r="N57" s="43">
        <f t="shared" si="5"/>
        <v>203929.6401776702</v>
      </c>
      <c r="O57">
        <f t="shared" si="6"/>
        <v>0</v>
      </c>
      <c r="P57">
        <f t="shared" si="7"/>
        <v>0</v>
      </c>
      <c r="Q57" s="43">
        <f t="shared" si="8"/>
        <v>203929.6401776702</v>
      </c>
      <c r="R57">
        <f t="shared" si="9"/>
        <v>0</v>
      </c>
      <c r="S57">
        <f t="shared" si="10"/>
        <v>0</v>
      </c>
      <c r="T57" s="43">
        <f t="shared" si="11"/>
        <v>203929.6401776702</v>
      </c>
      <c r="U57">
        <f t="shared" si="12"/>
        <v>0</v>
      </c>
      <c r="V57">
        <f t="shared" si="13"/>
        <v>0</v>
      </c>
      <c r="W57" s="43">
        <f t="shared" si="14"/>
        <v>203929.6401776702</v>
      </c>
      <c r="X57" s="43">
        <f t="shared" si="15"/>
        <v>0</v>
      </c>
      <c r="Y57" s="27">
        <f t="shared" si="16"/>
        <v>1561.2141697848858</v>
      </c>
      <c r="Z57" s="27">
        <f t="shared" si="17"/>
        <v>202368.42600788531</v>
      </c>
      <c r="AA57">
        <f t="shared" si="18"/>
        <v>0</v>
      </c>
      <c r="AB57" s="27">
        <f t="shared" si="19"/>
        <v>202368.42600788531</v>
      </c>
      <c r="AD57" s="27">
        <f t="shared" si="20"/>
        <v>0</v>
      </c>
      <c r="AE57" s="27">
        <f t="shared" si="21"/>
        <v>202368.42600788531</v>
      </c>
      <c r="AF57" s="50"/>
      <c r="AG57" t="str">
        <f t="shared" si="22"/>
        <v>5301920</v>
      </c>
    </row>
    <row r="58" spans="1:33" x14ac:dyDescent="0.25">
      <c r="A58" s="7" t="s">
        <v>115</v>
      </c>
      <c r="B58" s="2" t="s">
        <v>767</v>
      </c>
      <c r="C58" s="4" t="s">
        <v>766</v>
      </c>
      <c r="D58">
        <f>_xlfn.IFNA(VLOOKUP(A58,'Prior Year data'!$A$1:$T$318,12,FALSE),0)</f>
        <v>0</v>
      </c>
      <c r="E58">
        <f>VLOOKUP(A58,'Basic HH'!$B$1:$Y$319,23,FALSE)</f>
        <v>0</v>
      </c>
      <c r="F58">
        <f>VLOOKUP(A58,'Conc. HH'!$B$1:$Y$319,23,FALSE)</f>
        <v>0</v>
      </c>
      <c r="G58">
        <f>VLOOKUP(A58,'Targeted HH'!$B$1:$Y$319,23,FALSE)</f>
        <v>0</v>
      </c>
      <c r="H58">
        <f>VLOOKUP(A58,'EFIG HH'!$B$1:$Y$319,23,FALSE)</f>
        <v>0</v>
      </c>
      <c r="I58">
        <f t="shared" si="0"/>
        <v>0</v>
      </c>
      <c r="J58">
        <f t="shared" si="1"/>
        <v>0</v>
      </c>
      <c r="K58" s="43">
        <f t="shared" si="2"/>
        <v>0</v>
      </c>
      <c r="L58">
        <f t="shared" si="3"/>
        <v>0</v>
      </c>
      <c r="M58">
        <f t="shared" si="4"/>
        <v>0</v>
      </c>
      <c r="N58" s="43">
        <f t="shared" si="5"/>
        <v>0</v>
      </c>
      <c r="O58">
        <f t="shared" si="6"/>
        <v>0</v>
      </c>
      <c r="P58">
        <f t="shared" si="7"/>
        <v>0</v>
      </c>
      <c r="Q58" s="43">
        <f t="shared" si="8"/>
        <v>0</v>
      </c>
      <c r="R58">
        <f t="shared" si="9"/>
        <v>0</v>
      </c>
      <c r="S58">
        <f t="shared" si="10"/>
        <v>0</v>
      </c>
      <c r="T58" s="43">
        <f t="shared" si="11"/>
        <v>0</v>
      </c>
      <c r="U58">
        <f t="shared" si="12"/>
        <v>0</v>
      </c>
      <c r="V58">
        <f t="shared" si="13"/>
        <v>0</v>
      </c>
      <c r="W58" s="43">
        <f t="shared" si="14"/>
        <v>0</v>
      </c>
      <c r="X58" s="43">
        <f t="shared" si="15"/>
        <v>0</v>
      </c>
      <c r="Y58" s="27">
        <f t="shared" si="16"/>
        <v>0</v>
      </c>
      <c r="Z58" s="27">
        <f t="shared" si="17"/>
        <v>0</v>
      </c>
      <c r="AA58">
        <f t="shared" si="18"/>
        <v>0</v>
      </c>
      <c r="AB58" s="27">
        <f t="shared" si="19"/>
        <v>0</v>
      </c>
      <c r="AD58" s="27">
        <f t="shared" si="20"/>
        <v>0</v>
      </c>
      <c r="AE58" s="27">
        <f t="shared" si="21"/>
        <v>0</v>
      </c>
      <c r="AF58" s="50"/>
      <c r="AG58" t="str">
        <f t="shared" si="22"/>
        <v>5301950</v>
      </c>
    </row>
    <row r="59" spans="1:33" x14ac:dyDescent="0.25">
      <c r="A59" s="7" t="s">
        <v>272</v>
      </c>
      <c r="B59" s="2" t="s">
        <v>769</v>
      </c>
      <c r="C59" s="4" t="s">
        <v>768</v>
      </c>
      <c r="D59">
        <f>_xlfn.IFNA(VLOOKUP(A59,'Prior Year data'!$A$1:$T$318,12,FALSE),0)</f>
        <v>138868.98967737291</v>
      </c>
      <c r="E59">
        <f>VLOOKUP(A59,'Basic HH'!$B$1:$Y$319,23,FALSE)</f>
        <v>48448.826999381577</v>
      </c>
      <c r="F59">
        <f>VLOOKUP(A59,'Conc. HH'!$B$1:$Y$319,23,FALSE)</f>
        <v>12689.015920017166</v>
      </c>
      <c r="G59">
        <f>VLOOKUP(A59,'Targeted HH'!$B$1:$Y$319,23,FALSE)</f>
        <v>24304.467844468891</v>
      </c>
      <c r="H59">
        <f>VLOOKUP(A59,'EFIG HH'!$B$1:$Y$319,23,FALSE)</f>
        <v>33514.248866278242</v>
      </c>
      <c r="I59">
        <f t="shared" si="0"/>
        <v>118956.55963014587</v>
      </c>
      <c r="J59">
        <f t="shared" si="1"/>
        <v>0</v>
      </c>
      <c r="K59" s="43">
        <f t="shared" si="2"/>
        <v>118956.55963014587</v>
      </c>
      <c r="L59">
        <f t="shared" si="3"/>
        <v>0</v>
      </c>
      <c r="M59">
        <f t="shared" si="4"/>
        <v>0</v>
      </c>
      <c r="N59" s="43">
        <f t="shared" si="5"/>
        <v>118956.55963014587</v>
      </c>
      <c r="O59">
        <f t="shared" si="6"/>
        <v>0</v>
      </c>
      <c r="P59">
        <f t="shared" si="7"/>
        <v>0</v>
      </c>
      <c r="Q59" s="43">
        <f t="shared" si="8"/>
        <v>118956.55963014587</v>
      </c>
      <c r="R59">
        <f t="shared" si="9"/>
        <v>0</v>
      </c>
      <c r="S59">
        <f t="shared" si="10"/>
        <v>0</v>
      </c>
      <c r="T59" s="43">
        <f t="shared" si="11"/>
        <v>118956.55963014587</v>
      </c>
      <c r="U59">
        <f t="shared" si="12"/>
        <v>0</v>
      </c>
      <c r="V59">
        <f t="shared" si="13"/>
        <v>0</v>
      </c>
      <c r="W59" s="43">
        <f t="shared" si="14"/>
        <v>118956.55963014587</v>
      </c>
      <c r="X59" s="43">
        <f t="shared" si="15"/>
        <v>0</v>
      </c>
      <c r="Y59" s="27">
        <f t="shared" si="16"/>
        <v>910.68991403918528</v>
      </c>
      <c r="Z59" s="27">
        <f t="shared" si="17"/>
        <v>118045.86971610668</v>
      </c>
      <c r="AA59">
        <f t="shared" si="18"/>
        <v>0</v>
      </c>
      <c r="AB59" s="27">
        <f t="shared" si="19"/>
        <v>118045.86971610668</v>
      </c>
      <c r="AD59" s="27">
        <f t="shared" si="20"/>
        <v>0</v>
      </c>
      <c r="AE59" s="27">
        <f t="shared" si="21"/>
        <v>118045.86971610668</v>
      </c>
      <c r="AF59" s="50"/>
      <c r="AG59" t="str">
        <f t="shared" si="22"/>
        <v>5301980</v>
      </c>
    </row>
    <row r="60" spans="1:33" x14ac:dyDescent="0.25">
      <c r="A60" s="7" t="s">
        <v>370</v>
      </c>
      <c r="B60" s="2" t="s">
        <v>771</v>
      </c>
      <c r="C60" s="4" t="s">
        <v>770</v>
      </c>
      <c r="D60">
        <f>_xlfn.IFNA(VLOOKUP(A60,'Prior Year data'!$A$1:$T$318,12,FALSE),0)</f>
        <v>163657.143438378</v>
      </c>
      <c r="E60">
        <f>VLOOKUP(A60,'Basic HH'!$B$1:$Y$319,23,FALSE)</f>
        <v>71220.251078947651</v>
      </c>
      <c r="F60">
        <f>VLOOKUP(A60,'Conc. HH'!$B$1:$Y$319,23,FALSE)</f>
        <v>13705.13634403771</v>
      </c>
      <c r="G60">
        <f>VLOOKUP(A60,'Targeted HH'!$B$1:$Y$319,23,FALSE)</f>
        <v>34365.342458878913</v>
      </c>
      <c r="H60">
        <f>VLOOKUP(A60,'EFIG HH'!$B$1:$Y$319,23,FALSE)</f>
        <v>46755.316377784984</v>
      </c>
      <c r="I60">
        <f t="shared" si="0"/>
        <v>166046.04625964927</v>
      </c>
      <c r="J60">
        <f t="shared" si="1"/>
        <v>166046.04625964927</v>
      </c>
      <c r="K60" s="43">
        <f t="shared" si="2"/>
        <v>150901.17262376426</v>
      </c>
      <c r="L60">
        <f t="shared" si="3"/>
        <v>12755.970814613742</v>
      </c>
      <c r="M60">
        <f t="shared" si="4"/>
        <v>0</v>
      </c>
      <c r="N60" s="43">
        <f t="shared" si="5"/>
        <v>163657.143438378</v>
      </c>
      <c r="O60">
        <f t="shared" si="6"/>
        <v>0</v>
      </c>
      <c r="P60">
        <f t="shared" si="7"/>
        <v>0</v>
      </c>
      <c r="Q60" s="43">
        <f t="shared" si="8"/>
        <v>163657.143438378</v>
      </c>
      <c r="R60">
        <f t="shared" si="9"/>
        <v>0</v>
      </c>
      <c r="S60">
        <f t="shared" si="10"/>
        <v>0</v>
      </c>
      <c r="T60" s="43">
        <f t="shared" si="11"/>
        <v>163657.143438378</v>
      </c>
      <c r="U60">
        <f t="shared" si="12"/>
        <v>0</v>
      </c>
      <c r="V60">
        <f t="shared" si="13"/>
        <v>0</v>
      </c>
      <c r="W60" s="43">
        <f t="shared" si="14"/>
        <v>163657.143438378</v>
      </c>
      <c r="X60" s="43">
        <f t="shared" si="15"/>
        <v>2388.9028212712728</v>
      </c>
      <c r="Y60" s="27">
        <f t="shared" si="16"/>
        <v>1252.90198668477</v>
      </c>
      <c r="Z60" s="27">
        <f t="shared" si="17"/>
        <v>162404.24145169323</v>
      </c>
      <c r="AA60">
        <f t="shared" si="18"/>
        <v>0</v>
      </c>
      <c r="AB60" s="27">
        <f t="shared" si="19"/>
        <v>162404.24145169323</v>
      </c>
      <c r="AD60" s="27">
        <f t="shared" si="20"/>
        <v>0</v>
      </c>
      <c r="AE60" s="27">
        <f t="shared" si="21"/>
        <v>162404.24145169323</v>
      </c>
      <c r="AF60" s="50"/>
      <c r="AG60" t="str">
        <f t="shared" si="22"/>
        <v>5302010</v>
      </c>
    </row>
    <row r="61" spans="1:33" x14ac:dyDescent="0.25">
      <c r="A61" s="7" t="s">
        <v>372</v>
      </c>
      <c r="B61" s="2" t="s">
        <v>773</v>
      </c>
      <c r="C61" s="4" t="s">
        <v>772</v>
      </c>
      <c r="D61">
        <f>_xlfn.IFNA(VLOOKUP(A61,'Prior Year data'!$A$1:$T$318,12,FALSE),0)</f>
        <v>177787.99107072235</v>
      </c>
      <c r="E61">
        <f>VLOOKUP(A61,'Basic HH'!$B$1:$Y$319,23,FALSE)</f>
        <v>79037.107904685836</v>
      </c>
      <c r="F61">
        <f>VLOOKUP(A61,'Conc. HH'!$B$1:$Y$319,23,FALSE)</f>
        <v>21269.933413430677</v>
      </c>
      <c r="G61">
        <f>VLOOKUP(A61,'Targeted HH'!$B$1:$Y$319,23,FALSE)</f>
        <v>41422.202669378355</v>
      </c>
      <c r="H61">
        <f>VLOOKUP(A61,'EFIG HH'!$B$1:$Y$319,23,FALSE)</f>
        <v>56356.435067945356</v>
      </c>
      <c r="I61">
        <f t="shared" si="0"/>
        <v>198085.67905544021</v>
      </c>
      <c r="J61">
        <f t="shared" si="1"/>
        <v>198085.67905544021</v>
      </c>
      <c r="K61" s="43">
        <f t="shared" si="2"/>
        <v>180018.50644910193</v>
      </c>
      <c r="L61">
        <f t="shared" si="3"/>
        <v>0</v>
      </c>
      <c r="M61">
        <f t="shared" si="4"/>
        <v>2230.5153783795831</v>
      </c>
      <c r="N61" s="43">
        <f t="shared" si="5"/>
        <v>179726.95832392632</v>
      </c>
      <c r="O61">
        <f t="shared" si="6"/>
        <v>0</v>
      </c>
      <c r="P61">
        <f t="shared" si="7"/>
        <v>1938.9672532039694</v>
      </c>
      <c r="Q61" s="43">
        <f t="shared" si="8"/>
        <v>179726.95832392632</v>
      </c>
      <c r="R61">
        <f t="shared" si="9"/>
        <v>0</v>
      </c>
      <c r="S61">
        <f t="shared" si="10"/>
        <v>1938.9672532039694</v>
      </c>
      <c r="T61" s="43">
        <f t="shared" si="11"/>
        <v>179726.95832392632</v>
      </c>
      <c r="U61">
        <f t="shared" si="12"/>
        <v>0</v>
      </c>
      <c r="V61">
        <f t="shared" si="13"/>
        <v>1938.9672532039694</v>
      </c>
      <c r="W61" s="43">
        <f t="shared" si="14"/>
        <v>179726.95832392632</v>
      </c>
      <c r="X61" s="43">
        <f t="shared" si="15"/>
        <v>18358.720731513895</v>
      </c>
      <c r="Y61" s="27">
        <f t="shared" si="16"/>
        <v>1375.9268823462357</v>
      </c>
      <c r="Z61" s="27">
        <f t="shared" si="17"/>
        <v>178351.03144158007</v>
      </c>
      <c r="AA61">
        <f t="shared" si="18"/>
        <v>0</v>
      </c>
      <c r="AB61" s="27">
        <f t="shared" si="19"/>
        <v>178351.03144158007</v>
      </c>
      <c r="AD61" s="27">
        <f t="shared" si="20"/>
        <v>0</v>
      </c>
      <c r="AE61" s="27">
        <f t="shared" si="21"/>
        <v>178351.03144158007</v>
      </c>
      <c r="AF61" s="50"/>
      <c r="AG61" t="str">
        <f t="shared" si="22"/>
        <v>5302040</v>
      </c>
    </row>
    <row r="62" spans="1:33" x14ac:dyDescent="0.25">
      <c r="A62" s="7" t="s">
        <v>374</v>
      </c>
      <c r="B62" s="2" t="s">
        <v>775</v>
      </c>
      <c r="C62" s="4" t="s">
        <v>774</v>
      </c>
      <c r="D62">
        <f>_xlfn.IFNA(VLOOKUP(A62,'Prior Year data'!$A$1:$T$318,12,FALSE),0)</f>
        <v>575610.84565204673</v>
      </c>
      <c r="E62">
        <f>VLOOKUP(A62,'Basic HH'!$B$1:$Y$319,23,FALSE)</f>
        <v>247178.7082880025</v>
      </c>
      <c r="F62">
        <f>VLOOKUP(A62,'Conc. HH'!$B$1:$Y$319,23,FALSE)</f>
        <v>0</v>
      </c>
      <c r="G62">
        <f>VLOOKUP(A62,'Targeted HH'!$B$1:$Y$319,23,FALSE)</f>
        <v>118241.20123767485</v>
      </c>
      <c r="H62">
        <f>VLOOKUP(A62,'EFIG HH'!$B$1:$Y$319,23,FALSE)</f>
        <v>162524.66496665069</v>
      </c>
      <c r="I62">
        <f t="shared" si="0"/>
        <v>527944.57449232799</v>
      </c>
      <c r="J62">
        <f t="shared" si="1"/>
        <v>0</v>
      </c>
      <c r="K62" s="43">
        <f t="shared" si="2"/>
        <v>527944.57449232799</v>
      </c>
      <c r="L62">
        <f t="shared" si="3"/>
        <v>0</v>
      </c>
      <c r="M62">
        <f t="shared" si="4"/>
        <v>0</v>
      </c>
      <c r="N62" s="43">
        <f t="shared" si="5"/>
        <v>527944.57449232799</v>
      </c>
      <c r="O62">
        <f t="shared" si="6"/>
        <v>0</v>
      </c>
      <c r="P62">
        <f t="shared" si="7"/>
        <v>0</v>
      </c>
      <c r="Q62" s="43">
        <f t="shared" si="8"/>
        <v>527944.57449232799</v>
      </c>
      <c r="R62">
        <f t="shared" si="9"/>
        <v>0</v>
      </c>
      <c r="S62">
        <f t="shared" si="10"/>
        <v>0</v>
      </c>
      <c r="T62" s="43">
        <f t="shared" si="11"/>
        <v>527944.57449232799</v>
      </c>
      <c r="U62">
        <f t="shared" si="12"/>
        <v>0</v>
      </c>
      <c r="V62">
        <f t="shared" si="13"/>
        <v>0</v>
      </c>
      <c r="W62" s="43">
        <f t="shared" si="14"/>
        <v>527944.57449232799</v>
      </c>
      <c r="X62" s="43">
        <f t="shared" si="15"/>
        <v>0</v>
      </c>
      <c r="Y62" s="27">
        <f t="shared" si="16"/>
        <v>4041.7594511537141</v>
      </c>
      <c r="Z62" s="27">
        <f t="shared" si="17"/>
        <v>523902.8150411743</v>
      </c>
      <c r="AA62">
        <f t="shared" si="18"/>
        <v>0</v>
      </c>
      <c r="AB62" s="27">
        <f t="shared" si="19"/>
        <v>523902.8150411743</v>
      </c>
      <c r="AD62" s="27">
        <f t="shared" si="20"/>
        <v>0</v>
      </c>
      <c r="AE62" s="27">
        <f t="shared" si="21"/>
        <v>523902.8150411743</v>
      </c>
      <c r="AF62" s="50"/>
      <c r="AG62" t="str">
        <f t="shared" si="22"/>
        <v>5302070</v>
      </c>
    </row>
    <row r="63" spans="1:33" x14ac:dyDescent="0.25">
      <c r="A63" s="7" t="s">
        <v>274</v>
      </c>
      <c r="B63" s="2" t="s">
        <v>777</v>
      </c>
      <c r="C63" s="4" t="s">
        <v>776</v>
      </c>
      <c r="D63">
        <f>_xlfn.IFNA(VLOOKUP(A63,'Prior Year data'!$A$1:$T$318,12,FALSE),0)</f>
        <v>73653.651917467912</v>
      </c>
      <c r="E63">
        <f>VLOOKUP(A63,'Basic HH'!$B$1:$Y$319,23,FALSE)</f>
        <v>88591.044025032432</v>
      </c>
      <c r="F63">
        <f>VLOOKUP(A63,'Conc. HH'!$B$1:$Y$319,23,FALSE)</f>
        <v>0</v>
      </c>
      <c r="G63">
        <f>VLOOKUP(A63,'Targeted HH'!$B$1:$Y$319,23,FALSE)</f>
        <v>0</v>
      </c>
      <c r="H63">
        <f>VLOOKUP(A63,'EFIG HH'!$B$1:$Y$319,23,FALSE)</f>
        <v>0</v>
      </c>
      <c r="I63">
        <f t="shared" si="0"/>
        <v>88591.044025032432</v>
      </c>
      <c r="J63">
        <f t="shared" si="1"/>
        <v>88591.044025032432</v>
      </c>
      <c r="K63" s="43">
        <f t="shared" si="2"/>
        <v>80510.75426653857</v>
      </c>
      <c r="L63">
        <f t="shared" si="3"/>
        <v>0</v>
      </c>
      <c r="M63">
        <f t="shared" si="4"/>
        <v>6857.1023490706575</v>
      </c>
      <c r="N63" s="43">
        <f t="shared" si="5"/>
        <v>79614.470226810881</v>
      </c>
      <c r="O63">
        <f t="shared" si="6"/>
        <v>0</v>
      </c>
      <c r="P63">
        <f t="shared" si="7"/>
        <v>5960.8183093429689</v>
      </c>
      <c r="Q63" s="43">
        <f t="shared" si="8"/>
        <v>79614.470226810881</v>
      </c>
      <c r="R63">
        <f t="shared" si="9"/>
        <v>0</v>
      </c>
      <c r="S63">
        <f t="shared" si="10"/>
        <v>5960.8183093429689</v>
      </c>
      <c r="T63" s="43">
        <f t="shared" si="11"/>
        <v>79614.470226810881</v>
      </c>
      <c r="U63">
        <f t="shared" si="12"/>
        <v>0</v>
      </c>
      <c r="V63">
        <f t="shared" si="13"/>
        <v>5960.8183093429689</v>
      </c>
      <c r="W63" s="43">
        <f t="shared" si="14"/>
        <v>79614.470226810881</v>
      </c>
      <c r="X63" s="43">
        <f t="shared" si="15"/>
        <v>8976.5737982215505</v>
      </c>
      <c r="Y63" s="27">
        <f t="shared" si="16"/>
        <v>609.50060486412849</v>
      </c>
      <c r="Z63" s="27">
        <f t="shared" si="17"/>
        <v>79004.969621946759</v>
      </c>
      <c r="AA63">
        <f t="shared" si="18"/>
        <v>0</v>
      </c>
      <c r="AB63" s="27">
        <f t="shared" si="19"/>
        <v>79004.969621946759</v>
      </c>
      <c r="AD63" s="27">
        <f t="shared" si="20"/>
        <v>0</v>
      </c>
      <c r="AE63" s="27">
        <f t="shared" si="21"/>
        <v>79004.969621946759</v>
      </c>
      <c r="AF63" s="50"/>
      <c r="AG63" t="str">
        <f t="shared" si="22"/>
        <v>5302130</v>
      </c>
    </row>
    <row r="64" spans="1:33" x14ac:dyDescent="0.25">
      <c r="A64" s="7" t="s">
        <v>376</v>
      </c>
      <c r="B64" s="2" t="s">
        <v>779</v>
      </c>
      <c r="C64" s="4" t="s">
        <v>778</v>
      </c>
      <c r="D64">
        <f>_xlfn.IFNA(VLOOKUP(A64,'Prior Year data'!$A$1:$T$318,12,FALSE),0)</f>
        <v>1441.9703207156401</v>
      </c>
      <c r="E64">
        <f>VLOOKUP(A64,'Basic HH'!$B$1:$Y$319,23,FALSE)</f>
        <v>0</v>
      </c>
      <c r="F64">
        <f>VLOOKUP(A64,'Conc. HH'!$B$1:$Y$319,23,FALSE)</f>
        <v>1235.2061380990931</v>
      </c>
      <c r="G64">
        <f>VLOOKUP(A64,'Targeted HH'!$B$1:$Y$319,23,FALSE)</f>
        <v>0</v>
      </c>
      <c r="H64">
        <f>VLOOKUP(A64,'EFIG HH'!$B$1:$Y$319,23,FALSE)</f>
        <v>0</v>
      </c>
      <c r="I64">
        <f t="shared" si="0"/>
        <v>1235.2061380990931</v>
      </c>
      <c r="J64">
        <f t="shared" si="1"/>
        <v>0</v>
      </c>
      <c r="K64" s="43">
        <f t="shared" si="2"/>
        <v>1235.2061380990931</v>
      </c>
      <c r="L64">
        <f t="shared" si="3"/>
        <v>0</v>
      </c>
      <c r="M64">
        <f t="shared" si="4"/>
        <v>0</v>
      </c>
      <c r="N64" s="43">
        <f t="shared" si="5"/>
        <v>1235.2061380990931</v>
      </c>
      <c r="O64">
        <f t="shared" si="6"/>
        <v>0</v>
      </c>
      <c r="P64">
        <f t="shared" si="7"/>
        <v>0</v>
      </c>
      <c r="Q64" s="43">
        <f t="shared" si="8"/>
        <v>1235.2061380990931</v>
      </c>
      <c r="R64">
        <f t="shared" si="9"/>
        <v>0</v>
      </c>
      <c r="S64">
        <f t="shared" si="10"/>
        <v>0</v>
      </c>
      <c r="T64" s="43">
        <f t="shared" si="11"/>
        <v>1235.2061380990931</v>
      </c>
      <c r="U64">
        <f t="shared" si="12"/>
        <v>0</v>
      </c>
      <c r="V64">
        <f t="shared" si="13"/>
        <v>0</v>
      </c>
      <c r="W64" s="43">
        <f t="shared" si="14"/>
        <v>1235.2061380990931</v>
      </c>
      <c r="X64" s="43">
        <f t="shared" si="15"/>
        <v>0</v>
      </c>
      <c r="Y64" s="27">
        <f t="shared" si="16"/>
        <v>9.4563072034328428</v>
      </c>
      <c r="Z64" s="27">
        <f t="shared" si="17"/>
        <v>1225.7498308956604</v>
      </c>
      <c r="AA64">
        <f t="shared" si="18"/>
        <v>0</v>
      </c>
      <c r="AB64" s="27">
        <f t="shared" si="19"/>
        <v>1225.7498308956604</v>
      </c>
      <c r="AD64" s="27">
        <f t="shared" si="20"/>
        <v>0</v>
      </c>
      <c r="AE64" s="27">
        <f t="shared" si="21"/>
        <v>1225.7498308956604</v>
      </c>
      <c r="AF64" s="50"/>
      <c r="AG64" t="str">
        <f t="shared" si="22"/>
        <v>5302160</v>
      </c>
    </row>
    <row r="65" spans="1:33" x14ac:dyDescent="0.25">
      <c r="A65" s="7" t="s">
        <v>378</v>
      </c>
      <c r="B65" s="2" t="s">
        <v>781</v>
      </c>
      <c r="C65" s="4" t="s">
        <v>780</v>
      </c>
      <c r="D65">
        <f>_xlfn.IFNA(VLOOKUP(A65,'Prior Year data'!$A$1:$T$318,12,FALSE),0)</f>
        <v>1486134.7870659847</v>
      </c>
      <c r="E65">
        <f>VLOOKUP(A65,'Basic HH'!$B$1:$Y$319,23,FALSE)</f>
        <v>592351.34234698792</v>
      </c>
      <c r="F65">
        <f>VLOOKUP(A65,'Conc. HH'!$B$1:$Y$319,23,FALSE)</f>
        <v>156074.81625966655</v>
      </c>
      <c r="G65">
        <f>VLOOKUP(A65,'Targeted HH'!$B$1:$Y$319,23,FALSE)</f>
        <v>304614.11956312542</v>
      </c>
      <c r="H65">
        <f>VLOOKUP(A65,'EFIG HH'!$B$1:$Y$319,23,FALSE)</f>
        <v>418697.60462424892</v>
      </c>
      <c r="I65">
        <f t="shared" si="0"/>
        <v>1471737.8827940291</v>
      </c>
      <c r="J65">
        <f t="shared" si="1"/>
        <v>0</v>
      </c>
      <c r="K65" s="43">
        <f t="shared" si="2"/>
        <v>1471737.8827940291</v>
      </c>
      <c r="L65">
        <f t="shared" si="3"/>
        <v>0</v>
      </c>
      <c r="M65">
        <f t="shared" si="4"/>
        <v>0</v>
      </c>
      <c r="N65" s="43">
        <f t="shared" si="5"/>
        <v>1471737.8827940291</v>
      </c>
      <c r="O65">
        <f t="shared" si="6"/>
        <v>0</v>
      </c>
      <c r="P65">
        <f t="shared" si="7"/>
        <v>0</v>
      </c>
      <c r="Q65" s="43">
        <f t="shared" si="8"/>
        <v>1471737.8827940291</v>
      </c>
      <c r="R65">
        <f t="shared" si="9"/>
        <v>0</v>
      </c>
      <c r="S65">
        <f t="shared" si="10"/>
        <v>0</v>
      </c>
      <c r="T65" s="43">
        <f t="shared" si="11"/>
        <v>1471737.8827940291</v>
      </c>
      <c r="U65">
        <f t="shared" si="12"/>
        <v>0</v>
      </c>
      <c r="V65">
        <f t="shared" si="13"/>
        <v>0</v>
      </c>
      <c r="W65" s="43">
        <f t="shared" si="14"/>
        <v>1471737.8827940291</v>
      </c>
      <c r="X65" s="43">
        <f t="shared" si="15"/>
        <v>0</v>
      </c>
      <c r="Y65" s="27">
        <f t="shared" si="16"/>
        <v>11267.111709829996</v>
      </c>
      <c r="Z65" s="27">
        <f t="shared" si="17"/>
        <v>1460470.7710841992</v>
      </c>
      <c r="AA65">
        <f t="shared" si="18"/>
        <v>0</v>
      </c>
      <c r="AB65" s="27">
        <f t="shared" si="19"/>
        <v>1460470.7710841992</v>
      </c>
      <c r="AD65" s="27">
        <f t="shared" si="20"/>
        <v>0</v>
      </c>
      <c r="AE65" s="27">
        <f t="shared" si="21"/>
        <v>1460470.7710841992</v>
      </c>
      <c r="AF65" s="50"/>
      <c r="AG65" t="str">
        <f t="shared" si="22"/>
        <v>5302280</v>
      </c>
    </row>
    <row r="66" spans="1:33" x14ac:dyDescent="0.25">
      <c r="A66" s="7" t="s">
        <v>380</v>
      </c>
      <c r="B66" s="2" t="s">
        <v>783</v>
      </c>
      <c r="C66" s="4" t="s">
        <v>782</v>
      </c>
      <c r="D66">
        <f>_xlfn.IFNA(VLOOKUP(A66,'Prior Year data'!$A$1:$T$318,12,FALSE),0)</f>
        <v>734867.54863849562</v>
      </c>
      <c r="E66">
        <f>VLOOKUP(A66,'Basic HH'!$B$1:$Y$319,23,FALSE)</f>
        <v>425584.42717907712</v>
      </c>
      <c r="F66">
        <f>VLOOKUP(A66,'Conc. HH'!$B$1:$Y$319,23,FALSE)</f>
        <v>0</v>
      </c>
      <c r="G66">
        <f>VLOOKUP(A66,'Targeted HH'!$B$1:$Y$319,23,FALSE)</f>
        <v>205353.87566891059</v>
      </c>
      <c r="H66">
        <f>VLOOKUP(A66,'EFIG HH'!$B$1:$Y$319,23,FALSE)</f>
        <v>279391.52469652001</v>
      </c>
      <c r="I66">
        <f t="shared" si="0"/>
        <v>910329.8275445078</v>
      </c>
      <c r="J66">
        <f t="shared" si="1"/>
        <v>910329.8275445078</v>
      </c>
      <c r="K66" s="43">
        <f t="shared" si="2"/>
        <v>827299.66503416514</v>
      </c>
      <c r="L66">
        <f t="shared" si="3"/>
        <v>0</v>
      </c>
      <c r="M66">
        <f t="shared" si="4"/>
        <v>92432.116395669524</v>
      </c>
      <c r="N66" s="43">
        <f t="shared" si="5"/>
        <v>815217.96835438348</v>
      </c>
      <c r="O66">
        <f t="shared" si="6"/>
        <v>0</v>
      </c>
      <c r="P66">
        <f t="shared" si="7"/>
        <v>80350.419715887867</v>
      </c>
      <c r="Q66" s="43">
        <f t="shared" si="8"/>
        <v>815217.96835438348</v>
      </c>
      <c r="R66">
        <f t="shared" si="9"/>
        <v>0</v>
      </c>
      <c r="S66">
        <f t="shared" si="10"/>
        <v>80350.419715887867</v>
      </c>
      <c r="T66" s="43">
        <f t="shared" si="11"/>
        <v>815217.96835438348</v>
      </c>
      <c r="U66">
        <f t="shared" si="12"/>
        <v>0</v>
      </c>
      <c r="V66">
        <f t="shared" si="13"/>
        <v>80350.419715887867</v>
      </c>
      <c r="W66" s="43">
        <f t="shared" si="14"/>
        <v>815217.96835438348</v>
      </c>
      <c r="X66" s="43">
        <f t="shared" si="15"/>
        <v>95111.85919012432</v>
      </c>
      <c r="Y66" s="27">
        <f t="shared" si="16"/>
        <v>6241.0243187271162</v>
      </c>
      <c r="Z66" s="27">
        <f t="shared" si="17"/>
        <v>808976.9440356564</v>
      </c>
      <c r="AA66">
        <f t="shared" si="18"/>
        <v>0</v>
      </c>
      <c r="AB66" s="27">
        <f t="shared" si="19"/>
        <v>808976.9440356564</v>
      </c>
      <c r="AD66" s="27">
        <f t="shared" si="20"/>
        <v>0</v>
      </c>
      <c r="AE66" s="27">
        <f t="shared" si="21"/>
        <v>808976.9440356564</v>
      </c>
      <c r="AF66" s="50"/>
      <c r="AG66" t="str">
        <f t="shared" si="22"/>
        <v>5305370</v>
      </c>
    </row>
    <row r="67" spans="1:33" x14ac:dyDescent="0.25">
      <c r="A67" s="7" t="s">
        <v>382</v>
      </c>
      <c r="B67" s="2" t="s">
        <v>785</v>
      </c>
      <c r="C67" s="4" t="s">
        <v>784</v>
      </c>
      <c r="D67">
        <f>_xlfn.IFNA(VLOOKUP(A67,'Prior Year data'!$A$1:$T$318,12,FALSE),0)</f>
        <v>1161210.6624396583</v>
      </c>
      <c r="E67">
        <f>VLOOKUP(A67,'Basic HH'!$B$1:$Y$319,23,FALSE)</f>
        <v>784291.30151572835</v>
      </c>
      <c r="F67">
        <f>VLOOKUP(A67,'Conc. HH'!$B$1:$Y$319,23,FALSE)</f>
        <v>0</v>
      </c>
      <c r="G67">
        <f>VLOOKUP(A67,'Targeted HH'!$B$1:$Y$319,23,FALSE)</f>
        <v>422861.34806108318</v>
      </c>
      <c r="H67">
        <f>VLOOKUP(A67,'EFIG HH'!$B$1:$Y$319,23,FALSE)</f>
        <v>575318.46616079332</v>
      </c>
      <c r="I67">
        <f t="shared" si="0"/>
        <v>1782471.1157376049</v>
      </c>
      <c r="J67">
        <f t="shared" si="1"/>
        <v>1782471.1157376049</v>
      </c>
      <c r="K67" s="43">
        <f t="shared" si="2"/>
        <v>1619893.9245574672</v>
      </c>
      <c r="L67">
        <f t="shared" si="3"/>
        <v>0</v>
      </c>
      <c r="M67">
        <f t="shared" si="4"/>
        <v>458683.26211780892</v>
      </c>
      <c r="N67" s="43">
        <f t="shared" si="5"/>
        <v>1559939.9576778363</v>
      </c>
      <c r="O67">
        <f t="shared" si="6"/>
        <v>0</v>
      </c>
      <c r="P67">
        <f t="shared" si="7"/>
        <v>398729.29523817799</v>
      </c>
      <c r="Q67" s="43">
        <f t="shared" si="8"/>
        <v>1559939.9576778363</v>
      </c>
      <c r="R67">
        <f t="shared" si="9"/>
        <v>0</v>
      </c>
      <c r="S67">
        <f t="shared" si="10"/>
        <v>398729.29523817799</v>
      </c>
      <c r="T67" s="43">
        <f t="shared" si="11"/>
        <v>1559939.9576778363</v>
      </c>
      <c r="U67">
        <f t="shared" si="12"/>
        <v>0</v>
      </c>
      <c r="V67">
        <f t="shared" si="13"/>
        <v>398729.29523817799</v>
      </c>
      <c r="W67" s="43">
        <f t="shared" si="14"/>
        <v>1559939.9576778363</v>
      </c>
      <c r="X67" s="43">
        <f t="shared" si="15"/>
        <v>222531.15805976861</v>
      </c>
      <c r="Y67" s="27">
        <f t="shared" si="16"/>
        <v>11942.356019549057</v>
      </c>
      <c r="Z67" s="27">
        <f t="shared" si="17"/>
        <v>1547997.6016582872</v>
      </c>
      <c r="AA67">
        <f t="shared" si="18"/>
        <v>0</v>
      </c>
      <c r="AB67" s="27">
        <f t="shared" si="19"/>
        <v>1547997.6016582872</v>
      </c>
      <c r="AD67" s="27">
        <f t="shared" si="20"/>
        <v>0</v>
      </c>
      <c r="AE67" s="27">
        <f t="shared" si="21"/>
        <v>1547997.6016582872</v>
      </c>
      <c r="AF67" s="50"/>
      <c r="AG67" t="str">
        <f t="shared" si="22"/>
        <v>5302310</v>
      </c>
    </row>
    <row r="68" spans="1:33" x14ac:dyDescent="0.25">
      <c r="A68" s="7" t="s">
        <v>117</v>
      </c>
      <c r="B68" s="2" t="s">
        <v>787</v>
      </c>
      <c r="C68" s="4" t="s">
        <v>786</v>
      </c>
      <c r="D68">
        <f>_xlfn.IFNA(VLOOKUP(A68,'Prior Year data'!$A$1:$T$318,12,FALSE),0)</f>
        <v>0</v>
      </c>
      <c r="E68">
        <f>VLOOKUP(A68,'Basic HH'!$B$1:$Y$319,23,FALSE)</f>
        <v>18239.332593389026</v>
      </c>
      <c r="F68">
        <f>VLOOKUP(A68,'Conc. HH'!$B$1:$Y$319,23,FALSE)</f>
        <v>0</v>
      </c>
      <c r="G68">
        <f>VLOOKUP(A68,'Targeted HH'!$B$1:$Y$319,23,FALSE)</f>
        <v>8800.8803858104529</v>
      </c>
      <c r="H68">
        <f>VLOOKUP(A68,'EFIG HH'!$B$1:$Y$319,23,FALSE)</f>
        <v>11973.922486993715</v>
      </c>
      <c r="I68">
        <f t="shared" ref="I68:I131" si="23">SUM(E68:H68)</f>
        <v>39014.135466193198</v>
      </c>
      <c r="J68">
        <f t="shared" ref="J68:J131" si="24">IF(I68&lt;D68,0,I68)</f>
        <v>39014.135466193198</v>
      </c>
      <c r="K68" s="43">
        <f t="shared" ref="K68:K131" si="25">IF(J68=0,I68,I68-$K$1*J68/$J$3)</f>
        <v>35455.699930035655</v>
      </c>
      <c r="L68">
        <f t="shared" ref="L68:L131" si="26">IF($J68=0,0,IF(K68&lt;$D68,$D68-K68,0))</f>
        <v>0</v>
      </c>
      <c r="M68">
        <f t="shared" ref="M68:M131" si="27">IF($J68=0,0,IF(L68&gt;0,0,K68-$D68))</f>
        <v>35455.699930035655</v>
      </c>
      <c r="N68" s="43">
        <f t="shared" ref="N68:N131" si="28">IF(L68&gt;0,L68+K68,K68-$L$3*M68/$M$3)</f>
        <v>30821.32576629406</v>
      </c>
      <c r="O68">
        <f t="shared" ref="O68:O131" si="29">IF($J68=0,0,IF(N68&lt;$D68,$D68-N68,0))</f>
        <v>0</v>
      </c>
      <c r="P68">
        <f t="shared" ref="P68:P131" si="30">IF($J68=0,0,IF(O68&gt;0,0,N68-$D68))</f>
        <v>30821.32576629406</v>
      </c>
      <c r="Q68" s="43">
        <f t="shared" ref="Q68:Q131" si="31">IF(O68&gt;0,O68+N68,N68-$O$3*P68/$P$3)</f>
        <v>30821.32576629406</v>
      </c>
      <c r="R68">
        <f t="shared" ref="R68:R131" si="32">IF($J68=0,0,IF(Q68&lt;$D68,$D68-Q68,0))</f>
        <v>0</v>
      </c>
      <c r="S68">
        <f t="shared" ref="S68:S131" si="33">IF($J68=0,0,IF(R68&gt;0,0,Q68-$D68))</f>
        <v>30821.32576629406</v>
      </c>
      <c r="T68" s="43">
        <f t="shared" ref="T68:T131" si="34">IF(R68&gt;0,R68+Q68,Q68-$R$3*S68/$S$3)</f>
        <v>30821.32576629406</v>
      </c>
      <c r="U68">
        <f t="shared" ref="U68:U131" si="35">IF($J68=0,0,IF(T68&lt;$D68,$D68-T68,0))</f>
        <v>0</v>
      </c>
      <c r="V68">
        <f t="shared" ref="V68:V131" si="36">IF($J68=0,0,IF(U68&gt;0,0,T68-$D68))</f>
        <v>30821.32576629406</v>
      </c>
      <c r="W68" s="43">
        <f t="shared" ref="W68:W131" si="37">IF(U68&gt;0,U68+T68,T68-$U$3*V68/$V$3)</f>
        <v>30821.32576629406</v>
      </c>
      <c r="X68" s="43">
        <f t="shared" ref="X68:X131" si="38">I68-W68</f>
        <v>8192.8096998991386</v>
      </c>
      <c r="Y68" s="27">
        <f t="shared" ref="Y68:Y131" si="39">W68/$W$3*$Y$1</f>
        <v>235.95731584664057</v>
      </c>
      <c r="Z68" s="27">
        <f t="shared" ref="Z68:Z131" si="40">W68-Y68</f>
        <v>30585.368450447419</v>
      </c>
      <c r="AA68">
        <f t="shared" ref="AA68:AA131" si="41">Z68/$Z$3*$AA$1</f>
        <v>0</v>
      </c>
      <c r="AB68" s="27">
        <f t="shared" ref="AB68:AB131" si="42">Z68-AA68</f>
        <v>30585.368450447419</v>
      </c>
      <c r="AD68" s="27">
        <f t="shared" ref="AD68:AD131" si="43">IF(AC68&gt;0,AC68*AB68,0)</f>
        <v>0</v>
      </c>
      <c r="AE68" s="27">
        <f t="shared" ref="AE68:AE131" si="44">AB68-AD68</f>
        <v>30585.368450447419</v>
      </c>
      <c r="AF68" s="50"/>
      <c r="AG68" t="str">
        <f t="shared" ref="AG68:AG131" si="45">A68</f>
        <v>5302340</v>
      </c>
    </row>
    <row r="69" spans="1:33" x14ac:dyDescent="0.25">
      <c r="A69" s="7" t="s">
        <v>119</v>
      </c>
      <c r="B69" s="2" t="s">
        <v>789</v>
      </c>
      <c r="C69" s="4" t="s">
        <v>788</v>
      </c>
      <c r="D69">
        <f>_xlfn.IFNA(VLOOKUP(A69,'Prior Year data'!$A$1:$T$318,12,FALSE),0)</f>
        <v>331413.2698578001</v>
      </c>
      <c r="E69">
        <f>VLOOKUP(A69,'Basic HH'!$B$1:$Y$319,23,FALSE)</f>
        <v>139834.88321598264</v>
      </c>
      <c r="F69">
        <f>VLOOKUP(A69,'Conc. HH'!$B$1:$Y$319,23,FALSE)</f>
        <v>0</v>
      </c>
      <c r="G69">
        <f>VLOOKUP(A69,'Targeted HH'!$B$1:$Y$319,23,FALSE)</f>
        <v>67473.416291213434</v>
      </c>
      <c r="H69">
        <f>VLOOKUP(A69,'EFIG HH'!$B$1:$Y$319,23,FALSE)</f>
        <v>91840.860972278955</v>
      </c>
      <c r="I69">
        <f t="shared" si="23"/>
        <v>299149.16047947505</v>
      </c>
      <c r="J69">
        <f t="shared" si="24"/>
        <v>0</v>
      </c>
      <c r="K69" s="43">
        <f t="shared" si="25"/>
        <v>299149.16047947505</v>
      </c>
      <c r="L69">
        <f t="shared" si="26"/>
        <v>0</v>
      </c>
      <c r="M69">
        <f t="shared" si="27"/>
        <v>0</v>
      </c>
      <c r="N69" s="43">
        <f t="shared" si="28"/>
        <v>299149.16047947505</v>
      </c>
      <c r="O69">
        <f t="shared" si="29"/>
        <v>0</v>
      </c>
      <c r="P69">
        <f t="shared" si="30"/>
        <v>0</v>
      </c>
      <c r="Q69" s="43">
        <f t="shared" si="31"/>
        <v>299149.16047947505</v>
      </c>
      <c r="R69">
        <f t="shared" si="32"/>
        <v>0</v>
      </c>
      <c r="S69">
        <f t="shared" si="33"/>
        <v>0</v>
      </c>
      <c r="T69" s="43">
        <f t="shared" si="34"/>
        <v>299149.16047947505</v>
      </c>
      <c r="U69">
        <f t="shared" si="35"/>
        <v>0</v>
      </c>
      <c r="V69">
        <f t="shared" si="36"/>
        <v>0</v>
      </c>
      <c r="W69" s="43">
        <f t="shared" si="37"/>
        <v>299149.16047947505</v>
      </c>
      <c r="X69" s="43">
        <f t="shared" si="38"/>
        <v>0</v>
      </c>
      <c r="Y69" s="27">
        <f t="shared" si="39"/>
        <v>2290.1815930872635</v>
      </c>
      <c r="Z69" s="27">
        <f t="shared" si="40"/>
        <v>296858.97888638778</v>
      </c>
      <c r="AA69">
        <f t="shared" si="41"/>
        <v>0</v>
      </c>
      <c r="AB69" s="27">
        <f t="shared" si="42"/>
        <v>296858.97888638778</v>
      </c>
      <c r="AD69" s="27">
        <f t="shared" si="43"/>
        <v>0</v>
      </c>
      <c r="AE69" s="27">
        <f t="shared" si="44"/>
        <v>296858.97888638778</v>
      </c>
      <c r="AF69" s="50"/>
      <c r="AG69" t="str">
        <f t="shared" si="45"/>
        <v>5302370</v>
      </c>
    </row>
    <row r="70" spans="1:33" x14ac:dyDescent="0.25">
      <c r="A70" s="7" t="s">
        <v>121</v>
      </c>
      <c r="B70" s="2" t="s">
        <v>791</v>
      </c>
      <c r="C70" s="4" t="s">
        <v>790</v>
      </c>
      <c r="D70">
        <f>_xlfn.IFNA(VLOOKUP(A70,'Prior Year data'!$A$1:$T$318,12,FALSE),0)</f>
        <v>3933301.5140930424</v>
      </c>
      <c r="E70">
        <f>VLOOKUP(A70,'Basic HH'!$B$1:$Y$319,23,FALSE)</f>
        <v>2054096.2658745267</v>
      </c>
      <c r="F70">
        <f>VLOOKUP(A70,'Conc. HH'!$B$1:$Y$319,23,FALSE)</f>
        <v>0</v>
      </c>
      <c r="G70">
        <f>VLOOKUP(A70,'Targeted HH'!$B$1:$Y$319,23,FALSE)</f>
        <v>1363507.8254873483</v>
      </c>
      <c r="H70">
        <f>VLOOKUP(A70,'EFIG HH'!$B$1:$Y$319,23,FALSE)</f>
        <v>1855102.7053063831</v>
      </c>
      <c r="I70">
        <f t="shared" si="23"/>
        <v>5272706.7966682576</v>
      </c>
      <c r="J70">
        <f t="shared" si="24"/>
        <v>5272706.7966682576</v>
      </c>
      <c r="K70" s="43">
        <f t="shared" si="25"/>
        <v>4791789.1238093516</v>
      </c>
      <c r="L70">
        <f t="shared" si="26"/>
        <v>0</v>
      </c>
      <c r="M70">
        <f t="shared" si="27"/>
        <v>858487.60971630923</v>
      </c>
      <c r="N70" s="43">
        <f t="shared" si="28"/>
        <v>4679577.185920313</v>
      </c>
      <c r="O70">
        <f t="shared" si="29"/>
        <v>0</v>
      </c>
      <c r="P70">
        <f t="shared" si="30"/>
        <v>746275.67182727065</v>
      </c>
      <c r="Q70" s="43">
        <f t="shared" si="31"/>
        <v>4679577.185920313</v>
      </c>
      <c r="R70">
        <f t="shared" si="32"/>
        <v>0</v>
      </c>
      <c r="S70">
        <f t="shared" si="33"/>
        <v>746275.67182727065</v>
      </c>
      <c r="T70" s="43">
        <f t="shared" si="34"/>
        <v>4679577.185920313</v>
      </c>
      <c r="U70">
        <f t="shared" si="35"/>
        <v>0</v>
      </c>
      <c r="V70">
        <f t="shared" si="36"/>
        <v>746275.67182727065</v>
      </c>
      <c r="W70" s="43">
        <f t="shared" si="37"/>
        <v>4679577.185920313</v>
      </c>
      <c r="X70" s="43">
        <f t="shared" si="38"/>
        <v>593129.61074794456</v>
      </c>
      <c r="Y70" s="27">
        <f t="shared" si="39"/>
        <v>35825.210130787273</v>
      </c>
      <c r="Z70" s="27">
        <f t="shared" si="40"/>
        <v>4643751.9757895255</v>
      </c>
      <c r="AA70">
        <f t="shared" si="41"/>
        <v>0</v>
      </c>
      <c r="AB70" s="27">
        <f t="shared" si="42"/>
        <v>4643751.9757895255</v>
      </c>
      <c r="AD70" s="27">
        <f t="shared" si="43"/>
        <v>0</v>
      </c>
      <c r="AE70" s="27">
        <f t="shared" si="44"/>
        <v>4643751.9757895255</v>
      </c>
      <c r="AF70" s="50"/>
      <c r="AG70" t="str">
        <f t="shared" si="45"/>
        <v>5302400</v>
      </c>
    </row>
    <row r="71" spans="1:33" x14ac:dyDescent="0.25">
      <c r="A71" s="7" t="s">
        <v>384</v>
      </c>
      <c r="B71" s="2" t="s">
        <v>793</v>
      </c>
      <c r="C71" s="4" t="s">
        <v>792</v>
      </c>
      <c r="D71">
        <f>_xlfn.IFNA(VLOOKUP(A71,'Prior Year data'!$A$1:$T$318,12,FALSE),0)</f>
        <v>721882.92358886113</v>
      </c>
      <c r="E71">
        <f>VLOOKUP(A71,'Basic HH'!$B$1:$Y$319,23,FALSE)</f>
        <v>392579.92058151617</v>
      </c>
      <c r="F71">
        <f>VLOOKUP(A71,'Conc. HH'!$B$1:$Y$319,23,FALSE)</f>
        <v>0</v>
      </c>
      <c r="G71">
        <f>VLOOKUP(A71,'Targeted HH'!$B$1:$Y$319,23,FALSE)</f>
        <v>189428.47306601546</v>
      </c>
      <c r="H71">
        <f>VLOOKUP(A71,'EFIG HH'!$B$1:$Y$319,23,FALSE)</f>
        <v>257724.4268629124</v>
      </c>
      <c r="I71">
        <f t="shared" si="23"/>
        <v>839732.820510444</v>
      </c>
      <c r="J71">
        <f t="shared" si="24"/>
        <v>839732.820510444</v>
      </c>
      <c r="K71" s="43">
        <f t="shared" si="25"/>
        <v>763141.73182743404</v>
      </c>
      <c r="L71">
        <f t="shared" si="26"/>
        <v>0</v>
      </c>
      <c r="M71">
        <f t="shared" si="27"/>
        <v>41258.808238572907</v>
      </c>
      <c r="N71" s="43">
        <f t="shared" si="28"/>
        <v>757748.8399847988</v>
      </c>
      <c r="O71">
        <f t="shared" si="29"/>
        <v>0</v>
      </c>
      <c r="P71">
        <f t="shared" si="30"/>
        <v>35865.916395937675</v>
      </c>
      <c r="Q71" s="43">
        <f t="shared" si="31"/>
        <v>757748.8399847988</v>
      </c>
      <c r="R71">
        <f t="shared" si="32"/>
        <v>0</v>
      </c>
      <c r="S71">
        <f t="shared" si="33"/>
        <v>35865.916395937675</v>
      </c>
      <c r="T71" s="43">
        <f t="shared" si="34"/>
        <v>757748.8399847988</v>
      </c>
      <c r="U71">
        <f t="shared" si="35"/>
        <v>0</v>
      </c>
      <c r="V71">
        <f t="shared" si="36"/>
        <v>35865.916395937675</v>
      </c>
      <c r="W71" s="43">
        <f t="shared" si="37"/>
        <v>757748.8399847988</v>
      </c>
      <c r="X71" s="43">
        <f t="shared" si="38"/>
        <v>81983.980525645195</v>
      </c>
      <c r="Y71" s="27">
        <f t="shared" si="39"/>
        <v>5801.0607241382486</v>
      </c>
      <c r="Z71" s="27">
        <f t="shared" si="40"/>
        <v>751947.77926066052</v>
      </c>
      <c r="AA71">
        <f t="shared" si="41"/>
        <v>0</v>
      </c>
      <c r="AB71" s="27">
        <f t="shared" si="42"/>
        <v>751947.77926066052</v>
      </c>
      <c r="AD71" s="27">
        <f t="shared" si="43"/>
        <v>0</v>
      </c>
      <c r="AE71" s="27">
        <f t="shared" si="44"/>
        <v>751947.77926066052</v>
      </c>
      <c r="AF71" s="50"/>
      <c r="AG71" t="str">
        <f t="shared" si="45"/>
        <v>5302460</v>
      </c>
    </row>
    <row r="72" spans="1:33" x14ac:dyDescent="0.25">
      <c r="A72" s="7" t="s">
        <v>386</v>
      </c>
      <c r="B72" s="2" t="s">
        <v>795</v>
      </c>
      <c r="C72" s="4" t="s">
        <v>794</v>
      </c>
      <c r="D72">
        <f>_xlfn.IFNA(VLOOKUP(A72,'Prior Year data'!$A$1:$T$318,12,FALSE),0)</f>
        <v>624000.19189879391</v>
      </c>
      <c r="E72">
        <f>VLOOKUP(A72,'Basic HH'!$B$1:$Y$319,23,FALSE)</f>
        <v>253975.4775030223</v>
      </c>
      <c r="F72">
        <f>VLOOKUP(A72,'Conc. HH'!$B$1:$Y$319,23,FALSE)</f>
        <v>66918.352592379961</v>
      </c>
      <c r="G72">
        <f>VLOOKUP(A72,'Targeted HH'!$B$1:$Y$319,23,FALSE)</f>
        <v>143880.5607569252</v>
      </c>
      <c r="H72">
        <f>VLOOKUP(A72,'EFIG HH'!$B$1:$Y$319,23,FALSE)</f>
        <v>197766.42733211923</v>
      </c>
      <c r="I72">
        <f t="shared" si="23"/>
        <v>662540.81818444666</v>
      </c>
      <c r="J72">
        <f t="shared" si="24"/>
        <v>662540.81818444666</v>
      </c>
      <c r="K72" s="43">
        <f t="shared" si="25"/>
        <v>602111.21328841196</v>
      </c>
      <c r="L72">
        <f t="shared" si="26"/>
        <v>21888.97861038195</v>
      </c>
      <c r="M72">
        <f t="shared" si="27"/>
        <v>0</v>
      </c>
      <c r="N72" s="43">
        <f t="shared" si="28"/>
        <v>624000.19189879391</v>
      </c>
      <c r="O72">
        <f t="shared" si="29"/>
        <v>0</v>
      </c>
      <c r="P72">
        <f t="shared" si="30"/>
        <v>0</v>
      </c>
      <c r="Q72" s="43">
        <f t="shared" si="31"/>
        <v>624000.19189879391</v>
      </c>
      <c r="R72">
        <f t="shared" si="32"/>
        <v>0</v>
      </c>
      <c r="S72">
        <f t="shared" si="33"/>
        <v>0</v>
      </c>
      <c r="T72" s="43">
        <f t="shared" si="34"/>
        <v>624000.19189879391</v>
      </c>
      <c r="U72">
        <f t="shared" si="35"/>
        <v>0</v>
      </c>
      <c r="V72">
        <f t="shared" si="36"/>
        <v>0</v>
      </c>
      <c r="W72" s="43">
        <f t="shared" si="37"/>
        <v>624000.19189879391</v>
      </c>
      <c r="X72" s="43">
        <f t="shared" si="38"/>
        <v>38540.626285652746</v>
      </c>
      <c r="Y72" s="27">
        <f t="shared" si="39"/>
        <v>4777.1277421572058</v>
      </c>
      <c r="Z72" s="27">
        <f t="shared" si="40"/>
        <v>619223.06415663671</v>
      </c>
      <c r="AA72">
        <f t="shared" si="41"/>
        <v>0</v>
      </c>
      <c r="AB72" s="27">
        <f t="shared" si="42"/>
        <v>619223.06415663671</v>
      </c>
      <c r="AD72" s="27">
        <f t="shared" si="43"/>
        <v>0</v>
      </c>
      <c r="AE72" s="27">
        <f t="shared" si="44"/>
        <v>619223.06415663671</v>
      </c>
      <c r="AF72" s="50"/>
      <c r="AG72" t="str">
        <f t="shared" si="45"/>
        <v>5302490</v>
      </c>
    </row>
    <row r="73" spans="1:33" x14ac:dyDescent="0.25">
      <c r="A73" s="7" t="s">
        <v>388</v>
      </c>
      <c r="B73" s="2" t="s">
        <v>797</v>
      </c>
      <c r="C73" s="4" t="s">
        <v>796</v>
      </c>
      <c r="D73">
        <f>_xlfn.IFNA(VLOOKUP(A73,'Prior Year data'!$A$1:$T$318,12,FALSE),0)</f>
        <v>45515.331269759947</v>
      </c>
      <c r="E73">
        <f>VLOOKUP(A73,'Basic HH'!$B$1:$Y$319,23,FALSE)</f>
        <v>19107.872240693272</v>
      </c>
      <c r="F73">
        <f>VLOOKUP(A73,'Conc. HH'!$B$1:$Y$319,23,FALSE)</f>
        <v>5142.1817043458805</v>
      </c>
      <c r="G73">
        <f>VLOOKUP(A73,'Targeted HH'!$B$1:$Y$319,23,FALSE)</f>
        <v>12387.972549727028</v>
      </c>
      <c r="H73">
        <f>VLOOKUP(A73,'EFIG HH'!$B$1:$Y$319,23,FALSE)</f>
        <v>16854.293727317567</v>
      </c>
      <c r="I73">
        <f t="shared" si="23"/>
        <v>53492.320222083741</v>
      </c>
      <c r="J73">
        <f t="shared" si="24"/>
        <v>53492.320222083741</v>
      </c>
      <c r="K73" s="43">
        <f t="shared" si="25"/>
        <v>48613.345693615098</v>
      </c>
      <c r="L73">
        <f t="shared" si="26"/>
        <v>0</v>
      </c>
      <c r="M73">
        <f t="shared" si="27"/>
        <v>3098.0144238551511</v>
      </c>
      <c r="N73" s="43">
        <f t="shared" si="28"/>
        <v>48208.407756043867</v>
      </c>
      <c r="O73">
        <f t="shared" si="29"/>
        <v>0</v>
      </c>
      <c r="P73">
        <f t="shared" si="30"/>
        <v>2693.0764862839205</v>
      </c>
      <c r="Q73" s="43">
        <f t="shared" si="31"/>
        <v>48208.407756043867</v>
      </c>
      <c r="R73">
        <f t="shared" si="32"/>
        <v>0</v>
      </c>
      <c r="S73">
        <f t="shared" si="33"/>
        <v>2693.0764862839205</v>
      </c>
      <c r="T73" s="43">
        <f t="shared" si="34"/>
        <v>48208.407756043867</v>
      </c>
      <c r="U73">
        <f t="shared" si="35"/>
        <v>0</v>
      </c>
      <c r="V73">
        <f t="shared" si="36"/>
        <v>2693.0764862839205</v>
      </c>
      <c r="W73" s="43">
        <f t="shared" si="37"/>
        <v>48208.407756043867</v>
      </c>
      <c r="X73" s="43">
        <f t="shared" si="38"/>
        <v>5283.9124660398738</v>
      </c>
      <c r="Y73" s="27">
        <f t="shared" si="39"/>
        <v>369.0667488351919</v>
      </c>
      <c r="Z73" s="27">
        <f t="shared" si="40"/>
        <v>47839.341007208677</v>
      </c>
      <c r="AA73">
        <f t="shared" si="41"/>
        <v>0</v>
      </c>
      <c r="AB73" s="27">
        <f t="shared" si="42"/>
        <v>47839.341007208677</v>
      </c>
      <c r="AD73" s="27">
        <f t="shared" si="43"/>
        <v>0</v>
      </c>
      <c r="AE73" s="27">
        <f t="shared" si="44"/>
        <v>47839.341007208677</v>
      </c>
      <c r="AF73" s="50"/>
      <c r="AG73" t="str">
        <f t="shared" si="45"/>
        <v>5302520</v>
      </c>
    </row>
    <row r="74" spans="1:33" x14ac:dyDescent="0.25">
      <c r="A74" s="7" t="s">
        <v>390</v>
      </c>
      <c r="B74" s="2" t="s">
        <v>799</v>
      </c>
      <c r="C74" s="4" t="s">
        <v>798</v>
      </c>
      <c r="D74">
        <f>_xlfn.IFNA(VLOOKUP(A74,'Prior Year data'!$A$1:$T$318,12,FALSE),0)</f>
        <v>133403.37785459255</v>
      </c>
      <c r="E74">
        <f>VLOOKUP(A74,'Basic HH'!$B$1:$Y$319,23,FALSE)</f>
        <v>59929.235663992527</v>
      </c>
      <c r="F74">
        <f>VLOOKUP(A74,'Conc. HH'!$B$1:$Y$319,23,FALSE)</f>
        <v>16127.751709084803</v>
      </c>
      <c r="G74">
        <f>VLOOKUP(A74,'Targeted HH'!$B$1:$Y$319,23,FALSE)</f>
        <v>30576.081499814001</v>
      </c>
      <c r="H74">
        <f>VLOOKUP(A74,'EFIG HH'!$B$1:$Y$319,23,FALSE)</f>
        <v>41599.887032331331</v>
      </c>
      <c r="I74">
        <f t="shared" si="23"/>
        <v>148232.95590522265</v>
      </c>
      <c r="J74">
        <f t="shared" si="24"/>
        <v>148232.95590522265</v>
      </c>
      <c r="K74" s="43">
        <f t="shared" si="25"/>
        <v>134712.79426073632</v>
      </c>
      <c r="L74">
        <f t="shared" si="26"/>
        <v>0</v>
      </c>
      <c r="M74">
        <f t="shared" si="27"/>
        <v>1309.4164061437768</v>
      </c>
      <c r="N74" s="43">
        <f t="shared" si="28"/>
        <v>134541.64193334788</v>
      </c>
      <c r="O74">
        <f t="shared" si="29"/>
        <v>0</v>
      </c>
      <c r="P74">
        <f t="shared" si="30"/>
        <v>1138.2640787553391</v>
      </c>
      <c r="Q74" s="43">
        <f t="shared" si="31"/>
        <v>134541.64193334788</v>
      </c>
      <c r="R74">
        <f t="shared" si="32"/>
        <v>0</v>
      </c>
      <c r="S74">
        <f t="shared" si="33"/>
        <v>1138.2640787553391</v>
      </c>
      <c r="T74" s="43">
        <f t="shared" si="34"/>
        <v>134541.64193334788</v>
      </c>
      <c r="U74">
        <f t="shared" si="35"/>
        <v>0</v>
      </c>
      <c r="V74">
        <f t="shared" si="36"/>
        <v>1138.2640787553391</v>
      </c>
      <c r="W74" s="43">
        <f t="shared" si="37"/>
        <v>134541.64193334788</v>
      </c>
      <c r="X74" s="43">
        <f t="shared" si="38"/>
        <v>13691.31397187477</v>
      </c>
      <c r="Y74" s="27">
        <f t="shared" si="39"/>
        <v>1030.0038661837784</v>
      </c>
      <c r="Z74" s="27">
        <f t="shared" si="40"/>
        <v>133511.63806716411</v>
      </c>
      <c r="AA74">
        <f t="shared" si="41"/>
        <v>0</v>
      </c>
      <c r="AB74" s="27">
        <f t="shared" si="42"/>
        <v>133511.63806716411</v>
      </c>
      <c r="AD74" s="27">
        <f t="shared" si="43"/>
        <v>0</v>
      </c>
      <c r="AE74" s="27">
        <f t="shared" si="44"/>
        <v>133511.63806716411</v>
      </c>
      <c r="AF74" s="50"/>
      <c r="AG74" t="str">
        <f t="shared" si="45"/>
        <v>5302550</v>
      </c>
    </row>
    <row r="75" spans="1:33" x14ac:dyDescent="0.25">
      <c r="A75" s="7" t="s">
        <v>123</v>
      </c>
      <c r="B75" s="2" t="s">
        <v>801</v>
      </c>
      <c r="C75" s="4" t="s">
        <v>800</v>
      </c>
      <c r="D75">
        <f>_xlfn.IFNA(VLOOKUP(A75,'Prior Year data'!$A$1:$T$318,12,FALSE),0)</f>
        <v>540646.53239475214</v>
      </c>
      <c r="E75">
        <f>VLOOKUP(A75,'Basic HH'!$B$1:$Y$319,23,FALSE)</f>
        <v>254482.11666014217</v>
      </c>
      <c r="F75">
        <f>VLOOKUP(A75,'Conc. HH'!$B$1:$Y$319,23,FALSE)</f>
        <v>0</v>
      </c>
      <c r="G75">
        <f>VLOOKUP(A75,'Targeted HH'!$B$1:$Y$319,23,FALSE)</f>
        <v>122793.23585916492</v>
      </c>
      <c r="H75">
        <f>VLOOKUP(A75,'EFIG HH'!$B$1:$Y$319,23,FALSE)</f>
        <v>167064.72803281707</v>
      </c>
      <c r="I75">
        <f t="shared" si="23"/>
        <v>544340.08055212419</v>
      </c>
      <c r="J75">
        <f t="shared" si="24"/>
        <v>544340.08055212419</v>
      </c>
      <c r="K75" s="43">
        <f t="shared" si="25"/>
        <v>494691.43235716416</v>
      </c>
      <c r="L75">
        <f t="shared" si="26"/>
        <v>45955.100037587981</v>
      </c>
      <c r="M75">
        <f t="shared" si="27"/>
        <v>0</v>
      </c>
      <c r="N75" s="43">
        <f t="shared" si="28"/>
        <v>540646.53239475214</v>
      </c>
      <c r="O75">
        <f t="shared" si="29"/>
        <v>0</v>
      </c>
      <c r="P75">
        <f t="shared" si="30"/>
        <v>0</v>
      </c>
      <c r="Q75" s="43">
        <f t="shared" si="31"/>
        <v>540646.53239475214</v>
      </c>
      <c r="R75">
        <f t="shared" si="32"/>
        <v>0</v>
      </c>
      <c r="S75">
        <f t="shared" si="33"/>
        <v>0</v>
      </c>
      <c r="T75" s="43">
        <f t="shared" si="34"/>
        <v>540646.53239475214</v>
      </c>
      <c r="U75">
        <f t="shared" si="35"/>
        <v>0</v>
      </c>
      <c r="V75">
        <f t="shared" si="36"/>
        <v>0</v>
      </c>
      <c r="W75" s="43">
        <f t="shared" si="37"/>
        <v>540646.53239475214</v>
      </c>
      <c r="X75" s="43">
        <f t="shared" si="38"/>
        <v>3693.5481573720463</v>
      </c>
      <c r="Y75" s="27">
        <f t="shared" si="39"/>
        <v>4139.0012088697513</v>
      </c>
      <c r="Z75" s="27">
        <f t="shared" si="40"/>
        <v>536507.5311858824</v>
      </c>
      <c r="AA75">
        <f t="shared" si="41"/>
        <v>0</v>
      </c>
      <c r="AB75" s="27">
        <f t="shared" si="42"/>
        <v>536507.5311858824</v>
      </c>
      <c r="AD75" s="27">
        <f t="shared" si="43"/>
        <v>0</v>
      </c>
      <c r="AE75" s="27">
        <f t="shared" si="44"/>
        <v>536507.5311858824</v>
      </c>
      <c r="AF75" s="50"/>
      <c r="AG75" t="str">
        <f t="shared" si="45"/>
        <v>5300001</v>
      </c>
    </row>
    <row r="76" spans="1:33" x14ac:dyDescent="0.25">
      <c r="A76" s="7" t="s">
        <v>392</v>
      </c>
      <c r="B76" s="2" t="s">
        <v>803</v>
      </c>
      <c r="C76" s="4" t="s">
        <v>802</v>
      </c>
      <c r="D76">
        <f>_xlfn.IFNA(VLOOKUP(A76,'Prior Year data'!$A$1:$T$318,12,FALSE),0)</f>
        <v>806472.08796230936</v>
      </c>
      <c r="E76">
        <f>VLOOKUP(A76,'Basic HH'!$B$1:$Y$319,23,FALSE)</f>
        <v>374340.5879881272</v>
      </c>
      <c r="F76">
        <f>VLOOKUP(A76,'Conc. HH'!$B$1:$Y$319,23,FALSE)</f>
        <v>89598.505630549393</v>
      </c>
      <c r="G76">
        <f>VLOOKUP(A76,'Targeted HH'!$B$1:$Y$319,23,FALSE)</f>
        <v>180627.59268020507</v>
      </c>
      <c r="H76">
        <f>VLOOKUP(A76,'EFIG HH'!$B$1:$Y$319,23,FALSE)</f>
        <v>245750.50437591865</v>
      </c>
      <c r="I76">
        <f t="shared" si="23"/>
        <v>890317.19067480031</v>
      </c>
      <c r="J76">
        <f t="shared" si="24"/>
        <v>890317.19067480031</v>
      </c>
      <c r="K76" s="43">
        <f t="shared" si="25"/>
        <v>809112.35832642135</v>
      </c>
      <c r="L76">
        <f t="shared" si="26"/>
        <v>0</v>
      </c>
      <c r="M76">
        <f t="shared" si="27"/>
        <v>2640.2703641119879</v>
      </c>
      <c r="N76" s="43">
        <f t="shared" si="28"/>
        <v>808767.25159365684</v>
      </c>
      <c r="O76">
        <f t="shared" si="29"/>
        <v>0</v>
      </c>
      <c r="P76">
        <f t="shared" si="30"/>
        <v>2295.1636313474737</v>
      </c>
      <c r="Q76" s="43">
        <f t="shared" si="31"/>
        <v>808767.25159365684</v>
      </c>
      <c r="R76">
        <f t="shared" si="32"/>
        <v>0</v>
      </c>
      <c r="S76">
        <f t="shared" si="33"/>
        <v>2295.1636313474737</v>
      </c>
      <c r="T76" s="43">
        <f t="shared" si="34"/>
        <v>808767.25159365684</v>
      </c>
      <c r="U76">
        <f t="shared" si="35"/>
        <v>0</v>
      </c>
      <c r="V76">
        <f t="shared" si="36"/>
        <v>2295.1636313474737</v>
      </c>
      <c r="W76" s="43">
        <f t="shared" si="37"/>
        <v>808767.25159365684</v>
      </c>
      <c r="X76" s="43">
        <f t="shared" si="38"/>
        <v>81549.939081143471</v>
      </c>
      <c r="Y76" s="27">
        <f t="shared" si="39"/>
        <v>6191.6398820001095</v>
      </c>
      <c r="Z76" s="27">
        <f t="shared" si="40"/>
        <v>802575.61171165667</v>
      </c>
      <c r="AA76">
        <f t="shared" si="41"/>
        <v>0</v>
      </c>
      <c r="AB76" s="27">
        <f t="shared" si="42"/>
        <v>802575.61171165667</v>
      </c>
      <c r="AD76" s="27">
        <f t="shared" si="43"/>
        <v>0</v>
      </c>
      <c r="AE76" s="27">
        <f t="shared" si="44"/>
        <v>802575.61171165667</v>
      </c>
      <c r="AF76" s="50"/>
      <c r="AG76" t="str">
        <f t="shared" si="45"/>
        <v>5302610</v>
      </c>
    </row>
    <row r="77" spans="1:33" x14ac:dyDescent="0.25">
      <c r="A77" s="7" t="s">
        <v>394</v>
      </c>
      <c r="B77" s="2" t="s">
        <v>805</v>
      </c>
      <c r="C77" s="4" t="s">
        <v>804</v>
      </c>
      <c r="D77">
        <f>_xlfn.IFNA(VLOOKUP(A77,'Prior Year data'!$A$1:$T$318,12,FALSE),0)</f>
        <v>76495.534620375431</v>
      </c>
      <c r="E77">
        <f>VLOOKUP(A77,'Basic HH'!$B$1:$Y$319,23,FALSE)</f>
        <v>23296.575491200263</v>
      </c>
      <c r="F77">
        <f>VLOOKUP(A77,'Conc. HH'!$B$1:$Y$319,23,FALSE)</f>
        <v>5916.8666470503276</v>
      </c>
      <c r="G77">
        <f>VLOOKUP(A77,'Targeted HH'!$B$1:$Y$319,23,FALSE)</f>
        <v>15667.910951663496</v>
      </c>
      <c r="H77">
        <f>VLOOKUP(A77,'EFIG HH'!$B$1:$Y$319,23,FALSE)</f>
        <v>20645.483726925377</v>
      </c>
      <c r="I77">
        <f t="shared" si="23"/>
        <v>65526.836816839466</v>
      </c>
      <c r="J77">
        <f t="shared" si="24"/>
        <v>0</v>
      </c>
      <c r="K77" s="43">
        <f t="shared" si="25"/>
        <v>65526.836816839466</v>
      </c>
      <c r="L77">
        <f t="shared" si="26"/>
        <v>0</v>
      </c>
      <c r="M77">
        <f t="shared" si="27"/>
        <v>0</v>
      </c>
      <c r="N77" s="43">
        <f t="shared" si="28"/>
        <v>65526.836816839466</v>
      </c>
      <c r="O77">
        <f t="shared" si="29"/>
        <v>0</v>
      </c>
      <c r="P77">
        <f t="shared" si="30"/>
        <v>0</v>
      </c>
      <c r="Q77" s="43">
        <f t="shared" si="31"/>
        <v>65526.836816839466</v>
      </c>
      <c r="R77">
        <f t="shared" si="32"/>
        <v>0</v>
      </c>
      <c r="S77">
        <f t="shared" si="33"/>
        <v>0</v>
      </c>
      <c r="T77" s="43">
        <f t="shared" si="34"/>
        <v>65526.836816839466</v>
      </c>
      <c r="U77">
        <f t="shared" si="35"/>
        <v>0</v>
      </c>
      <c r="V77">
        <f t="shared" si="36"/>
        <v>0</v>
      </c>
      <c r="W77" s="43">
        <f t="shared" si="37"/>
        <v>65526.836816839466</v>
      </c>
      <c r="X77" s="43">
        <f t="shared" si="38"/>
        <v>0</v>
      </c>
      <c r="Y77" s="27">
        <f t="shared" si="39"/>
        <v>501.65059895414595</v>
      </c>
      <c r="Z77" s="27">
        <f t="shared" si="40"/>
        <v>65025.186217885319</v>
      </c>
      <c r="AA77">
        <f t="shared" si="41"/>
        <v>0</v>
      </c>
      <c r="AB77" s="27">
        <f t="shared" si="42"/>
        <v>65025.186217885319</v>
      </c>
      <c r="AD77" s="27">
        <f t="shared" si="43"/>
        <v>0</v>
      </c>
      <c r="AE77" s="27">
        <f t="shared" si="44"/>
        <v>65025.186217885319</v>
      </c>
      <c r="AF77" s="50"/>
      <c r="AG77" t="str">
        <f t="shared" si="45"/>
        <v>5302640</v>
      </c>
    </row>
    <row r="78" spans="1:33" x14ac:dyDescent="0.25">
      <c r="A78" s="7" t="s">
        <v>125</v>
      </c>
      <c r="B78" s="2" t="s">
        <v>807</v>
      </c>
      <c r="C78" s="4" t="s">
        <v>806</v>
      </c>
      <c r="D78">
        <f>_xlfn.IFNA(VLOOKUP(A78,'Prior Year data'!$A$1:$T$318,12,FALSE),0)</f>
        <v>4314292.1405457761</v>
      </c>
      <c r="E78">
        <f>VLOOKUP(A78,'Basic HH'!$B$1:$Y$319,23,FALSE)</f>
        <v>2134001.9134265161</v>
      </c>
      <c r="F78">
        <f>VLOOKUP(A78,'Conc. HH'!$B$1:$Y$319,23,FALSE)</f>
        <v>0</v>
      </c>
      <c r="G78">
        <f>VLOOKUP(A78,'Targeted HH'!$B$1:$Y$319,23,FALSE)</f>
        <v>1440620.3012487348</v>
      </c>
      <c r="H78">
        <f>VLOOKUP(A78,'EFIG HH'!$B$1:$Y$319,23,FALSE)</f>
        <v>1960017.0737638522</v>
      </c>
      <c r="I78">
        <f t="shared" si="23"/>
        <v>5534639.2884391034</v>
      </c>
      <c r="J78">
        <f t="shared" si="24"/>
        <v>5534639.2884391034</v>
      </c>
      <c r="K78" s="43">
        <f t="shared" si="25"/>
        <v>5029831.0467990609</v>
      </c>
      <c r="L78">
        <f t="shared" si="26"/>
        <v>0</v>
      </c>
      <c r="M78">
        <f t="shared" si="27"/>
        <v>715538.90625328477</v>
      </c>
      <c r="N78" s="43">
        <f t="shared" si="28"/>
        <v>4936303.7711611316</v>
      </c>
      <c r="O78">
        <f t="shared" si="29"/>
        <v>0</v>
      </c>
      <c r="P78">
        <f t="shared" si="30"/>
        <v>622011.63061535545</v>
      </c>
      <c r="Q78" s="43">
        <f t="shared" si="31"/>
        <v>4936303.7711611316</v>
      </c>
      <c r="R78">
        <f t="shared" si="32"/>
        <v>0</v>
      </c>
      <c r="S78">
        <f t="shared" si="33"/>
        <v>622011.63061535545</v>
      </c>
      <c r="T78" s="43">
        <f t="shared" si="34"/>
        <v>4936303.7711611316</v>
      </c>
      <c r="U78">
        <f t="shared" si="35"/>
        <v>0</v>
      </c>
      <c r="V78">
        <f t="shared" si="36"/>
        <v>622011.63061535545</v>
      </c>
      <c r="W78" s="43">
        <f t="shared" si="37"/>
        <v>4936303.7711611316</v>
      </c>
      <c r="X78" s="43">
        <f t="shared" si="38"/>
        <v>598335.51727797184</v>
      </c>
      <c r="Y78" s="27">
        <f t="shared" si="39"/>
        <v>37790.619289991679</v>
      </c>
      <c r="Z78" s="27">
        <f t="shared" si="40"/>
        <v>4898513.1518711401</v>
      </c>
      <c r="AA78">
        <f t="shared" si="41"/>
        <v>0</v>
      </c>
      <c r="AB78" s="27">
        <f t="shared" si="42"/>
        <v>4898513.1518711401</v>
      </c>
      <c r="AD78" s="27">
        <f t="shared" si="43"/>
        <v>0</v>
      </c>
      <c r="AE78" s="27">
        <f t="shared" si="44"/>
        <v>4898513.1518711401</v>
      </c>
      <c r="AF78" s="50"/>
      <c r="AG78" t="str">
        <f t="shared" si="45"/>
        <v>5302670</v>
      </c>
    </row>
    <row r="79" spans="1:33" x14ac:dyDescent="0.25">
      <c r="A79" s="7" t="s">
        <v>276</v>
      </c>
      <c r="B79" s="2" t="s">
        <v>809</v>
      </c>
      <c r="C79" s="4" t="s">
        <v>808</v>
      </c>
      <c r="D79">
        <f>_xlfn.IFNA(VLOOKUP(A79,'Prior Year data'!$A$1:$T$318,12,FALSE),0)</f>
        <v>5960011.5113981366</v>
      </c>
      <c r="E79">
        <f>VLOOKUP(A79,'Basic HH'!$B$1:$Y$319,23,FALSE)</f>
        <v>2285996.3517047586</v>
      </c>
      <c r="F79">
        <f>VLOOKUP(A79,'Conc. HH'!$B$1:$Y$319,23,FALSE)</f>
        <v>0</v>
      </c>
      <c r="G79">
        <f>VLOOKUP(A79,'Targeted HH'!$B$1:$Y$319,23,FALSE)</f>
        <v>1587301.6410122423</v>
      </c>
      <c r="H79">
        <f>VLOOKUP(A79,'EFIG HH'!$B$1:$Y$319,23,FALSE)</f>
        <v>2159582.4485470811</v>
      </c>
      <c r="I79">
        <f t="shared" si="23"/>
        <v>6032880.4412640817</v>
      </c>
      <c r="J79">
        <f t="shared" si="24"/>
        <v>6032880.4412640817</v>
      </c>
      <c r="K79" s="43">
        <f t="shared" si="25"/>
        <v>5482628.1829207903</v>
      </c>
      <c r="L79">
        <f t="shared" si="26"/>
        <v>477383.32847734634</v>
      </c>
      <c r="M79">
        <f t="shared" si="27"/>
        <v>0</v>
      </c>
      <c r="N79" s="43">
        <f t="shared" si="28"/>
        <v>5960011.5113981366</v>
      </c>
      <c r="O79">
        <f t="shared" si="29"/>
        <v>0</v>
      </c>
      <c r="P79">
        <f t="shared" si="30"/>
        <v>0</v>
      </c>
      <c r="Q79" s="43">
        <f t="shared" si="31"/>
        <v>5960011.5113981366</v>
      </c>
      <c r="R79">
        <f t="shared" si="32"/>
        <v>0</v>
      </c>
      <c r="S79">
        <f t="shared" si="33"/>
        <v>0</v>
      </c>
      <c r="T79" s="43">
        <f t="shared" si="34"/>
        <v>5960011.5113981366</v>
      </c>
      <c r="U79">
        <f t="shared" si="35"/>
        <v>0</v>
      </c>
      <c r="V79">
        <f t="shared" si="36"/>
        <v>0</v>
      </c>
      <c r="W79" s="43">
        <f t="shared" si="37"/>
        <v>5960011.5113981366</v>
      </c>
      <c r="X79" s="43">
        <f t="shared" si="38"/>
        <v>72868.929865945131</v>
      </c>
      <c r="Y79" s="27">
        <f t="shared" si="39"/>
        <v>45627.768555709255</v>
      </c>
      <c r="Z79" s="27">
        <f t="shared" si="40"/>
        <v>5914383.7428424275</v>
      </c>
      <c r="AA79">
        <f t="shared" si="41"/>
        <v>0</v>
      </c>
      <c r="AB79" s="27">
        <f t="shared" si="42"/>
        <v>5914383.7428424275</v>
      </c>
      <c r="AD79" s="27">
        <f t="shared" si="43"/>
        <v>0</v>
      </c>
      <c r="AE79" s="27">
        <f t="shared" si="44"/>
        <v>5914383.7428424275</v>
      </c>
      <c r="AF79" s="50"/>
      <c r="AG79" t="str">
        <f t="shared" si="45"/>
        <v>5302700</v>
      </c>
    </row>
    <row r="80" spans="1:33" x14ac:dyDescent="0.25">
      <c r="A80" s="7" t="s">
        <v>396</v>
      </c>
      <c r="B80" s="2" t="s">
        <v>811</v>
      </c>
      <c r="C80" s="4" t="s">
        <v>810</v>
      </c>
      <c r="D80">
        <f>_xlfn.IFNA(VLOOKUP(A80,'Prior Year data'!$A$1:$T$318,12,FALSE),0)</f>
        <v>41228.250915467215</v>
      </c>
      <c r="E80">
        <f>VLOOKUP(A80,'Basic HH'!$B$1:$Y$319,23,FALSE)</f>
        <v>14765.174004172071</v>
      </c>
      <c r="F80">
        <f>VLOOKUP(A80,'Conc. HH'!$B$1:$Y$319,23,FALSE)</f>
        <v>3973.5040442672707</v>
      </c>
      <c r="G80">
        <f>VLOOKUP(A80,'Targeted HH'!$B$1:$Y$319,23,FALSE)</f>
        <v>11058.73577155157</v>
      </c>
      <c r="H80">
        <f>VLOOKUP(A80,'EFIG HH'!$B$1:$Y$319,23,FALSE)</f>
        <v>15045.818046362328</v>
      </c>
      <c r="I80">
        <f t="shared" si="23"/>
        <v>44843.231866353242</v>
      </c>
      <c r="J80">
        <f t="shared" si="24"/>
        <v>44843.231866353242</v>
      </c>
      <c r="K80" s="43">
        <f t="shared" si="25"/>
        <v>40753.130985669697</v>
      </c>
      <c r="L80">
        <f t="shared" si="26"/>
        <v>475.11992979751813</v>
      </c>
      <c r="M80">
        <f t="shared" si="27"/>
        <v>0</v>
      </c>
      <c r="N80" s="43">
        <f t="shared" si="28"/>
        <v>41228.250915467215</v>
      </c>
      <c r="O80">
        <f t="shared" si="29"/>
        <v>0</v>
      </c>
      <c r="P80">
        <f t="shared" si="30"/>
        <v>0</v>
      </c>
      <c r="Q80" s="43">
        <f t="shared" si="31"/>
        <v>41228.250915467215</v>
      </c>
      <c r="R80">
        <f t="shared" si="32"/>
        <v>0</v>
      </c>
      <c r="S80">
        <f t="shared" si="33"/>
        <v>0</v>
      </c>
      <c r="T80" s="43">
        <f t="shared" si="34"/>
        <v>41228.250915467215</v>
      </c>
      <c r="U80">
        <f t="shared" si="35"/>
        <v>0</v>
      </c>
      <c r="V80">
        <f t="shared" si="36"/>
        <v>0</v>
      </c>
      <c r="W80" s="43">
        <f t="shared" si="37"/>
        <v>41228.250915467215</v>
      </c>
      <c r="X80" s="43">
        <f t="shared" si="38"/>
        <v>3614.9809508860271</v>
      </c>
      <c r="Y80" s="27">
        <f t="shared" si="39"/>
        <v>315.62910358982742</v>
      </c>
      <c r="Z80" s="27">
        <f t="shared" si="40"/>
        <v>40912.62181187739</v>
      </c>
      <c r="AA80">
        <f t="shared" si="41"/>
        <v>0</v>
      </c>
      <c r="AB80" s="27">
        <f t="shared" si="42"/>
        <v>40912.62181187739</v>
      </c>
      <c r="AD80" s="27">
        <f t="shared" si="43"/>
        <v>0</v>
      </c>
      <c r="AE80" s="27">
        <f t="shared" si="44"/>
        <v>40912.62181187739</v>
      </c>
      <c r="AF80" s="50"/>
      <c r="AG80" t="str">
        <f t="shared" si="45"/>
        <v>5302730</v>
      </c>
    </row>
    <row r="81" spans="1:33" x14ac:dyDescent="0.25">
      <c r="A81" s="7" t="s">
        <v>398</v>
      </c>
      <c r="B81" s="2" t="s">
        <v>813</v>
      </c>
      <c r="C81" s="4" t="s">
        <v>812</v>
      </c>
      <c r="D81">
        <f>_xlfn.IFNA(VLOOKUP(A81,'Prior Year data'!$A$1:$T$318,12,FALSE),0)</f>
        <v>10006048.192744821</v>
      </c>
      <c r="E81">
        <f>VLOOKUP(A81,'Basic HH'!$B$1:$Y$319,23,FALSE)</f>
        <v>3680002.4856280624</v>
      </c>
      <c r="F81">
        <f>VLOOKUP(A81,'Conc. HH'!$B$1:$Y$319,23,FALSE)</f>
        <v>990337.44915061351</v>
      </c>
      <c r="G81">
        <f>VLOOKUP(A81,'Targeted HH'!$B$1:$Y$319,23,FALSE)</f>
        <v>2932579.071414697</v>
      </c>
      <c r="H81">
        <f>VLOOKUP(A81,'EFIG HH'!$B$1:$Y$319,23,FALSE)</f>
        <v>3989882.0287018334</v>
      </c>
      <c r="I81">
        <f t="shared" si="23"/>
        <v>11592801.034895206</v>
      </c>
      <c r="J81">
        <f t="shared" si="24"/>
        <v>11592801.034895206</v>
      </c>
      <c r="K81" s="43">
        <f t="shared" si="25"/>
        <v>10535434.655421766</v>
      </c>
      <c r="L81">
        <f t="shared" si="26"/>
        <v>0</v>
      </c>
      <c r="M81">
        <f t="shared" si="27"/>
        <v>529386.46267694421</v>
      </c>
      <c r="N81" s="43">
        <f t="shared" si="28"/>
        <v>10466239.153708195</v>
      </c>
      <c r="O81">
        <f t="shared" si="29"/>
        <v>0</v>
      </c>
      <c r="P81">
        <f t="shared" si="30"/>
        <v>460190.960963374</v>
      </c>
      <c r="Q81" s="43">
        <f t="shared" si="31"/>
        <v>10466239.153708195</v>
      </c>
      <c r="R81">
        <f t="shared" si="32"/>
        <v>0</v>
      </c>
      <c r="S81">
        <f t="shared" si="33"/>
        <v>460190.960963374</v>
      </c>
      <c r="T81" s="43">
        <f t="shared" si="34"/>
        <v>10466239.153708195</v>
      </c>
      <c r="U81">
        <f t="shared" si="35"/>
        <v>0</v>
      </c>
      <c r="V81">
        <f t="shared" si="36"/>
        <v>460190.960963374</v>
      </c>
      <c r="W81" s="43">
        <f t="shared" si="37"/>
        <v>10466239.153708195</v>
      </c>
      <c r="X81" s="43">
        <f t="shared" si="38"/>
        <v>1126561.8811870106</v>
      </c>
      <c r="Y81" s="27">
        <f t="shared" si="39"/>
        <v>80125.875065981701</v>
      </c>
      <c r="Z81" s="27">
        <f t="shared" si="40"/>
        <v>10386113.278642213</v>
      </c>
      <c r="AA81">
        <f t="shared" si="41"/>
        <v>0</v>
      </c>
      <c r="AB81" s="27">
        <f t="shared" si="42"/>
        <v>10386113.278642213</v>
      </c>
      <c r="AD81" s="27">
        <f t="shared" si="43"/>
        <v>0</v>
      </c>
      <c r="AE81" s="27">
        <f t="shared" si="44"/>
        <v>10386113.278642213</v>
      </c>
      <c r="AF81" s="50"/>
      <c r="AG81" t="str">
        <f t="shared" si="45"/>
        <v>5302820</v>
      </c>
    </row>
    <row r="82" spans="1:33" x14ac:dyDescent="0.25">
      <c r="A82" s="7" t="s">
        <v>127</v>
      </c>
      <c r="B82" s="2" t="s">
        <v>815</v>
      </c>
      <c r="C82" s="4" t="s">
        <v>814</v>
      </c>
      <c r="D82">
        <f>_xlfn.IFNA(VLOOKUP(A82,'Prior Year data'!$A$1:$T$318,12,FALSE),0)</f>
        <v>1832944.1968441755</v>
      </c>
      <c r="E82">
        <f>VLOOKUP(A82,'Basic HH'!$B$1:$Y$319,23,FALSE)</f>
        <v>686146.32137034915</v>
      </c>
      <c r="F82">
        <f>VLOOKUP(A82,'Conc. HH'!$B$1:$Y$319,23,FALSE)</f>
        <v>157618.98088599634</v>
      </c>
      <c r="G82">
        <f>VLOOKUP(A82,'Targeted HH'!$B$1:$Y$319,23,FALSE)</f>
        <v>351825.67066132749</v>
      </c>
      <c r="H82">
        <f>VLOOKUP(A82,'EFIG HH'!$B$1:$Y$319,23,FALSE)</f>
        <v>478671.80608720105</v>
      </c>
      <c r="I82">
        <f t="shared" si="23"/>
        <v>1674262.7790048739</v>
      </c>
      <c r="J82">
        <f t="shared" si="24"/>
        <v>0</v>
      </c>
      <c r="K82" s="43">
        <f t="shared" si="25"/>
        <v>1674262.7790048739</v>
      </c>
      <c r="L82">
        <f t="shared" si="26"/>
        <v>0</v>
      </c>
      <c r="M82">
        <f t="shared" si="27"/>
        <v>0</v>
      </c>
      <c r="N82" s="43">
        <f t="shared" si="28"/>
        <v>1674262.7790048739</v>
      </c>
      <c r="O82">
        <f t="shared" si="29"/>
        <v>0</v>
      </c>
      <c r="P82">
        <f t="shared" si="30"/>
        <v>0</v>
      </c>
      <c r="Q82" s="43">
        <f t="shared" si="31"/>
        <v>1674262.7790048739</v>
      </c>
      <c r="R82">
        <f t="shared" si="32"/>
        <v>0</v>
      </c>
      <c r="S82">
        <f t="shared" si="33"/>
        <v>0</v>
      </c>
      <c r="T82" s="43">
        <f t="shared" si="34"/>
        <v>1674262.7790048739</v>
      </c>
      <c r="U82">
        <f t="shared" si="35"/>
        <v>0</v>
      </c>
      <c r="V82">
        <f t="shared" si="36"/>
        <v>0</v>
      </c>
      <c r="W82" s="43">
        <f t="shared" si="37"/>
        <v>1674262.7790048739</v>
      </c>
      <c r="X82" s="43">
        <f t="shared" si="38"/>
        <v>0</v>
      </c>
      <c r="Y82" s="27">
        <f t="shared" si="39"/>
        <v>12817.571649950098</v>
      </c>
      <c r="Z82" s="27">
        <f t="shared" si="40"/>
        <v>1661445.2073549239</v>
      </c>
      <c r="AA82">
        <f t="shared" si="41"/>
        <v>0</v>
      </c>
      <c r="AB82" s="27">
        <f t="shared" si="42"/>
        <v>1661445.2073549239</v>
      </c>
      <c r="AD82" s="27">
        <f t="shared" si="43"/>
        <v>0</v>
      </c>
      <c r="AE82" s="27">
        <f t="shared" si="44"/>
        <v>1661445.2073549239</v>
      </c>
      <c r="AF82" s="50"/>
      <c r="AG82" t="str">
        <f t="shared" si="45"/>
        <v>5302850</v>
      </c>
    </row>
    <row r="83" spans="1:33" x14ac:dyDescent="0.25">
      <c r="A83" s="7" t="s">
        <v>129</v>
      </c>
      <c r="B83" s="2" t="s">
        <v>817</v>
      </c>
      <c r="C83" s="4" t="s">
        <v>816</v>
      </c>
      <c r="D83">
        <f>_xlfn.IFNA(VLOOKUP(A83,'Prior Year data'!$A$1:$T$318,12,FALSE),0)</f>
        <v>623118.03733632446</v>
      </c>
      <c r="E83">
        <f>VLOOKUP(A83,'Basic HH'!$B$1:$Y$319,23,FALSE)</f>
        <v>342204.6210378703</v>
      </c>
      <c r="F83">
        <f>VLOOKUP(A83,'Conc. HH'!$B$1:$Y$319,23,FALSE)</f>
        <v>0</v>
      </c>
      <c r="G83">
        <f>VLOOKUP(A83,'Targeted HH'!$B$1:$Y$319,23,FALSE)</f>
        <v>165121.2796194914</v>
      </c>
      <c r="H83">
        <f>VLOOKUP(A83,'EFIG HH'!$B$1:$Y$319,23,FALSE)</f>
        <v>224653.59332740589</v>
      </c>
      <c r="I83">
        <f t="shared" si="23"/>
        <v>731979.49398476759</v>
      </c>
      <c r="J83">
        <f t="shared" si="24"/>
        <v>731979.49398476759</v>
      </c>
      <c r="K83" s="43">
        <f t="shared" si="25"/>
        <v>665216.4653540022</v>
      </c>
      <c r="L83">
        <f t="shared" si="26"/>
        <v>0</v>
      </c>
      <c r="M83">
        <f t="shared" si="27"/>
        <v>42098.428017677739</v>
      </c>
      <c r="N83" s="43">
        <f t="shared" si="28"/>
        <v>659713.82776613196</v>
      </c>
      <c r="O83">
        <f t="shared" si="29"/>
        <v>0</v>
      </c>
      <c r="P83">
        <f t="shared" si="30"/>
        <v>36595.790429807501</v>
      </c>
      <c r="Q83" s="43">
        <f t="shared" si="31"/>
        <v>659713.82776613196</v>
      </c>
      <c r="R83">
        <f t="shared" si="32"/>
        <v>0</v>
      </c>
      <c r="S83">
        <f t="shared" si="33"/>
        <v>36595.790429807501</v>
      </c>
      <c r="T83" s="43">
        <f t="shared" si="34"/>
        <v>659713.82776613196</v>
      </c>
      <c r="U83">
        <f t="shared" si="35"/>
        <v>0</v>
      </c>
      <c r="V83">
        <f t="shared" si="36"/>
        <v>36595.790429807501</v>
      </c>
      <c r="W83" s="43">
        <f t="shared" si="37"/>
        <v>659713.82776613196</v>
      </c>
      <c r="X83" s="43">
        <f t="shared" si="38"/>
        <v>72265.666218635626</v>
      </c>
      <c r="Y83" s="27">
        <f t="shared" si="39"/>
        <v>5050.5388771057533</v>
      </c>
      <c r="Z83" s="27">
        <f t="shared" si="40"/>
        <v>654663.28888902615</v>
      </c>
      <c r="AA83">
        <f t="shared" si="41"/>
        <v>0</v>
      </c>
      <c r="AB83" s="27">
        <f t="shared" si="42"/>
        <v>654663.28888902615</v>
      </c>
      <c r="AD83" s="27">
        <f t="shared" si="43"/>
        <v>0</v>
      </c>
      <c r="AE83" s="27">
        <f t="shared" si="44"/>
        <v>654663.28888902615</v>
      </c>
      <c r="AF83" s="50"/>
      <c r="AG83" t="str">
        <f t="shared" si="45"/>
        <v>5302880</v>
      </c>
    </row>
    <row r="84" spans="1:33" x14ac:dyDescent="0.25">
      <c r="A84" s="7" t="s">
        <v>400</v>
      </c>
      <c r="B84" s="2" t="s">
        <v>819</v>
      </c>
      <c r="C84" s="4" t="s">
        <v>818</v>
      </c>
      <c r="D84">
        <f>_xlfn.IFNA(VLOOKUP(A84,'Prior Year data'!$A$1:$T$318,12,FALSE),0)</f>
        <v>280829.31515242899</v>
      </c>
      <c r="E84">
        <f>VLOOKUP(A84,'Basic HH'!$B$1:$Y$319,23,FALSE)</f>
        <v>105961.83697111721</v>
      </c>
      <c r="F84">
        <f>VLOOKUP(A84,'Conc. HH'!$B$1:$Y$319,23,FALSE)</f>
        <v>26632.893843933394</v>
      </c>
      <c r="G84">
        <f>VLOOKUP(A84,'Targeted HH'!$B$1:$Y$319,23,FALSE)</f>
        <v>51128.924146136917</v>
      </c>
      <c r="H84">
        <f>VLOOKUP(A84,'EFIG HH'!$B$1:$Y$319,23,FALSE)</f>
        <v>69562.787781582549</v>
      </c>
      <c r="I84">
        <f t="shared" si="23"/>
        <v>253286.44274277007</v>
      </c>
      <c r="J84">
        <f t="shared" si="24"/>
        <v>0</v>
      </c>
      <c r="K84" s="43">
        <f t="shared" si="25"/>
        <v>253286.44274277007</v>
      </c>
      <c r="L84">
        <f t="shared" si="26"/>
        <v>0</v>
      </c>
      <c r="M84">
        <f t="shared" si="27"/>
        <v>0</v>
      </c>
      <c r="N84" s="43">
        <f t="shared" si="28"/>
        <v>253286.44274277007</v>
      </c>
      <c r="O84">
        <f t="shared" si="29"/>
        <v>0</v>
      </c>
      <c r="P84">
        <f t="shared" si="30"/>
        <v>0</v>
      </c>
      <c r="Q84" s="43">
        <f t="shared" si="31"/>
        <v>253286.44274277007</v>
      </c>
      <c r="R84">
        <f t="shared" si="32"/>
        <v>0</v>
      </c>
      <c r="S84">
        <f t="shared" si="33"/>
        <v>0</v>
      </c>
      <c r="T84" s="43">
        <f t="shared" si="34"/>
        <v>253286.44274277007</v>
      </c>
      <c r="U84">
        <f t="shared" si="35"/>
        <v>0</v>
      </c>
      <c r="V84">
        <f t="shared" si="36"/>
        <v>0</v>
      </c>
      <c r="W84" s="43">
        <f t="shared" si="37"/>
        <v>253286.44274277007</v>
      </c>
      <c r="X84" s="43">
        <f t="shared" si="38"/>
        <v>0</v>
      </c>
      <c r="Y84" s="27">
        <f t="shared" si="39"/>
        <v>1939.072628578687</v>
      </c>
      <c r="Z84" s="27">
        <f t="shared" si="40"/>
        <v>251347.37011419138</v>
      </c>
      <c r="AA84">
        <f t="shared" si="41"/>
        <v>0</v>
      </c>
      <c r="AB84" s="27">
        <f t="shared" si="42"/>
        <v>251347.37011419138</v>
      </c>
      <c r="AD84" s="27">
        <f t="shared" si="43"/>
        <v>0</v>
      </c>
      <c r="AE84" s="27">
        <f t="shared" si="44"/>
        <v>251347.37011419138</v>
      </c>
      <c r="AF84" s="50"/>
      <c r="AG84" t="str">
        <f t="shared" si="45"/>
        <v>5302910</v>
      </c>
    </row>
    <row r="85" spans="1:33" x14ac:dyDescent="0.25">
      <c r="A85" s="7" t="s">
        <v>402</v>
      </c>
      <c r="B85" s="2" t="s">
        <v>821</v>
      </c>
      <c r="C85" s="4" t="s">
        <v>820</v>
      </c>
      <c r="D85">
        <f>_xlfn.IFNA(VLOOKUP(A85,'Prior Year data'!$A$1:$T$318,12,FALSE),0)</f>
        <v>2704339.627073179</v>
      </c>
      <c r="E85">
        <f>VLOOKUP(A85,'Basic HH'!$B$1:$Y$319,23,FALSE)</f>
        <v>1214218.426931327</v>
      </c>
      <c r="F85">
        <f>VLOOKUP(A85,'Conc. HH'!$B$1:$Y$319,23,FALSE)</f>
        <v>177420.51801786968</v>
      </c>
      <c r="G85">
        <f>VLOOKUP(A85,'Targeted HH'!$B$1:$Y$319,23,FALSE)</f>
        <v>734035.33313080983</v>
      </c>
      <c r="H85">
        <f>VLOOKUP(A85,'EFIG HH'!$B$1:$Y$319,23,FALSE)</f>
        <v>998682.15409378521</v>
      </c>
      <c r="I85">
        <f t="shared" si="23"/>
        <v>3124356.4321737918</v>
      </c>
      <c r="J85">
        <f t="shared" si="24"/>
        <v>3124356.4321737918</v>
      </c>
      <c r="K85" s="43">
        <f t="shared" si="25"/>
        <v>2839387.3863902832</v>
      </c>
      <c r="L85">
        <f t="shared" si="26"/>
        <v>0</v>
      </c>
      <c r="M85">
        <f t="shared" si="27"/>
        <v>135047.75931710424</v>
      </c>
      <c r="N85" s="43">
        <f t="shared" si="28"/>
        <v>2821735.4475515243</v>
      </c>
      <c r="O85">
        <f t="shared" si="29"/>
        <v>0</v>
      </c>
      <c r="P85">
        <f t="shared" si="30"/>
        <v>117395.82047834527</v>
      </c>
      <c r="Q85" s="43">
        <f t="shared" si="31"/>
        <v>2821735.4475515243</v>
      </c>
      <c r="R85">
        <f t="shared" si="32"/>
        <v>0</v>
      </c>
      <c r="S85">
        <f t="shared" si="33"/>
        <v>117395.82047834527</v>
      </c>
      <c r="T85" s="43">
        <f t="shared" si="34"/>
        <v>2821735.4475515243</v>
      </c>
      <c r="U85">
        <f t="shared" si="35"/>
        <v>0</v>
      </c>
      <c r="V85">
        <f t="shared" si="36"/>
        <v>117395.82047834527</v>
      </c>
      <c r="W85" s="43">
        <f t="shared" si="37"/>
        <v>2821735.4475515243</v>
      </c>
      <c r="X85" s="43">
        <f t="shared" si="38"/>
        <v>302620.98462226754</v>
      </c>
      <c r="Y85" s="27">
        <f t="shared" si="39"/>
        <v>21602.22202257438</v>
      </c>
      <c r="Z85" s="27">
        <f t="shared" si="40"/>
        <v>2800133.2255289499</v>
      </c>
      <c r="AA85">
        <f t="shared" si="41"/>
        <v>0</v>
      </c>
      <c r="AB85" s="27">
        <f t="shared" si="42"/>
        <v>2800133.2255289499</v>
      </c>
      <c r="AD85" s="27">
        <f t="shared" si="43"/>
        <v>0</v>
      </c>
      <c r="AE85" s="27">
        <f t="shared" si="44"/>
        <v>2800133.2255289499</v>
      </c>
      <c r="AF85" s="50"/>
      <c r="AG85" t="str">
        <f t="shared" si="45"/>
        <v>5302940</v>
      </c>
    </row>
    <row r="86" spans="1:33" x14ac:dyDescent="0.25">
      <c r="A86" s="7" t="s">
        <v>131</v>
      </c>
      <c r="B86" s="2" t="s">
        <v>823</v>
      </c>
      <c r="C86" s="4" t="s">
        <v>822</v>
      </c>
      <c r="D86">
        <f>_xlfn.IFNA(VLOOKUP(A86,'Prior Year data'!$A$1:$T$318,12,FALSE),0)</f>
        <v>88580.505307614731</v>
      </c>
      <c r="E86">
        <f>VLOOKUP(A86,'Basic HH'!$B$1:$Y$319,23,FALSE)</f>
        <v>36564.897675740009</v>
      </c>
      <c r="F86">
        <f>VLOOKUP(A86,'Conc. HH'!$B$1:$Y$319,23,FALSE)</f>
        <v>0</v>
      </c>
      <c r="G86">
        <f>VLOOKUP(A86,'Targeted HH'!$B$1:$Y$319,23,FALSE)</f>
        <v>0</v>
      </c>
      <c r="H86">
        <f>VLOOKUP(A86,'EFIG HH'!$B$1:$Y$319,23,FALSE)</f>
        <v>0</v>
      </c>
      <c r="I86">
        <f t="shared" si="23"/>
        <v>36564.897675740009</v>
      </c>
      <c r="J86">
        <f t="shared" si="24"/>
        <v>0</v>
      </c>
      <c r="K86" s="43">
        <f t="shared" si="25"/>
        <v>36564.897675740009</v>
      </c>
      <c r="L86">
        <f t="shared" si="26"/>
        <v>0</v>
      </c>
      <c r="M86">
        <f t="shared" si="27"/>
        <v>0</v>
      </c>
      <c r="N86" s="43">
        <f t="shared" si="28"/>
        <v>36564.897675740009</v>
      </c>
      <c r="O86">
        <f t="shared" si="29"/>
        <v>0</v>
      </c>
      <c r="P86">
        <f t="shared" si="30"/>
        <v>0</v>
      </c>
      <c r="Q86" s="43">
        <f t="shared" si="31"/>
        <v>36564.897675740009</v>
      </c>
      <c r="R86">
        <f t="shared" si="32"/>
        <v>0</v>
      </c>
      <c r="S86">
        <f t="shared" si="33"/>
        <v>0</v>
      </c>
      <c r="T86" s="43">
        <f t="shared" si="34"/>
        <v>36564.897675740009</v>
      </c>
      <c r="U86">
        <f t="shared" si="35"/>
        <v>0</v>
      </c>
      <c r="V86">
        <f t="shared" si="36"/>
        <v>0</v>
      </c>
      <c r="W86" s="43">
        <f t="shared" si="37"/>
        <v>36564.897675740009</v>
      </c>
      <c r="X86" s="43">
        <f t="shared" si="38"/>
        <v>0</v>
      </c>
      <c r="Y86" s="27">
        <f t="shared" si="39"/>
        <v>279.92809833021261</v>
      </c>
      <c r="Z86" s="27">
        <f t="shared" si="40"/>
        <v>36284.969577409793</v>
      </c>
      <c r="AA86">
        <f t="shared" si="41"/>
        <v>0</v>
      </c>
      <c r="AB86" s="27">
        <f t="shared" si="42"/>
        <v>36284.969577409793</v>
      </c>
      <c r="AD86" s="27">
        <f t="shared" si="43"/>
        <v>0</v>
      </c>
      <c r="AE86" s="27">
        <f t="shared" si="44"/>
        <v>36284.969577409793</v>
      </c>
      <c r="AF86" s="50"/>
      <c r="AG86" t="str">
        <f t="shared" si="45"/>
        <v>5302970</v>
      </c>
    </row>
    <row r="87" spans="1:33" x14ac:dyDescent="0.25">
      <c r="A87" s="7" t="s">
        <v>404</v>
      </c>
      <c r="B87" s="2" t="s">
        <v>825</v>
      </c>
      <c r="C87" s="4" t="s">
        <v>824</v>
      </c>
      <c r="D87">
        <f>_xlfn.IFNA(VLOOKUP(A87,'Prior Year data'!$A$1:$T$318,12,FALSE),0)</f>
        <v>72939.004953018142</v>
      </c>
      <c r="E87">
        <f>VLOOKUP(A87,'Basic HH'!$B$1:$Y$319,23,FALSE)</f>
        <v>28661.808361039897</v>
      </c>
      <c r="F87">
        <f>VLOOKUP(A87,'Conc. HH'!$B$1:$Y$319,23,FALSE)</f>
        <v>7713.2725565188184</v>
      </c>
      <c r="G87">
        <f>VLOOKUP(A87,'Targeted HH'!$B$1:$Y$319,23,FALSE)</f>
        <v>19112.950400887334</v>
      </c>
      <c r="H87">
        <f>VLOOKUP(A87,'EFIG HH'!$B$1:$Y$319,23,FALSE)</f>
        <v>26271.095252021722</v>
      </c>
      <c r="I87">
        <f t="shared" si="23"/>
        <v>81759.126570467764</v>
      </c>
      <c r="J87">
        <f t="shared" si="24"/>
        <v>81759.126570467764</v>
      </c>
      <c r="K87" s="43">
        <f t="shared" si="25"/>
        <v>74301.96834007054</v>
      </c>
      <c r="L87">
        <f t="shared" si="26"/>
        <v>0</v>
      </c>
      <c r="M87">
        <f t="shared" si="27"/>
        <v>1362.9633870523976</v>
      </c>
      <c r="N87" s="43">
        <f t="shared" si="28"/>
        <v>74123.816947782543</v>
      </c>
      <c r="O87">
        <f t="shared" si="29"/>
        <v>0</v>
      </c>
      <c r="P87">
        <f t="shared" si="30"/>
        <v>1184.8119947644009</v>
      </c>
      <c r="Q87" s="43">
        <f t="shared" si="31"/>
        <v>74123.816947782543</v>
      </c>
      <c r="R87">
        <f t="shared" si="32"/>
        <v>0</v>
      </c>
      <c r="S87">
        <f t="shared" si="33"/>
        <v>1184.8119947644009</v>
      </c>
      <c r="T87" s="43">
        <f t="shared" si="34"/>
        <v>74123.816947782543</v>
      </c>
      <c r="U87">
        <f t="shared" si="35"/>
        <v>0</v>
      </c>
      <c r="V87">
        <f t="shared" si="36"/>
        <v>1184.8119947644009</v>
      </c>
      <c r="W87" s="43">
        <f t="shared" si="37"/>
        <v>74123.816947782543</v>
      </c>
      <c r="X87" s="43">
        <f t="shared" si="38"/>
        <v>7635.3096226852213</v>
      </c>
      <c r="Y87" s="27">
        <f t="shared" si="39"/>
        <v>567.46607916631126</v>
      </c>
      <c r="Z87" s="27">
        <f t="shared" si="40"/>
        <v>73556.350868616239</v>
      </c>
      <c r="AA87">
        <f t="shared" si="41"/>
        <v>0</v>
      </c>
      <c r="AB87" s="27">
        <f t="shared" si="42"/>
        <v>73556.350868616239</v>
      </c>
      <c r="AD87" s="27">
        <f t="shared" si="43"/>
        <v>0</v>
      </c>
      <c r="AE87" s="27">
        <f t="shared" si="44"/>
        <v>73556.350868616239</v>
      </c>
      <c r="AF87" s="50"/>
      <c r="AG87" t="str">
        <f t="shared" si="45"/>
        <v>5303000</v>
      </c>
    </row>
    <row r="88" spans="1:33" x14ac:dyDescent="0.25">
      <c r="A88" s="7" t="s">
        <v>133</v>
      </c>
      <c r="B88" s="2" t="s">
        <v>827</v>
      </c>
      <c r="C88" s="4" t="s">
        <v>826</v>
      </c>
      <c r="D88">
        <f>_xlfn.IFNA(VLOOKUP(A88,'Prior Year data'!$A$1:$T$318,12,FALSE),0)</f>
        <v>33319.070302997512</v>
      </c>
      <c r="E88">
        <f>VLOOKUP(A88,'Basic HH'!$B$1:$Y$319,23,FALSE)</f>
        <v>0</v>
      </c>
      <c r="F88">
        <f>VLOOKUP(A88,'Conc. HH'!$B$1:$Y$319,23,FALSE)</f>
        <v>2589.9621438447507</v>
      </c>
      <c r="G88">
        <f>VLOOKUP(A88,'Targeted HH'!$B$1:$Y$319,23,FALSE)</f>
        <v>0</v>
      </c>
      <c r="H88">
        <f>VLOOKUP(A88,'EFIG HH'!$B$1:$Y$319,23,FALSE)</f>
        <v>0</v>
      </c>
      <c r="I88">
        <f t="shared" si="23"/>
        <v>2589.9621438447507</v>
      </c>
      <c r="J88">
        <f t="shared" si="24"/>
        <v>0</v>
      </c>
      <c r="K88" s="43">
        <f t="shared" si="25"/>
        <v>2589.9621438447507</v>
      </c>
      <c r="L88">
        <f t="shared" si="26"/>
        <v>0</v>
      </c>
      <c r="M88">
        <f t="shared" si="27"/>
        <v>0</v>
      </c>
      <c r="N88" s="43">
        <f t="shared" si="28"/>
        <v>2589.9621438447507</v>
      </c>
      <c r="O88">
        <f t="shared" si="29"/>
        <v>0</v>
      </c>
      <c r="P88">
        <f t="shared" si="30"/>
        <v>0</v>
      </c>
      <c r="Q88" s="43">
        <f t="shared" si="31"/>
        <v>2589.9621438447507</v>
      </c>
      <c r="R88">
        <f t="shared" si="32"/>
        <v>0</v>
      </c>
      <c r="S88">
        <f t="shared" si="33"/>
        <v>0</v>
      </c>
      <c r="T88" s="43">
        <f t="shared" si="34"/>
        <v>2589.9621438447507</v>
      </c>
      <c r="U88">
        <f t="shared" si="35"/>
        <v>0</v>
      </c>
      <c r="V88">
        <f t="shared" si="36"/>
        <v>0</v>
      </c>
      <c r="W88" s="43">
        <f t="shared" si="37"/>
        <v>2589.9621438447507</v>
      </c>
      <c r="X88" s="43">
        <f t="shared" si="38"/>
        <v>0</v>
      </c>
      <c r="Y88" s="27">
        <f t="shared" si="39"/>
        <v>19.82784648006071</v>
      </c>
      <c r="Z88" s="27">
        <f t="shared" si="40"/>
        <v>2570.1342973646902</v>
      </c>
      <c r="AA88">
        <f t="shared" si="41"/>
        <v>0</v>
      </c>
      <c r="AB88" s="27">
        <f t="shared" si="42"/>
        <v>2570.1342973646902</v>
      </c>
      <c r="AD88" s="27">
        <f t="shared" si="43"/>
        <v>0</v>
      </c>
      <c r="AE88" s="27">
        <f t="shared" si="44"/>
        <v>2570.1342973646902</v>
      </c>
      <c r="AF88" s="50"/>
      <c r="AG88" t="str">
        <f t="shared" si="45"/>
        <v>5303030</v>
      </c>
    </row>
    <row r="89" spans="1:33" x14ac:dyDescent="0.25">
      <c r="A89" s="7" t="s">
        <v>406</v>
      </c>
      <c r="B89" s="2" t="s">
        <v>829</v>
      </c>
      <c r="C89" s="4" t="s">
        <v>828</v>
      </c>
      <c r="D89">
        <f>_xlfn.IFNA(VLOOKUP(A89,'Prior Year data'!$A$1:$T$318,12,FALSE),0)</f>
        <v>485919.80312827695</v>
      </c>
      <c r="E89">
        <f>VLOOKUP(A89,'Basic HH'!$B$1:$Y$319,23,FALSE)</f>
        <v>170349.40564227104</v>
      </c>
      <c r="F89">
        <f>VLOOKUP(A89,'Conc. HH'!$B$1:$Y$319,23,FALSE)</f>
        <v>44884.260885132906</v>
      </c>
      <c r="G89">
        <f>VLOOKUP(A89,'Targeted HH'!$B$1:$Y$319,23,FALSE)</f>
        <v>101972.00712497588</v>
      </c>
      <c r="H89">
        <f>VLOOKUP(A89,'EFIG HH'!$B$1:$Y$319,23,FALSE)</f>
        <v>140612.63328413441</v>
      </c>
      <c r="I89">
        <f t="shared" si="23"/>
        <v>457818.30693651421</v>
      </c>
      <c r="J89">
        <f t="shared" si="24"/>
        <v>0</v>
      </c>
      <c r="K89" s="43">
        <f t="shared" si="25"/>
        <v>457818.30693651421</v>
      </c>
      <c r="L89">
        <f t="shared" si="26"/>
        <v>0</v>
      </c>
      <c r="M89">
        <f t="shared" si="27"/>
        <v>0</v>
      </c>
      <c r="N89" s="43">
        <f t="shared" si="28"/>
        <v>457818.30693651421</v>
      </c>
      <c r="O89">
        <f t="shared" si="29"/>
        <v>0</v>
      </c>
      <c r="P89">
        <f t="shared" si="30"/>
        <v>0</v>
      </c>
      <c r="Q89" s="43">
        <f t="shared" si="31"/>
        <v>457818.30693651421</v>
      </c>
      <c r="R89">
        <f t="shared" si="32"/>
        <v>0</v>
      </c>
      <c r="S89">
        <f t="shared" si="33"/>
        <v>0</v>
      </c>
      <c r="T89" s="43">
        <f t="shared" si="34"/>
        <v>457818.30693651421</v>
      </c>
      <c r="U89">
        <f t="shared" si="35"/>
        <v>0</v>
      </c>
      <c r="V89">
        <f t="shared" si="36"/>
        <v>0</v>
      </c>
      <c r="W89" s="43">
        <f t="shared" si="37"/>
        <v>457818.30693651421</v>
      </c>
      <c r="X89" s="43">
        <f t="shared" si="38"/>
        <v>0</v>
      </c>
      <c r="Y89" s="27">
        <f t="shared" si="39"/>
        <v>3504.8972153017885</v>
      </c>
      <c r="Z89" s="27">
        <f t="shared" si="40"/>
        <v>454313.4097212124</v>
      </c>
      <c r="AA89">
        <f t="shared" si="41"/>
        <v>0</v>
      </c>
      <c r="AB89" s="27">
        <f t="shared" si="42"/>
        <v>454313.4097212124</v>
      </c>
      <c r="AD89" s="27">
        <f t="shared" si="43"/>
        <v>0</v>
      </c>
      <c r="AE89" s="27">
        <f t="shared" si="44"/>
        <v>454313.4097212124</v>
      </c>
      <c r="AF89" s="50"/>
      <c r="AG89" t="str">
        <f t="shared" si="45"/>
        <v>5303090</v>
      </c>
    </row>
    <row r="90" spans="1:33" x14ac:dyDescent="0.25">
      <c r="A90" s="7" t="s">
        <v>408</v>
      </c>
      <c r="B90" s="2" t="s">
        <v>831</v>
      </c>
      <c r="C90" s="4" t="s">
        <v>830</v>
      </c>
      <c r="D90">
        <f>_xlfn.IFNA(VLOOKUP(A90,'Prior Year data'!$A$1:$T$318,12,FALSE),0)</f>
        <v>207173.00579546459</v>
      </c>
      <c r="E90">
        <f>VLOOKUP(A90,'Basic HH'!$B$1:$Y$319,23,FALSE)</f>
        <v>106830.37661842146</v>
      </c>
      <c r="F90">
        <f>VLOOKUP(A90,'Conc. HH'!$B$1:$Y$319,23,FALSE)</f>
        <v>28749.470437933775</v>
      </c>
      <c r="G90">
        <f>VLOOKUP(A90,'Targeted HH'!$B$1:$Y$319,23,FALSE)</f>
        <v>57300.772015934701</v>
      </c>
      <c r="H90">
        <f>VLOOKUP(A90,'EFIG HH'!$B$1:$Y$319,23,FALSE)</f>
        <v>77959.81452831866</v>
      </c>
      <c r="I90">
        <f t="shared" si="23"/>
        <v>270840.43360060861</v>
      </c>
      <c r="J90">
        <f t="shared" si="24"/>
        <v>270840.43360060861</v>
      </c>
      <c r="K90" s="43">
        <f t="shared" si="25"/>
        <v>246137.3814366601</v>
      </c>
      <c r="L90">
        <f t="shared" si="26"/>
        <v>0</v>
      </c>
      <c r="M90">
        <f t="shared" si="27"/>
        <v>38964.375641195511</v>
      </c>
      <c r="N90" s="43">
        <f t="shared" si="28"/>
        <v>241044.39226611188</v>
      </c>
      <c r="O90">
        <f t="shared" si="29"/>
        <v>0</v>
      </c>
      <c r="P90">
        <f t="shared" si="30"/>
        <v>33871.386470647296</v>
      </c>
      <c r="Q90" s="43">
        <f t="shared" si="31"/>
        <v>241044.39226611188</v>
      </c>
      <c r="R90">
        <f t="shared" si="32"/>
        <v>0</v>
      </c>
      <c r="S90">
        <f t="shared" si="33"/>
        <v>33871.386470647296</v>
      </c>
      <c r="T90" s="43">
        <f t="shared" si="34"/>
        <v>241044.39226611188</v>
      </c>
      <c r="U90">
        <f t="shared" si="35"/>
        <v>0</v>
      </c>
      <c r="V90">
        <f t="shared" si="36"/>
        <v>33871.386470647296</v>
      </c>
      <c r="W90" s="43">
        <f t="shared" si="37"/>
        <v>241044.39226611188</v>
      </c>
      <c r="X90" s="43">
        <f t="shared" si="38"/>
        <v>29796.041334496724</v>
      </c>
      <c r="Y90" s="27">
        <f t="shared" si="39"/>
        <v>1845.3517616427716</v>
      </c>
      <c r="Z90" s="27">
        <f t="shared" si="40"/>
        <v>239199.0405044691</v>
      </c>
      <c r="AA90">
        <f t="shared" si="41"/>
        <v>0</v>
      </c>
      <c r="AB90" s="27">
        <f t="shared" si="42"/>
        <v>239199.0405044691</v>
      </c>
      <c r="AD90" s="27">
        <f t="shared" si="43"/>
        <v>0</v>
      </c>
      <c r="AE90" s="27">
        <f t="shared" si="44"/>
        <v>239199.0405044691</v>
      </c>
      <c r="AF90" s="50"/>
      <c r="AG90" t="str">
        <f t="shared" si="45"/>
        <v>5303130</v>
      </c>
    </row>
    <row r="91" spans="1:33" x14ac:dyDescent="0.25">
      <c r="A91" s="7" t="s">
        <v>410</v>
      </c>
      <c r="B91" s="2" t="s">
        <v>833</v>
      </c>
      <c r="C91" s="4" t="s">
        <v>832</v>
      </c>
      <c r="D91">
        <f>_xlfn.IFNA(VLOOKUP(A91,'Prior Year data'!$A$1:$T$318,12,FALSE),0)</f>
        <v>1285645.0296456486</v>
      </c>
      <c r="E91">
        <f>VLOOKUP(A91,'Basic HH'!$B$1:$Y$319,23,FALSE)</f>
        <v>714808.12973138923</v>
      </c>
      <c r="F91">
        <f>VLOOKUP(A91,'Conc. HH'!$B$1:$Y$319,23,FALSE)</f>
        <v>192364.34284893906</v>
      </c>
      <c r="G91">
        <f>VLOOKUP(A91,'Targeted HH'!$B$1:$Y$319,23,FALSE)</f>
        <v>420737.44417026185</v>
      </c>
      <c r="H91">
        <f>VLOOKUP(A91,'EFIG HH'!$B$1:$Y$319,23,FALSE)</f>
        <v>572428.81655261049</v>
      </c>
      <c r="I91">
        <f t="shared" si="23"/>
        <v>1900338.7333032009</v>
      </c>
      <c r="J91">
        <f t="shared" si="24"/>
        <v>1900338.7333032009</v>
      </c>
      <c r="K91" s="43">
        <f t="shared" si="25"/>
        <v>1727010.9689296347</v>
      </c>
      <c r="L91">
        <f t="shared" si="26"/>
        <v>0</v>
      </c>
      <c r="M91">
        <f t="shared" si="27"/>
        <v>441365.93928398611</v>
      </c>
      <c r="N91" s="43">
        <f t="shared" si="28"/>
        <v>1669320.5295980317</v>
      </c>
      <c r="O91">
        <f t="shared" si="29"/>
        <v>0</v>
      </c>
      <c r="P91">
        <f t="shared" si="30"/>
        <v>383675.49995238311</v>
      </c>
      <c r="Q91" s="43">
        <f t="shared" si="31"/>
        <v>1669320.5295980317</v>
      </c>
      <c r="R91">
        <f t="shared" si="32"/>
        <v>0</v>
      </c>
      <c r="S91">
        <f t="shared" si="33"/>
        <v>383675.49995238311</v>
      </c>
      <c r="T91" s="43">
        <f t="shared" si="34"/>
        <v>1669320.5295980317</v>
      </c>
      <c r="U91">
        <f t="shared" si="35"/>
        <v>0</v>
      </c>
      <c r="V91">
        <f t="shared" si="36"/>
        <v>383675.49995238311</v>
      </c>
      <c r="W91" s="43">
        <f t="shared" si="37"/>
        <v>1669320.5295980317</v>
      </c>
      <c r="X91" s="43">
        <f t="shared" si="38"/>
        <v>231018.20370516926</v>
      </c>
      <c r="Y91" s="27">
        <f t="shared" si="39"/>
        <v>12779.735512947891</v>
      </c>
      <c r="Z91" s="27">
        <f t="shared" si="40"/>
        <v>1656540.7940850838</v>
      </c>
      <c r="AA91">
        <f t="shared" si="41"/>
        <v>0</v>
      </c>
      <c r="AB91" s="27">
        <f t="shared" si="42"/>
        <v>1656540.7940850838</v>
      </c>
      <c r="AD91" s="27">
        <f t="shared" si="43"/>
        <v>0</v>
      </c>
      <c r="AE91" s="27">
        <f t="shared" si="44"/>
        <v>1656540.7940850838</v>
      </c>
      <c r="AF91" s="50"/>
      <c r="AG91" t="str">
        <f t="shared" si="45"/>
        <v>5303150</v>
      </c>
    </row>
    <row r="92" spans="1:33" x14ac:dyDescent="0.25">
      <c r="A92" s="7" t="s">
        <v>412</v>
      </c>
      <c r="B92" s="2" t="s">
        <v>835</v>
      </c>
      <c r="C92" s="4" t="s">
        <v>834</v>
      </c>
      <c r="D92">
        <f>_xlfn.IFNA(VLOOKUP(A92,'Prior Year data'!$A$1:$T$318,12,FALSE),0)</f>
        <v>860121.4717899774</v>
      </c>
      <c r="E92">
        <f>VLOOKUP(A92,'Basic HH'!$B$1:$Y$319,23,FALSE)</f>
        <v>287271.04315128434</v>
      </c>
      <c r="F92">
        <f>VLOOKUP(A92,'Conc. HH'!$B$1:$Y$319,23,FALSE)</f>
        <v>75691.185401746814</v>
      </c>
      <c r="G92">
        <f>VLOOKUP(A92,'Targeted HH'!$B$1:$Y$319,23,FALSE)</f>
        <v>177384.56009816015</v>
      </c>
      <c r="H92">
        <f>VLOOKUP(A92,'EFIG HH'!$B$1:$Y$319,23,FALSE)</f>
        <v>243818.27906383268</v>
      </c>
      <c r="I92">
        <f t="shared" si="23"/>
        <v>784165.06771502399</v>
      </c>
      <c r="J92">
        <f t="shared" si="24"/>
        <v>0</v>
      </c>
      <c r="K92" s="43">
        <f t="shared" si="25"/>
        <v>784165.06771502399</v>
      </c>
      <c r="L92">
        <f t="shared" si="26"/>
        <v>0</v>
      </c>
      <c r="M92">
        <f t="shared" si="27"/>
        <v>0</v>
      </c>
      <c r="N92" s="43">
        <f t="shared" si="28"/>
        <v>784165.06771502399</v>
      </c>
      <c r="O92">
        <f t="shared" si="29"/>
        <v>0</v>
      </c>
      <c r="P92">
        <f t="shared" si="30"/>
        <v>0</v>
      </c>
      <c r="Q92" s="43">
        <f t="shared" si="31"/>
        <v>784165.06771502399</v>
      </c>
      <c r="R92">
        <f t="shared" si="32"/>
        <v>0</v>
      </c>
      <c r="S92">
        <f t="shared" si="33"/>
        <v>0</v>
      </c>
      <c r="T92" s="43">
        <f t="shared" si="34"/>
        <v>784165.06771502399</v>
      </c>
      <c r="U92">
        <f t="shared" si="35"/>
        <v>0</v>
      </c>
      <c r="V92">
        <f t="shared" si="36"/>
        <v>0</v>
      </c>
      <c r="W92" s="43">
        <f t="shared" si="37"/>
        <v>784165.06771502399</v>
      </c>
      <c r="X92" s="43">
        <f t="shared" si="38"/>
        <v>0</v>
      </c>
      <c r="Y92" s="27">
        <f t="shared" si="39"/>
        <v>6003.2941464537153</v>
      </c>
      <c r="Z92" s="27">
        <f t="shared" si="40"/>
        <v>778161.77356857026</v>
      </c>
      <c r="AA92">
        <f t="shared" si="41"/>
        <v>0</v>
      </c>
      <c r="AB92" s="27">
        <f t="shared" si="42"/>
        <v>778161.77356857026</v>
      </c>
      <c r="AD92" s="27">
        <f t="shared" si="43"/>
        <v>0</v>
      </c>
      <c r="AE92" s="27">
        <f t="shared" si="44"/>
        <v>778161.77356857026</v>
      </c>
      <c r="AF92" s="50"/>
      <c r="AG92" t="str">
        <f t="shared" si="45"/>
        <v>5303180</v>
      </c>
    </row>
    <row r="93" spans="1:33" x14ac:dyDescent="0.25">
      <c r="A93" s="7" t="s">
        <v>135</v>
      </c>
      <c r="B93" s="2" t="s">
        <v>837</v>
      </c>
      <c r="C93" s="4" t="s">
        <v>836</v>
      </c>
      <c r="D93">
        <f>_xlfn.IFNA(VLOOKUP(A93,'Prior Year data'!$A$1:$T$318,12,FALSE),0)</f>
        <v>350485.68670256698</v>
      </c>
      <c r="E93">
        <f>VLOOKUP(A93,'Basic HH'!$B$1:$Y$319,23,FALSE)</f>
        <v>158942.75545667583</v>
      </c>
      <c r="F93">
        <f>VLOOKUP(A93,'Conc. HH'!$B$1:$Y$319,23,FALSE)</f>
        <v>0</v>
      </c>
      <c r="G93">
        <f>VLOOKUP(A93,'Targeted HH'!$B$1:$Y$319,23,FALSE)</f>
        <v>76693.386219205393</v>
      </c>
      <c r="H93">
        <f>VLOOKUP(A93,'EFIG HH'!$B$1:$Y$319,23,FALSE)</f>
        <v>104344.18167237377</v>
      </c>
      <c r="I93">
        <f t="shared" si="23"/>
        <v>339980.32334825501</v>
      </c>
      <c r="J93">
        <f t="shared" si="24"/>
        <v>0</v>
      </c>
      <c r="K93" s="43">
        <f t="shared" si="25"/>
        <v>339980.32334825501</v>
      </c>
      <c r="L93">
        <f t="shared" si="26"/>
        <v>0</v>
      </c>
      <c r="M93">
        <f t="shared" si="27"/>
        <v>0</v>
      </c>
      <c r="N93" s="43">
        <f t="shared" si="28"/>
        <v>339980.32334825501</v>
      </c>
      <c r="O93">
        <f t="shared" si="29"/>
        <v>0</v>
      </c>
      <c r="P93">
        <f t="shared" si="30"/>
        <v>0</v>
      </c>
      <c r="Q93" s="43">
        <f t="shared" si="31"/>
        <v>339980.32334825501</v>
      </c>
      <c r="R93">
        <f t="shared" si="32"/>
        <v>0</v>
      </c>
      <c r="S93">
        <f t="shared" si="33"/>
        <v>0</v>
      </c>
      <c r="T93" s="43">
        <f t="shared" si="34"/>
        <v>339980.32334825501</v>
      </c>
      <c r="U93">
        <f t="shared" si="35"/>
        <v>0</v>
      </c>
      <c r="V93">
        <f t="shared" si="36"/>
        <v>0</v>
      </c>
      <c r="W93" s="43">
        <f t="shared" si="37"/>
        <v>339980.32334825501</v>
      </c>
      <c r="X93" s="43">
        <f t="shared" si="38"/>
        <v>0</v>
      </c>
      <c r="Y93" s="27">
        <f t="shared" si="39"/>
        <v>2602.7707291441702</v>
      </c>
      <c r="Z93" s="27">
        <f t="shared" si="40"/>
        <v>337377.55261911085</v>
      </c>
      <c r="AA93">
        <f t="shared" si="41"/>
        <v>0</v>
      </c>
      <c r="AB93" s="27">
        <f t="shared" si="42"/>
        <v>337377.55261911085</v>
      </c>
      <c r="AD93" s="27">
        <f t="shared" si="43"/>
        <v>0</v>
      </c>
      <c r="AE93" s="27">
        <f t="shared" si="44"/>
        <v>337377.55261911085</v>
      </c>
      <c r="AF93" s="50"/>
      <c r="AG93" t="str">
        <f t="shared" si="45"/>
        <v>5303210</v>
      </c>
    </row>
    <row r="94" spans="1:33" x14ac:dyDescent="0.25">
      <c r="A94" s="7" t="s">
        <v>414</v>
      </c>
      <c r="B94" s="2" t="s">
        <v>839</v>
      </c>
      <c r="C94" s="4" t="s">
        <v>838</v>
      </c>
      <c r="D94">
        <f>_xlfn.IFNA(VLOOKUP(A94,'Prior Year data'!$A$1:$T$318,12,FALSE),0)</f>
        <v>77218.093728898762</v>
      </c>
      <c r="E94">
        <f>VLOOKUP(A94,'Basic HH'!$B$1:$Y$319,23,FALSE)</f>
        <v>30398.88765564837</v>
      </c>
      <c r="F94">
        <f>VLOOKUP(A94,'Conc. HH'!$B$1:$Y$319,23,FALSE)</f>
        <v>5726.8648220957939</v>
      </c>
      <c r="G94">
        <f>VLOOKUP(A94,'Targeted HH'!$B$1:$Y$319,23,FALSE)</f>
        <v>14668.133976350755</v>
      </c>
      <c r="H94">
        <f>VLOOKUP(A94,'EFIG HH'!$B$1:$Y$319,23,FALSE)</f>
        <v>19956.537478322862</v>
      </c>
      <c r="I94">
        <f t="shared" si="23"/>
        <v>70750.423932417791</v>
      </c>
      <c r="J94">
        <f t="shared" si="24"/>
        <v>0</v>
      </c>
      <c r="K94" s="43">
        <f t="shared" si="25"/>
        <v>70750.423932417791</v>
      </c>
      <c r="L94">
        <f t="shared" si="26"/>
        <v>0</v>
      </c>
      <c r="M94">
        <f t="shared" si="27"/>
        <v>0</v>
      </c>
      <c r="N94" s="43">
        <f t="shared" si="28"/>
        <v>70750.423932417791</v>
      </c>
      <c r="O94">
        <f t="shared" si="29"/>
        <v>0</v>
      </c>
      <c r="P94">
        <f t="shared" si="30"/>
        <v>0</v>
      </c>
      <c r="Q94" s="43">
        <f t="shared" si="31"/>
        <v>70750.423932417791</v>
      </c>
      <c r="R94">
        <f t="shared" si="32"/>
        <v>0</v>
      </c>
      <c r="S94">
        <f t="shared" si="33"/>
        <v>0</v>
      </c>
      <c r="T94" s="43">
        <f t="shared" si="34"/>
        <v>70750.423932417791</v>
      </c>
      <c r="U94">
        <f t="shared" si="35"/>
        <v>0</v>
      </c>
      <c r="V94">
        <f t="shared" si="36"/>
        <v>0</v>
      </c>
      <c r="W94" s="43">
        <f t="shared" si="37"/>
        <v>70750.423932417791</v>
      </c>
      <c r="X94" s="43">
        <f t="shared" si="38"/>
        <v>0</v>
      </c>
      <c r="Y94" s="27">
        <f t="shared" si="39"/>
        <v>541.64055928968912</v>
      </c>
      <c r="Z94" s="27">
        <f t="shared" si="40"/>
        <v>70208.783373128099</v>
      </c>
      <c r="AA94">
        <f t="shared" si="41"/>
        <v>0</v>
      </c>
      <c r="AB94" s="27">
        <f t="shared" si="42"/>
        <v>70208.783373128099</v>
      </c>
      <c r="AD94" s="27">
        <f t="shared" si="43"/>
        <v>0</v>
      </c>
      <c r="AE94" s="27">
        <f t="shared" si="44"/>
        <v>70208.783373128099</v>
      </c>
      <c r="AF94" s="50"/>
      <c r="AG94" t="str">
        <f t="shared" si="45"/>
        <v>5303240</v>
      </c>
    </row>
    <row r="95" spans="1:33" x14ac:dyDescent="0.25">
      <c r="A95" s="7" t="s">
        <v>416</v>
      </c>
      <c r="B95" s="2" t="s">
        <v>841</v>
      </c>
      <c r="C95" s="4" t="s">
        <v>840</v>
      </c>
      <c r="D95">
        <f>_xlfn.IFNA(VLOOKUP(A95,'Prior Year data'!$A$1:$T$318,12,FALSE),0)</f>
        <v>88911.951451279252</v>
      </c>
      <c r="E95">
        <f>VLOOKUP(A95,'Basic HH'!$B$1:$Y$319,23,FALSE)</f>
        <v>33295.565648262062</v>
      </c>
      <c r="F95">
        <f>VLOOKUP(A95,'Conc. HH'!$B$1:$Y$319,23,FALSE)</f>
        <v>8772.8328093668861</v>
      </c>
      <c r="G95">
        <f>VLOOKUP(A95,'Targeted HH'!$B$1:$Y$319,23,FALSE)</f>
        <v>20238.793484930913</v>
      </c>
      <c r="H95">
        <f>VLOOKUP(A95,'EFIG HH'!$B$1:$Y$319,23,FALSE)</f>
        <v>27818.586888810871</v>
      </c>
      <c r="I95">
        <f t="shared" si="23"/>
        <v>90125.778831370728</v>
      </c>
      <c r="J95">
        <f t="shared" si="24"/>
        <v>90125.778831370728</v>
      </c>
      <c r="K95" s="43">
        <f t="shared" si="25"/>
        <v>81905.507632606721</v>
      </c>
      <c r="L95">
        <f t="shared" si="26"/>
        <v>7006.4438186725311</v>
      </c>
      <c r="M95">
        <f t="shared" si="27"/>
        <v>0</v>
      </c>
      <c r="N95" s="43">
        <f t="shared" si="28"/>
        <v>88911.951451279252</v>
      </c>
      <c r="O95">
        <f t="shared" si="29"/>
        <v>0</v>
      </c>
      <c r="P95">
        <f t="shared" si="30"/>
        <v>0</v>
      </c>
      <c r="Q95" s="43">
        <f t="shared" si="31"/>
        <v>88911.951451279252</v>
      </c>
      <c r="R95">
        <f t="shared" si="32"/>
        <v>0</v>
      </c>
      <c r="S95">
        <f t="shared" si="33"/>
        <v>0</v>
      </c>
      <c r="T95" s="43">
        <f t="shared" si="34"/>
        <v>88911.951451279252</v>
      </c>
      <c r="U95">
        <f t="shared" si="35"/>
        <v>0</v>
      </c>
      <c r="V95">
        <f t="shared" si="36"/>
        <v>0</v>
      </c>
      <c r="W95" s="43">
        <f t="shared" si="37"/>
        <v>88911.951451279252</v>
      </c>
      <c r="X95" s="43">
        <f t="shared" si="38"/>
        <v>1213.8273800914758</v>
      </c>
      <c r="Y95" s="27">
        <f t="shared" si="39"/>
        <v>680.67887702850192</v>
      </c>
      <c r="Z95" s="27">
        <f t="shared" si="40"/>
        <v>88231.272574250746</v>
      </c>
      <c r="AA95">
        <f t="shared" si="41"/>
        <v>0</v>
      </c>
      <c r="AB95" s="27">
        <f t="shared" si="42"/>
        <v>88231.272574250746</v>
      </c>
      <c r="AD95" s="27">
        <f t="shared" si="43"/>
        <v>0</v>
      </c>
      <c r="AE95" s="27">
        <f t="shared" si="44"/>
        <v>88231.272574250746</v>
      </c>
      <c r="AF95" s="50"/>
      <c r="AG95" t="str">
        <f t="shared" si="45"/>
        <v>5303270</v>
      </c>
    </row>
    <row r="96" spans="1:33" x14ac:dyDescent="0.25">
      <c r="A96" s="7" t="s">
        <v>137</v>
      </c>
      <c r="B96" s="2" t="s">
        <v>843</v>
      </c>
      <c r="C96" s="4" t="s">
        <v>842</v>
      </c>
      <c r="D96">
        <f>_xlfn.IFNA(VLOOKUP(A96,'Prior Year data'!$A$1:$T$318,12,FALSE),0)</f>
        <v>27490.501647190784</v>
      </c>
      <c r="E96">
        <f>VLOOKUP(A96,'Basic HH'!$B$1:$Y$319,23,FALSE)</f>
        <v>11700.767256236799</v>
      </c>
      <c r="F96">
        <f>VLOOKUP(A96,'Conc. HH'!$B$1:$Y$319,23,FALSE)</f>
        <v>0</v>
      </c>
      <c r="G96">
        <f>VLOOKUP(A96,'Targeted HH'!$B$1:$Y$319,23,FALSE)</f>
        <v>5597.2166266354961</v>
      </c>
      <c r="H96">
        <f>VLOOKUP(A96,'EFIG HH'!$B$1:$Y$319,23,FALSE)</f>
        <v>7693.4752646935249</v>
      </c>
      <c r="I96">
        <f t="shared" si="23"/>
        <v>24991.459147565816</v>
      </c>
      <c r="J96">
        <f t="shared" si="24"/>
        <v>0</v>
      </c>
      <c r="K96" s="43">
        <f t="shared" si="25"/>
        <v>24991.459147565816</v>
      </c>
      <c r="L96">
        <f t="shared" si="26"/>
        <v>0</v>
      </c>
      <c r="M96">
        <f t="shared" si="27"/>
        <v>0</v>
      </c>
      <c r="N96" s="43">
        <f t="shared" si="28"/>
        <v>24991.459147565816</v>
      </c>
      <c r="O96">
        <f t="shared" si="29"/>
        <v>0</v>
      </c>
      <c r="P96">
        <f t="shared" si="30"/>
        <v>0</v>
      </c>
      <c r="Q96" s="43">
        <f t="shared" si="31"/>
        <v>24991.459147565816</v>
      </c>
      <c r="R96">
        <f t="shared" si="32"/>
        <v>0</v>
      </c>
      <c r="S96">
        <f t="shared" si="33"/>
        <v>0</v>
      </c>
      <c r="T96" s="43">
        <f t="shared" si="34"/>
        <v>24991.459147565816</v>
      </c>
      <c r="U96">
        <f t="shared" si="35"/>
        <v>0</v>
      </c>
      <c r="V96">
        <f t="shared" si="36"/>
        <v>0</v>
      </c>
      <c r="W96" s="43">
        <f t="shared" si="37"/>
        <v>24991.459147565816</v>
      </c>
      <c r="X96" s="43">
        <f t="shared" si="38"/>
        <v>0</v>
      </c>
      <c r="Y96" s="27">
        <f t="shared" si="39"/>
        <v>191.32589117887397</v>
      </c>
      <c r="Z96" s="27">
        <f t="shared" si="40"/>
        <v>24800.133256386944</v>
      </c>
      <c r="AA96">
        <f t="shared" si="41"/>
        <v>0</v>
      </c>
      <c r="AB96" s="27">
        <f t="shared" si="42"/>
        <v>24800.133256386944</v>
      </c>
      <c r="AD96" s="27">
        <f t="shared" si="43"/>
        <v>0</v>
      </c>
      <c r="AE96" s="27">
        <f t="shared" si="44"/>
        <v>24800.133256386944</v>
      </c>
      <c r="AF96" s="50"/>
      <c r="AG96" t="str">
        <f t="shared" si="45"/>
        <v>5303300</v>
      </c>
    </row>
    <row r="97" spans="1:33" x14ac:dyDescent="0.25">
      <c r="A97" s="7" t="s">
        <v>139</v>
      </c>
      <c r="B97" s="2" t="s">
        <v>845</v>
      </c>
      <c r="C97" s="4" t="s">
        <v>844</v>
      </c>
      <c r="D97">
        <f>_xlfn.IFNA(VLOOKUP(A97,'Prior Year data'!$A$1:$T$318,12,FALSE),0)</f>
        <v>104329.46339196703</v>
      </c>
      <c r="E97">
        <f>VLOOKUP(A97,'Basic HH'!$B$1:$Y$319,23,FALSE)</f>
        <v>41444.177312723994</v>
      </c>
      <c r="F97">
        <f>VLOOKUP(A97,'Conc. HH'!$B$1:$Y$319,23,FALSE)</f>
        <v>0</v>
      </c>
      <c r="G97">
        <f>VLOOKUP(A97,'Targeted HH'!$B$1:$Y$319,23,FALSE)</f>
        <v>20145.782479523343</v>
      </c>
      <c r="H97">
        <f>VLOOKUP(A97,'EFIG HH'!$B$1:$Y$319,23,FALSE)</f>
        <v>27779.697623715147</v>
      </c>
      <c r="I97">
        <f t="shared" si="23"/>
        <v>89369.657415962487</v>
      </c>
      <c r="J97">
        <f t="shared" si="24"/>
        <v>0</v>
      </c>
      <c r="K97" s="43">
        <f t="shared" si="25"/>
        <v>89369.657415962487</v>
      </c>
      <c r="L97">
        <f t="shared" si="26"/>
        <v>0</v>
      </c>
      <c r="M97">
        <f t="shared" si="27"/>
        <v>0</v>
      </c>
      <c r="N97" s="43">
        <f t="shared" si="28"/>
        <v>89369.657415962487</v>
      </c>
      <c r="O97">
        <f t="shared" si="29"/>
        <v>0</v>
      </c>
      <c r="P97">
        <f t="shared" si="30"/>
        <v>0</v>
      </c>
      <c r="Q97" s="43">
        <f t="shared" si="31"/>
        <v>89369.657415962487</v>
      </c>
      <c r="R97">
        <f t="shared" si="32"/>
        <v>0</v>
      </c>
      <c r="S97">
        <f t="shared" si="33"/>
        <v>0</v>
      </c>
      <c r="T97" s="43">
        <f t="shared" si="34"/>
        <v>89369.657415962487</v>
      </c>
      <c r="U97">
        <f t="shared" si="35"/>
        <v>0</v>
      </c>
      <c r="V97">
        <f t="shared" si="36"/>
        <v>0</v>
      </c>
      <c r="W97" s="43">
        <f t="shared" si="37"/>
        <v>89369.657415962487</v>
      </c>
      <c r="X97" s="43">
        <f t="shared" si="38"/>
        <v>0</v>
      </c>
      <c r="Y97" s="27">
        <f t="shared" si="39"/>
        <v>684.18291419071124</v>
      </c>
      <c r="Z97" s="27">
        <f t="shared" si="40"/>
        <v>88685.47450177178</v>
      </c>
      <c r="AA97">
        <f t="shared" si="41"/>
        <v>0</v>
      </c>
      <c r="AB97" s="27">
        <f t="shared" si="42"/>
        <v>88685.47450177178</v>
      </c>
      <c r="AD97" s="27">
        <f t="shared" si="43"/>
        <v>0</v>
      </c>
      <c r="AE97" s="27">
        <f t="shared" si="44"/>
        <v>88685.47450177178</v>
      </c>
      <c r="AF97" s="50"/>
      <c r="AG97" t="str">
        <f t="shared" si="45"/>
        <v>5303330</v>
      </c>
    </row>
    <row r="98" spans="1:33" x14ac:dyDescent="0.25">
      <c r="A98" s="7" t="s">
        <v>418</v>
      </c>
      <c r="B98" s="2" t="s">
        <v>847</v>
      </c>
      <c r="C98" s="4" t="s">
        <v>846</v>
      </c>
      <c r="D98">
        <f>_xlfn.IFNA(VLOOKUP(A98,'Prior Year data'!$A$1:$T$318,12,FALSE),0)</f>
        <v>56487.542201573771</v>
      </c>
      <c r="E98">
        <f>VLOOKUP(A98,'Basic HH'!$B$1:$Y$319,23,FALSE)</f>
        <v>21713.491182605987</v>
      </c>
      <c r="F98">
        <f>VLOOKUP(A98,'Conc. HH'!$B$1:$Y$319,23,FALSE)</f>
        <v>5843.3883003930432</v>
      </c>
      <c r="G98">
        <f>VLOOKUP(A98,'Targeted HH'!$B$1:$Y$319,23,FALSE)</f>
        <v>11700.313370201611</v>
      </c>
      <c r="H98">
        <f>VLOOKUP(A98,'EFIG HH'!$B$1:$Y$319,23,FALSE)</f>
        <v>15846.282597067166</v>
      </c>
      <c r="I98">
        <f t="shared" si="23"/>
        <v>55103.475450267812</v>
      </c>
      <c r="J98">
        <f t="shared" si="24"/>
        <v>0</v>
      </c>
      <c r="K98" s="43">
        <f t="shared" si="25"/>
        <v>55103.475450267812</v>
      </c>
      <c r="L98">
        <f t="shared" si="26"/>
        <v>0</v>
      </c>
      <c r="M98">
        <f t="shared" si="27"/>
        <v>0</v>
      </c>
      <c r="N98" s="43">
        <f t="shared" si="28"/>
        <v>55103.475450267812</v>
      </c>
      <c r="O98">
        <f t="shared" si="29"/>
        <v>0</v>
      </c>
      <c r="P98">
        <f t="shared" si="30"/>
        <v>0</v>
      </c>
      <c r="Q98" s="43">
        <f t="shared" si="31"/>
        <v>55103.475450267812</v>
      </c>
      <c r="R98">
        <f t="shared" si="32"/>
        <v>0</v>
      </c>
      <c r="S98">
        <f t="shared" si="33"/>
        <v>0</v>
      </c>
      <c r="T98" s="43">
        <f t="shared" si="34"/>
        <v>55103.475450267812</v>
      </c>
      <c r="U98">
        <f t="shared" si="35"/>
        <v>0</v>
      </c>
      <c r="V98">
        <f t="shared" si="36"/>
        <v>0</v>
      </c>
      <c r="W98" s="43">
        <f t="shared" si="37"/>
        <v>55103.475450267812</v>
      </c>
      <c r="X98" s="43">
        <f t="shared" si="38"/>
        <v>0</v>
      </c>
      <c r="Y98" s="27">
        <f t="shared" si="39"/>
        <v>421.85298126550407</v>
      </c>
      <c r="Z98" s="27">
        <f t="shared" si="40"/>
        <v>54681.622469002308</v>
      </c>
      <c r="AA98">
        <f t="shared" si="41"/>
        <v>0</v>
      </c>
      <c r="AB98" s="27">
        <f t="shared" si="42"/>
        <v>54681.622469002308</v>
      </c>
      <c r="AD98" s="27">
        <f t="shared" si="43"/>
        <v>0</v>
      </c>
      <c r="AE98" s="27">
        <f t="shared" si="44"/>
        <v>54681.622469002308</v>
      </c>
      <c r="AF98" s="50"/>
      <c r="AG98" t="str">
        <f t="shared" si="45"/>
        <v>5303360</v>
      </c>
    </row>
    <row r="99" spans="1:33" x14ac:dyDescent="0.25">
      <c r="A99" s="7" t="s">
        <v>420</v>
      </c>
      <c r="B99" s="2" t="s">
        <v>849</v>
      </c>
      <c r="C99" s="4" t="s">
        <v>848</v>
      </c>
      <c r="D99">
        <f>_xlfn.IFNA(VLOOKUP(A99,'Prior Year data'!$A$1:$T$318,12,FALSE),0)</f>
        <v>445139.31602933258</v>
      </c>
      <c r="E99">
        <f>VLOOKUP(A99,'Basic HH'!$B$1:$Y$319,23,FALSE)</f>
        <v>171855.01907597794</v>
      </c>
      <c r="F99">
        <f>VLOOKUP(A99,'Conc. HH'!$B$1:$Y$319,23,FALSE)</f>
        <v>45280.96521113786</v>
      </c>
      <c r="G99">
        <f>VLOOKUP(A99,'Targeted HH'!$B$1:$Y$319,23,FALSE)</f>
        <v>91870.194962113019</v>
      </c>
      <c r="H99">
        <f>VLOOKUP(A99,'EFIG HH'!$B$1:$Y$319,23,FALSE)</f>
        <v>126277.24093081043</v>
      </c>
      <c r="I99">
        <f t="shared" si="23"/>
        <v>435283.42018003925</v>
      </c>
      <c r="J99">
        <f t="shared" si="24"/>
        <v>0</v>
      </c>
      <c r="K99" s="43">
        <f t="shared" si="25"/>
        <v>435283.42018003925</v>
      </c>
      <c r="L99">
        <f t="shared" si="26"/>
        <v>0</v>
      </c>
      <c r="M99">
        <f t="shared" si="27"/>
        <v>0</v>
      </c>
      <c r="N99" s="43">
        <f t="shared" si="28"/>
        <v>435283.42018003925</v>
      </c>
      <c r="O99">
        <f t="shared" si="29"/>
        <v>0</v>
      </c>
      <c r="P99">
        <f t="shared" si="30"/>
        <v>0</v>
      </c>
      <c r="Q99" s="43">
        <f t="shared" si="31"/>
        <v>435283.42018003925</v>
      </c>
      <c r="R99">
        <f t="shared" si="32"/>
        <v>0</v>
      </c>
      <c r="S99">
        <f t="shared" si="33"/>
        <v>0</v>
      </c>
      <c r="T99" s="43">
        <f t="shared" si="34"/>
        <v>435283.42018003925</v>
      </c>
      <c r="U99">
        <f t="shared" si="35"/>
        <v>0</v>
      </c>
      <c r="V99">
        <f t="shared" si="36"/>
        <v>0</v>
      </c>
      <c r="W99" s="43">
        <f t="shared" si="37"/>
        <v>435283.42018003925</v>
      </c>
      <c r="X99" s="43">
        <f t="shared" si="38"/>
        <v>0</v>
      </c>
      <c r="Y99" s="27">
        <f t="shared" si="39"/>
        <v>3332.3779851984309</v>
      </c>
      <c r="Z99" s="27">
        <f t="shared" si="40"/>
        <v>431951.04219484079</v>
      </c>
      <c r="AA99">
        <f t="shared" si="41"/>
        <v>0</v>
      </c>
      <c r="AB99" s="27">
        <f t="shared" si="42"/>
        <v>431951.04219484079</v>
      </c>
      <c r="AD99" s="27">
        <f t="shared" si="43"/>
        <v>0</v>
      </c>
      <c r="AE99" s="27">
        <f t="shared" si="44"/>
        <v>431951.04219484079</v>
      </c>
      <c r="AF99" s="50"/>
      <c r="AG99" t="str">
        <f t="shared" si="45"/>
        <v>5303510</v>
      </c>
    </row>
    <row r="100" spans="1:33" x14ac:dyDescent="0.25">
      <c r="A100" s="7" t="s">
        <v>57</v>
      </c>
      <c r="B100" s="2" t="s">
        <v>850</v>
      </c>
      <c r="C100" s="4" t="s">
        <v>18</v>
      </c>
      <c r="D100">
        <f>_xlfn.IFNA(VLOOKUP(A100,'Prior Year data'!$A$1:$T$318,12,FALSE),0)</f>
        <v>7453488.3529646741</v>
      </c>
      <c r="E100">
        <f>VLOOKUP(A100,'Basic HH'!$B$1:$Y$319,23,FALSE)</f>
        <v>2878519.7984562488</v>
      </c>
      <c r="F100">
        <f>VLOOKUP(A100,'Conc. HH'!$B$1:$Y$319,23,FALSE)</f>
        <v>774647.83397997369</v>
      </c>
      <c r="G100">
        <f>VLOOKUP(A100,'Targeted HH'!$B$1:$Y$319,23,FALSE)</f>
        <v>2176495.7894641035</v>
      </c>
      <c r="H100">
        <f>VLOOKUP(A100,'EFIG HH'!$B$1:$Y$319,23,FALSE)</f>
        <v>2961202.8267455474</v>
      </c>
      <c r="I100">
        <f t="shared" si="23"/>
        <v>8790866.2486458737</v>
      </c>
      <c r="J100">
        <f t="shared" si="24"/>
        <v>8790866.2486458737</v>
      </c>
      <c r="K100" s="43">
        <f t="shared" si="25"/>
        <v>7989061.1982713519</v>
      </c>
      <c r="L100">
        <f t="shared" si="26"/>
        <v>0</v>
      </c>
      <c r="M100">
        <f t="shared" si="27"/>
        <v>535572.84530667774</v>
      </c>
      <c r="N100" s="43">
        <f t="shared" si="28"/>
        <v>7919057.0815288071</v>
      </c>
      <c r="O100">
        <f t="shared" si="29"/>
        <v>0</v>
      </c>
      <c r="P100">
        <f t="shared" si="30"/>
        <v>465568.72856413294</v>
      </c>
      <c r="Q100" s="43">
        <f t="shared" si="31"/>
        <v>7919057.0815288071</v>
      </c>
      <c r="R100">
        <f t="shared" si="32"/>
        <v>0</v>
      </c>
      <c r="S100">
        <f t="shared" si="33"/>
        <v>465568.72856413294</v>
      </c>
      <c r="T100" s="43">
        <f t="shared" si="34"/>
        <v>7919057.0815288071</v>
      </c>
      <c r="U100">
        <f t="shared" si="35"/>
        <v>0</v>
      </c>
      <c r="V100">
        <f t="shared" si="36"/>
        <v>465568.72856413294</v>
      </c>
      <c r="W100" s="43">
        <f t="shared" si="37"/>
        <v>7919057.0815288071</v>
      </c>
      <c r="X100" s="43">
        <f t="shared" si="38"/>
        <v>871809.16711706668</v>
      </c>
      <c r="Y100" s="27">
        <f t="shared" si="39"/>
        <v>60625.537887708553</v>
      </c>
      <c r="Z100" s="27">
        <f t="shared" si="40"/>
        <v>7858431.5436410988</v>
      </c>
      <c r="AA100">
        <f t="shared" si="41"/>
        <v>0</v>
      </c>
      <c r="AB100" s="27">
        <f t="shared" si="42"/>
        <v>7858431.5436410988</v>
      </c>
      <c r="AD100" s="27">
        <f t="shared" si="43"/>
        <v>0</v>
      </c>
      <c r="AE100" s="27">
        <f t="shared" si="44"/>
        <v>7858431.5436410988</v>
      </c>
      <c r="AF100" s="50"/>
      <c r="AG100" t="str">
        <f t="shared" si="45"/>
        <v>5303540</v>
      </c>
    </row>
    <row r="101" spans="1:33" x14ac:dyDescent="0.25">
      <c r="A101" s="7" t="s">
        <v>141</v>
      </c>
      <c r="B101" s="2" t="s">
        <v>852</v>
      </c>
      <c r="C101" s="4" t="s">
        <v>851</v>
      </c>
      <c r="D101">
        <f>_xlfn.IFNA(VLOOKUP(A101,'Prior Year data'!$A$1:$T$318,12,FALSE),0)</f>
        <v>100851.82702552312</v>
      </c>
      <c r="E101">
        <f>VLOOKUP(A101,'Basic HH'!$B$1:$Y$319,23,FALSE)</f>
        <v>95539.361203466324</v>
      </c>
      <c r="F101">
        <f>VLOOKUP(A101,'Conc. HH'!$B$1:$Y$319,23,FALSE)</f>
        <v>0</v>
      </c>
      <c r="G101">
        <f>VLOOKUP(A101,'Targeted HH'!$B$1:$Y$319,23,FALSE)</f>
        <v>46099.849639959502</v>
      </c>
      <c r="H101">
        <f>VLOOKUP(A101,'EFIG HH'!$B$1:$Y$319,23,FALSE)</f>
        <v>62720.546360443281</v>
      </c>
      <c r="I101">
        <f t="shared" si="23"/>
        <v>204359.75720386911</v>
      </c>
      <c r="J101">
        <f t="shared" si="24"/>
        <v>204359.75720386911</v>
      </c>
      <c r="K101" s="43">
        <f t="shared" si="25"/>
        <v>185720.3329668534</v>
      </c>
      <c r="L101">
        <f t="shared" si="26"/>
        <v>0</v>
      </c>
      <c r="M101">
        <f t="shared" si="27"/>
        <v>84868.505941330281</v>
      </c>
      <c r="N101" s="43">
        <f t="shared" si="28"/>
        <v>174627.26719672419</v>
      </c>
      <c r="O101">
        <f t="shared" si="29"/>
        <v>0</v>
      </c>
      <c r="P101">
        <f t="shared" si="30"/>
        <v>73775.440171201073</v>
      </c>
      <c r="Q101" s="43">
        <f t="shared" si="31"/>
        <v>174627.26719672419</v>
      </c>
      <c r="R101">
        <f t="shared" si="32"/>
        <v>0</v>
      </c>
      <c r="S101">
        <f t="shared" si="33"/>
        <v>73775.440171201073</v>
      </c>
      <c r="T101" s="43">
        <f t="shared" si="34"/>
        <v>174627.26719672419</v>
      </c>
      <c r="U101">
        <f t="shared" si="35"/>
        <v>0</v>
      </c>
      <c r="V101">
        <f t="shared" si="36"/>
        <v>73775.440171201073</v>
      </c>
      <c r="W101" s="43">
        <f t="shared" si="37"/>
        <v>174627.26719672419</v>
      </c>
      <c r="X101" s="43">
        <f t="shared" si="38"/>
        <v>29732.490007144923</v>
      </c>
      <c r="Y101" s="27">
        <f t="shared" si="39"/>
        <v>1336.8854264677389</v>
      </c>
      <c r="Z101" s="27">
        <f t="shared" si="40"/>
        <v>173290.38177025644</v>
      </c>
      <c r="AA101">
        <f t="shared" si="41"/>
        <v>0</v>
      </c>
      <c r="AB101" s="27">
        <f t="shared" si="42"/>
        <v>173290.38177025644</v>
      </c>
      <c r="AD101" s="27">
        <f t="shared" si="43"/>
        <v>0</v>
      </c>
      <c r="AE101" s="27">
        <f t="shared" si="44"/>
        <v>173290.38177025644</v>
      </c>
      <c r="AF101" s="50"/>
      <c r="AG101" t="str">
        <f t="shared" si="45"/>
        <v>5303570</v>
      </c>
    </row>
    <row r="102" spans="1:33" x14ac:dyDescent="0.25">
      <c r="A102" s="7" t="s">
        <v>422</v>
      </c>
      <c r="B102" s="2" t="s">
        <v>854</v>
      </c>
      <c r="C102" s="4" t="s">
        <v>853</v>
      </c>
      <c r="D102">
        <f>_xlfn.IFNA(VLOOKUP(A102,'Prior Year data'!$A$1:$T$318,12,FALSE),0)</f>
        <v>258758.11021842985</v>
      </c>
      <c r="E102">
        <f>VLOOKUP(A102,'Basic HH'!$B$1:$Y$319,23,FALSE)</f>
        <v>119858.47132798505</v>
      </c>
      <c r="F102">
        <f>VLOOKUP(A102,'Conc. HH'!$B$1:$Y$319,23,FALSE)</f>
        <v>32255.503418169606</v>
      </c>
      <c r="G102">
        <f>VLOOKUP(A102,'Targeted HH'!$B$1:$Y$319,23,FALSE)</f>
        <v>66734.812882072874</v>
      </c>
      <c r="H102">
        <f>VLOOKUP(A102,'EFIG HH'!$B$1:$Y$319,23,FALSE)</f>
        <v>90795.175210233807</v>
      </c>
      <c r="I102">
        <f t="shared" si="23"/>
        <v>309643.96283846133</v>
      </c>
      <c r="J102">
        <f t="shared" si="24"/>
        <v>309643.96283846133</v>
      </c>
      <c r="K102" s="43">
        <f t="shared" si="25"/>
        <v>281401.68429621839</v>
      </c>
      <c r="L102">
        <f t="shared" si="26"/>
        <v>0</v>
      </c>
      <c r="M102">
        <f t="shared" si="27"/>
        <v>22643.574077788537</v>
      </c>
      <c r="N102" s="43">
        <f t="shared" si="28"/>
        <v>278441.96851320053</v>
      </c>
      <c r="O102">
        <f t="shared" si="29"/>
        <v>0</v>
      </c>
      <c r="P102">
        <f t="shared" si="30"/>
        <v>19683.858294770675</v>
      </c>
      <c r="Q102" s="43">
        <f t="shared" si="31"/>
        <v>278441.96851320053</v>
      </c>
      <c r="R102">
        <f t="shared" si="32"/>
        <v>0</v>
      </c>
      <c r="S102">
        <f t="shared" si="33"/>
        <v>19683.858294770675</v>
      </c>
      <c r="T102" s="43">
        <f t="shared" si="34"/>
        <v>278441.96851320053</v>
      </c>
      <c r="U102">
        <f t="shared" si="35"/>
        <v>0</v>
      </c>
      <c r="V102">
        <f t="shared" si="36"/>
        <v>19683.858294770675</v>
      </c>
      <c r="W102" s="43">
        <f t="shared" si="37"/>
        <v>278441.96851320053</v>
      </c>
      <c r="X102" s="43">
        <f t="shared" si="38"/>
        <v>31201.994325260806</v>
      </c>
      <c r="Y102" s="27">
        <f t="shared" si="39"/>
        <v>2131.654556575857</v>
      </c>
      <c r="Z102" s="27">
        <f t="shared" si="40"/>
        <v>276310.31395662465</v>
      </c>
      <c r="AA102">
        <f t="shared" si="41"/>
        <v>0</v>
      </c>
      <c r="AB102" s="27">
        <f t="shared" si="42"/>
        <v>276310.31395662465</v>
      </c>
      <c r="AD102" s="27">
        <f t="shared" si="43"/>
        <v>0</v>
      </c>
      <c r="AE102" s="27">
        <f t="shared" si="44"/>
        <v>276310.31395662465</v>
      </c>
      <c r="AF102" s="50"/>
      <c r="AG102" t="str">
        <f t="shared" si="45"/>
        <v>5303600</v>
      </c>
    </row>
    <row r="103" spans="1:33" x14ac:dyDescent="0.25">
      <c r="A103" s="7" t="s">
        <v>424</v>
      </c>
      <c r="B103" s="2" t="s">
        <v>856</v>
      </c>
      <c r="C103" s="4" t="s">
        <v>855</v>
      </c>
      <c r="D103">
        <f>_xlfn.IFNA(VLOOKUP(A103,'Prior Year data'!$A$1:$T$318,12,FALSE),0)</f>
        <v>1040475.0666146204</v>
      </c>
      <c r="E103">
        <f>VLOOKUP(A103,'Basic HH'!$B$1:$Y$319,23,FALSE)</f>
        <v>387157.74009607045</v>
      </c>
      <c r="F103">
        <f>VLOOKUP(A103,'Conc. HH'!$B$1:$Y$319,23,FALSE)</f>
        <v>102009.6838298475</v>
      </c>
      <c r="G103">
        <f>VLOOKUP(A103,'Targeted HH'!$B$1:$Y$319,23,FALSE)</f>
        <v>272862.65607709519</v>
      </c>
      <c r="H103">
        <f>VLOOKUP(A103,'EFIG HH'!$B$1:$Y$319,23,FALSE)</f>
        <v>375054.64505303261</v>
      </c>
      <c r="I103">
        <f t="shared" si="23"/>
        <v>1137084.7250560457</v>
      </c>
      <c r="J103">
        <f t="shared" si="24"/>
        <v>1137084.7250560457</v>
      </c>
      <c r="K103" s="43">
        <f t="shared" si="25"/>
        <v>1033372.5026804521</v>
      </c>
      <c r="L103">
        <f t="shared" si="26"/>
        <v>7102.5639341683127</v>
      </c>
      <c r="M103">
        <f t="shared" si="27"/>
        <v>0</v>
      </c>
      <c r="N103" s="43">
        <f t="shared" si="28"/>
        <v>1040475.0666146204</v>
      </c>
      <c r="O103">
        <f t="shared" si="29"/>
        <v>0</v>
      </c>
      <c r="P103">
        <f t="shared" si="30"/>
        <v>0</v>
      </c>
      <c r="Q103" s="43">
        <f t="shared" si="31"/>
        <v>1040475.0666146204</v>
      </c>
      <c r="R103">
        <f t="shared" si="32"/>
        <v>0</v>
      </c>
      <c r="S103">
        <f t="shared" si="33"/>
        <v>0</v>
      </c>
      <c r="T103" s="43">
        <f t="shared" si="34"/>
        <v>1040475.0666146204</v>
      </c>
      <c r="U103">
        <f t="shared" si="35"/>
        <v>0</v>
      </c>
      <c r="V103">
        <f t="shared" si="36"/>
        <v>0</v>
      </c>
      <c r="W103" s="43">
        <f t="shared" si="37"/>
        <v>1040475.0666146204</v>
      </c>
      <c r="X103" s="43">
        <f t="shared" si="38"/>
        <v>96609.658441425301</v>
      </c>
      <c r="Y103" s="27">
        <f t="shared" si="39"/>
        <v>7965.5140659856206</v>
      </c>
      <c r="Z103" s="27">
        <f t="shared" si="40"/>
        <v>1032509.5525486348</v>
      </c>
      <c r="AA103">
        <f t="shared" si="41"/>
        <v>0</v>
      </c>
      <c r="AB103" s="27">
        <f t="shared" si="42"/>
        <v>1032509.5525486348</v>
      </c>
      <c r="AD103" s="27">
        <f t="shared" si="43"/>
        <v>0</v>
      </c>
      <c r="AE103" s="27">
        <f t="shared" si="44"/>
        <v>1032509.5525486348</v>
      </c>
      <c r="AF103" s="50"/>
      <c r="AG103" t="str">
        <f t="shared" si="45"/>
        <v>5303660</v>
      </c>
    </row>
    <row r="104" spans="1:33" x14ac:dyDescent="0.25">
      <c r="A104" s="7" t="s">
        <v>79</v>
      </c>
      <c r="B104" s="2" t="s">
        <v>857</v>
      </c>
      <c r="C104" s="4" t="s">
        <v>37</v>
      </c>
      <c r="D104">
        <f>_xlfn.IFNA(VLOOKUP(A104,'Prior Year data'!$A$1:$T$318,12,FALSE),0)</f>
        <v>101548.58776640269</v>
      </c>
      <c r="E104">
        <f>VLOOKUP(A104,'Basic HH'!$B$1:$Y$319,23,FALSE)</f>
        <v>38961.163707221625</v>
      </c>
      <c r="F104">
        <f>VLOOKUP(A104,'Conc. HH'!$B$1:$Y$319,23,FALSE)</f>
        <v>0</v>
      </c>
      <c r="G104">
        <f>VLOOKUP(A104,'Targeted HH'!$B$1:$Y$319,23,FALSE)</f>
        <v>31350.336141039341</v>
      </c>
      <c r="H104">
        <f>VLOOKUP(A104,'EFIG HH'!$B$1:$Y$319,23,FALSE)</f>
        <v>42653.289039041309</v>
      </c>
      <c r="I104">
        <f t="shared" si="23"/>
        <v>112964.78888730227</v>
      </c>
      <c r="J104">
        <f t="shared" si="24"/>
        <v>112964.78888730227</v>
      </c>
      <c r="K104" s="43">
        <f t="shared" si="25"/>
        <v>102661.39719842489</v>
      </c>
      <c r="L104">
        <f t="shared" si="26"/>
        <v>0</v>
      </c>
      <c r="M104">
        <f t="shared" si="27"/>
        <v>1112.8094320222008</v>
      </c>
      <c r="N104" s="43">
        <f t="shared" si="28"/>
        <v>102515.94314474359</v>
      </c>
      <c r="O104">
        <f t="shared" si="29"/>
        <v>0</v>
      </c>
      <c r="P104">
        <f t="shared" si="30"/>
        <v>967.35537834090064</v>
      </c>
      <c r="Q104" s="43">
        <f t="shared" si="31"/>
        <v>102515.94314474359</v>
      </c>
      <c r="R104">
        <f t="shared" si="32"/>
        <v>0</v>
      </c>
      <c r="S104">
        <f t="shared" si="33"/>
        <v>967.35537834090064</v>
      </c>
      <c r="T104" s="43">
        <f t="shared" si="34"/>
        <v>102515.94314474359</v>
      </c>
      <c r="U104">
        <f t="shared" si="35"/>
        <v>0</v>
      </c>
      <c r="V104">
        <f t="shared" si="36"/>
        <v>967.35537834090064</v>
      </c>
      <c r="W104" s="43">
        <f t="shared" si="37"/>
        <v>102515.94314474359</v>
      </c>
      <c r="X104" s="43">
        <f t="shared" si="38"/>
        <v>10448.845742558682</v>
      </c>
      <c r="Y104" s="27">
        <f t="shared" si="39"/>
        <v>784.82629070985058</v>
      </c>
      <c r="Z104" s="27">
        <f t="shared" si="40"/>
        <v>101731.11685403374</v>
      </c>
      <c r="AA104">
        <f t="shared" si="41"/>
        <v>0</v>
      </c>
      <c r="AB104" s="27">
        <f t="shared" si="42"/>
        <v>101731.11685403374</v>
      </c>
      <c r="AD104" s="27">
        <f t="shared" si="43"/>
        <v>0</v>
      </c>
      <c r="AE104" s="27">
        <f t="shared" si="44"/>
        <v>101731.11685403374</v>
      </c>
      <c r="AF104" s="50"/>
      <c r="AG104" t="str">
        <f t="shared" si="45"/>
        <v>5303705</v>
      </c>
    </row>
    <row r="105" spans="1:33" x14ac:dyDescent="0.25">
      <c r="A105" s="7" t="s">
        <v>74</v>
      </c>
      <c r="B105" s="2" t="s">
        <v>858</v>
      </c>
      <c r="C105" s="4" t="s">
        <v>40</v>
      </c>
      <c r="D105">
        <f>_xlfn.IFNA(VLOOKUP(A105,'Prior Year data'!$A$1:$T$318,12,FALSE),0)</f>
        <v>201899.50015478383</v>
      </c>
      <c r="E105">
        <f>VLOOKUP(A105,'Basic HH'!$B$1:$Y$319,23,FALSE)</f>
        <v>71104.271058145852</v>
      </c>
      <c r="F105">
        <f>VLOOKUP(A105,'Conc. HH'!$B$1:$Y$319,23,FALSE)</f>
        <v>19135.101864318411</v>
      </c>
      <c r="G105">
        <f>VLOOKUP(A105,'Targeted HH'!$B$1:$Y$319,23,FALSE)</f>
        <v>41522.825678352427</v>
      </c>
      <c r="H105">
        <f>VLOOKUP(A105,'EFIG HH'!$B$1:$Y$319,23,FALSE)</f>
        <v>56493.336384296163</v>
      </c>
      <c r="I105">
        <f t="shared" si="23"/>
        <v>188255.53498511284</v>
      </c>
      <c r="J105">
        <f t="shared" si="24"/>
        <v>0</v>
      </c>
      <c r="K105" s="43">
        <f t="shared" si="25"/>
        <v>188255.53498511284</v>
      </c>
      <c r="L105">
        <f t="shared" si="26"/>
        <v>0</v>
      </c>
      <c r="M105">
        <f t="shared" si="27"/>
        <v>0</v>
      </c>
      <c r="N105" s="43">
        <f t="shared" si="28"/>
        <v>188255.53498511284</v>
      </c>
      <c r="O105">
        <f t="shared" si="29"/>
        <v>0</v>
      </c>
      <c r="P105">
        <f t="shared" si="30"/>
        <v>0</v>
      </c>
      <c r="Q105" s="43">
        <f t="shared" si="31"/>
        <v>188255.53498511284</v>
      </c>
      <c r="R105">
        <f t="shared" si="32"/>
        <v>0</v>
      </c>
      <c r="S105">
        <f t="shared" si="33"/>
        <v>0</v>
      </c>
      <c r="T105" s="43">
        <f t="shared" si="34"/>
        <v>188255.53498511284</v>
      </c>
      <c r="U105">
        <f t="shared" si="35"/>
        <v>0</v>
      </c>
      <c r="V105">
        <f t="shared" si="36"/>
        <v>0</v>
      </c>
      <c r="W105" s="43">
        <f t="shared" si="37"/>
        <v>188255.53498511284</v>
      </c>
      <c r="X105" s="43">
        <f t="shared" si="38"/>
        <v>0</v>
      </c>
      <c r="Y105" s="27">
        <f t="shared" si="39"/>
        <v>1441.2186894613792</v>
      </c>
      <c r="Z105" s="27">
        <f t="shared" si="40"/>
        <v>186814.31629565146</v>
      </c>
      <c r="AA105">
        <f t="shared" si="41"/>
        <v>0</v>
      </c>
      <c r="AB105" s="27">
        <f t="shared" si="42"/>
        <v>186814.31629565146</v>
      </c>
      <c r="AD105" s="27">
        <f t="shared" si="43"/>
        <v>0</v>
      </c>
      <c r="AE105" s="27">
        <f t="shared" si="44"/>
        <v>186814.31629565146</v>
      </c>
      <c r="AF105" s="50"/>
      <c r="AG105" t="str">
        <f t="shared" si="45"/>
        <v>5303700</v>
      </c>
    </row>
    <row r="106" spans="1:33" x14ac:dyDescent="0.25">
      <c r="A106" t="s">
        <v>1421</v>
      </c>
      <c r="B106" t="s">
        <v>1422</v>
      </c>
      <c r="C106" t="s">
        <v>1429</v>
      </c>
      <c r="D106">
        <f>_xlfn.IFNA(VLOOKUP(A106,'Prior Year data'!$A$1:$T$318,12,FALSE),0)</f>
        <v>61247.093468726431</v>
      </c>
      <c r="E106">
        <f>VLOOKUP(A106,'Basic HH'!$B$1:$Y$319,23,FALSE)</f>
        <v>53806.736924840625</v>
      </c>
      <c r="F106">
        <f>VLOOKUP(A106,'Conc. HH'!$B$1:$Y$319,23,FALSE)</f>
        <v>0</v>
      </c>
      <c r="G106">
        <f>VLOOKUP(A106,'Targeted HH'!$B$1:$Y$319,23,FALSE)</f>
        <v>35959.912239707788</v>
      </c>
      <c r="H106">
        <f>VLOOKUP(A106,'EFIG HH'!$B$1:$Y$319,23,FALSE)</f>
        <v>48924.787398721885</v>
      </c>
      <c r="I106">
        <f t="shared" si="23"/>
        <v>138691.43656327028</v>
      </c>
      <c r="J106">
        <f t="shared" si="24"/>
        <v>138691.43656327028</v>
      </c>
      <c r="K106" s="43">
        <f t="shared" si="25"/>
        <v>126041.54619583838</v>
      </c>
      <c r="L106">
        <f t="shared" si="26"/>
        <v>0</v>
      </c>
      <c r="M106">
        <f t="shared" si="27"/>
        <v>64794.452727111951</v>
      </c>
      <c r="N106" s="43">
        <f t="shared" si="28"/>
        <v>117572.33706261449</v>
      </c>
      <c r="O106">
        <f t="shared" si="29"/>
        <v>0</v>
      </c>
      <c r="P106">
        <f t="shared" si="30"/>
        <v>56325.243593888059</v>
      </c>
      <c r="Q106" s="43">
        <f t="shared" si="31"/>
        <v>117572.33706261449</v>
      </c>
      <c r="R106">
        <f t="shared" si="32"/>
        <v>0</v>
      </c>
      <c r="S106">
        <f t="shared" si="33"/>
        <v>56325.243593888059</v>
      </c>
      <c r="T106" s="43">
        <f t="shared" si="34"/>
        <v>117572.33706261449</v>
      </c>
      <c r="U106">
        <f t="shared" si="35"/>
        <v>0</v>
      </c>
      <c r="V106">
        <f t="shared" si="36"/>
        <v>56325.243593888059</v>
      </c>
      <c r="W106" s="43">
        <f t="shared" si="37"/>
        <v>117572.33706261449</v>
      </c>
      <c r="X106" s="43">
        <f t="shared" si="38"/>
        <v>21119.099500655793</v>
      </c>
      <c r="Y106" s="27">
        <f t="shared" si="39"/>
        <v>900.0927890470399</v>
      </c>
      <c r="Z106" s="27">
        <f t="shared" si="40"/>
        <v>116672.24427356746</v>
      </c>
      <c r="AA106">
        <f t="shared" si="41"/>
        <v>0</v>
      </c>
      <c r="AB106" s="27">
        <f t="shared" si="42"/>
        <v>116672.24427356746</v>
      </c>
      <c r="AD106" s="27">
        <f t="shared" si="43"/>
        <v>0</v>
      </c>
      <c r="AE106" s="27">
        <f t="shared" si="44"/>
        <v>116672.24427356746</v>
      </c>
      <c r="AF106" s="50"/>
      <c r="AG106" t="str">
        <f t="shared" si="45"/>
        <v>5307790</v>
      </c>
    </row>
    <row r="107" spans="1:33" x14ac:dyDescent="0.25">
      <c r="A107" s="7" t="s">
        <v>75</v>
      </c>
      <c r="B107" s="2" t="s">
        <v>859</v>
      </c>
      <c r="C107" s="4" t="s">
        <v>44</v>
      </c>
      <c r="D107">
        <f>_xlfn.IFNA(VLOOKUP(A107,'Prior Year data'!$A$1:$T$318,12,FALSE),0)</f>
        <v>112947.19530004336</v>
      </c>
      <c r="E107">
        <f>VLOOKUP(A107,'Basic HH'!$B$1:$Y$319,23,FALSE)</f>
        <v>52325.991757923308</v>
      </c>
      <c r="F107">
        <f>VLOOKUP(A107,'Conc. HH'!$B$1:$Y$319,23,FALSE)</f>
        <v>14081.617989171991</v>
      </c>
      <c r="G107">
        <f>VLOOKUP(A107,'Targeted HH'!$B$1:$Y$319,23,FALSE)</f>
        <v>30556.856879024897</v>
      </c>
      <c r="H107">
        <f>VLOOKUP(A107,'EFIG HH'!$B$1:$Y$319,23,FALSE)</f>
        <v>41573.731226425618</v>
      </c>
      <c r="I107">
        <f t="shared" si="23"/>
        <v>138538.19785254583</v>
      </c>
      <c r="J107">
        <f t="shared" si="24"/>
        <v>138538.19785254583</v>
      </c>
      <c r="K107" s="43">
        <f t="shared" si="25"/>
        <v>125902.28421604083</v>
      </c>
      <c r="L107">
        <f t="shared" si="26"/>
        <v>0</v>
      </c>
      <c r="M107">
        <f t="shared" si="27"/>
        <v>12955.088915997476</v>
      </c>
      <c r="N107" s="43">
        <f t="shared" si="28"/>
        <v>124208.9392960492</v>
      </c>
      <c r="O107">
        <f t="shared" si="29"/>
        <v>0</v>
      </c>
      <c r="P107">
        <f t="shared" si="30"/>
        <v>11261.74399600584</v>
      </c>
      <c r="Q107" s="43">
        <f t="shared" si="31"/>
        <v>124208.9392960492</v>
      </c>
      <c r="R107">
        <f t="shared" si="32"/>
        <v>0</v>
      </c>
      <c r="S107">
        <f t="shared" si="33"/>
        <v>11261.74399600584</v>
      </c>
      <c r="T107" s="43">
        <f t="shared" si="34"/>
        <v>124208.9392960492</v>
      </c>
      <c r="U107">
        <f t="shared" si="35"/>
        <v>0</v>
      </c>
      <c r="V107">
        <f t="shared" si="36"/>
        <v>11261.74399600584</v>
      </c>
      <c r="W107" s="43">
        <f t="shared" si="37"/>
        <v>124208.9392960492</v>
      </c>
      <c r="X107" s="43">
        <f t="shared" si="38"/>
        <v>14329.258556496628</v>
      </c>
      <c r="Y107" s="27">
        <f t="shared" si="39"/>
        <v>950.90030009367979</v>
      </c>
      <c r="Z107" s="27">
        <f t="shared" si="40"/>
        <v>123258.03899595552</v>
      </c>
      <c r="AA107">
        <f t="shared" si="41"/>
        <v>0</v>
      </c>
      <c r="AB107" s="27">
        <f t="shared" si="42"/>
        <v>123258.03899595552</v>
      </c>
      <c r="AD107" s="27">
        <f t="shared" si="43"/>
        <v>0</v>
      </c>
      <c r="AE107" s="27">
        <f t="shared" si="44"/>
        <v>123258.03899595552</v>
      </c>
      <c r="AF107" s="50"/>
      <c r="AG107" t="str">
        <f t="shared" si="45"/>
        <v>5303710</v>
      </c>
    </row>
    <row r="108" spans="1:33" x14ac:dyDescent="0.25">
      <c r="A108" s="7" t="s">
        <v>426</v>
      </c>
      <c r="B108" s="2" t="s">
        <v>861</v>
      </c>
      <c r="C108" s="4" t="s">
        <v>860</v>
      </c>
      <c r="D108">
        <f>_xlfn.IFNA(VLOOKUP(A108,'Prior Year data'!$A$1:$T$318,12,FALSE),0)</f>
        <v>105778.10746234223</v>
      </c>
      <c r="E108">
        <f>VLOOKUP(A108,'Basic HH'!$B$1:$Y$319,23,FALSE)</f>
        <v>51243.839190950115</v>
      </c>
      <c r="F108">
        <f>VLOOKUP(A108,'Conc. HH'!$B$1:$Y$319,23,FALSE)</f>
        <v>13790.396388927584</v>
      </c>
      <c r="G108">
        <f>VLOOKUP(A108,'Targeted HH'!$B$1:$Y$319,23,FALSE)</f>
        <v>38359.412477207887</v>
      </c>
      <c r="H108">
        <f>VLOOKUP(A108,'EFIG HH'!$B$1:$Y$319,23,FALSE)</f>
        <v>52189.396005114526</v>
      </c>
      <c r="I108">
        <f t="shared" si="23"/>
        <v>155583.04406220012</v>
      </c>
      <c r="J108">
        <f t="shared" si="24"/>
        <v>155583.04406220012</v>
      </c>
      <c r="K108" s="43">
        <f t="shared" si="25"/>
        <v>141392.48912104973</v>
      </c>
      <c r="L108">
        <f t="shared" si="26"/>
        <v>0</v>
      </c>
      <c r="M108">
        <f t="shared" si="27"/>
        <v>35614.381658707498</v>
      </c>
      <c r="N108" s="43">
        <f t="shared" si="28"/>
        <v>136737.37384924749</v>
      </c>
      <c r="O108">
        <f t="shared" si="29"/>
        <v>0</v>
      </c>
      <c r="P108">
        <f t="shared" si="30"/>
        <v>30959.266386905263</v>
      </c>
      <c r="Q108" s="43">
        <f t="shared" si="31"/>
        <v>136737.37384924749</v>
      </c>
      <c r="R108">
        <f t="shared" si="32"/>
        <v>0</v>
      </c>
      <c r="S108">
        <f t="shared" si="33"/>
        <v>30959.266386905263</v>
      </c>
      <c r="T108" s="43">
        <f t="shared" si="34"/>
        <v>136737.37384924749</v>
      </c>
      <c r="U108">
        <f t="shared" si="35"/>
        <v>0</v>
      </c>
      <c r="V108">
        <f t="shared" si="36"/>
        <v>30959.266386905263</v>
      </c>
      <c r="W108" s="43">
        <f t="shared" si="37"/>
        <v>136737.37384924749</v>
      </c>
      <c r="X108" s="43">
        <f t="shared" si="38"/>
        <v>18845.670212952624</v>
      </c>
      <c r="Y108" s="27">
        <f t="shared" si="39"/>
        <v>1046.8136235940538</v>
      </c>
      <c r="Z108" s="27">
        <f t="shared" si="40"/>
        <v>135690.56022565343</v>
      </c>
      <c r="AA108">
        <f t="shared" si="41"/>
        <v>0</v>
      </c>
      <c r="AB108" s="27">
        <f t="shared" si="42"/>
        <v>135690.56022565343</v>
      </c>
      <c r="AD108" s="27">
        <f t="shared" si="43"/>
        <v>0</v>
      </c>
      <c r="AE108" s="27">
        <f t="shared" si="44"/>
        <v>135690.56022565343</v>
      </c>
      <c r="AF108" s="50"/>
      <c r="AG108" t="str">
        <f t="shared" si="45"/>
        <v>5300002</v>
      </c>
    </row>
    <row r="109" spans="1:33" x14ac:dyDescent="0.25">
      <c r="A109" s="7" t="s">
        <v>428</v>
      </c>
      <c r="B109" s="2" t="s">
        <v>863</v>
      </c>
      <c r="C109" s="4" t="s">
        <v>862</v>
      </c>
      <c r="D109">
        <f>_xlfn.IFNA(VLOOKUP(A109,'Prior Year data'!$A$1:$T$318,12,FALSE),0)</f>
        <v>2265.7137961861254</v>
      </c>
      <c r="E109">
        <f>VLOOKUP(A109,'Basic HH'!$B$1:$Y$319,23,FALSE)</f>
        <v>0</v>
      </c>
      <c r="F109">
        <f>VLOOKUP(A109,'Conc. HH'!$B$1:$Y$319,23,FALSE)</f>
        <v>1940.8330033006239</v>
      </c>
      <c r="G109">
        <f>VLOOKUP(A109,'Targeted HH'!$B$1:$Y$319,23,FALSE)</f>
        <v>0</v>
      </c>
      <c r="H109">
        <f>VLOOKUP(A109,'EFIG HH'!$B$1:$Y$319,23,FALSE)</f>
        <v>0</v>
      </c>
      <c r="I109">
        <f t="shared" si="23"/>
        <v>1940.8330033006239</v>
      </c>
      <c r="J109">
        <f t="shared" si="24"/>
        <v>0</v>
      </c>
      <c r="K109" s="43">
        <f t="shared" si="25"/>
        <v>1940.8330033006239</v>
      </c>
      <c r="L109">
        <f t="shared" si="26"/>
        <v>0</v>
      </c>
      <c r="M109">
        <f t="shared" si="27"/>
        <v>0</v>
      </c>
      <c r="N109" s="43">
        <f t="shared" si="28"/>
        <v>1940.8330033006239</v>
      </c>
      <c r="O109">
        <f t="shared" si="29"/>
        <v>0</v>
      </c>
      <c r="P109">
        <f t="shared" si="30"/>
        <v>0</v>
      </c>
      <c r="Q109" s="43">
        <f t="shared" si="31"/>
        <v>1940.8330033006239</v>
      </c>
      <c r="R109">
        <f t="shared" si="32"/>
        <v>0</v>
      </c>
      <c r="S109">
        <f t="shared" si="33"/>
        <v>0</v>
      </c>
      <c r="T109" s="43">
        <f t="shared" si="34"/>
        <v>1940.8330033006239</v>
      </c>
      <c r="U109">
        <f t="shared" si="35"/>
        <v>0</v>
      </c>
      <c r="V109">
        <f t="shared" si="36"/>
        <v>0</v>
      </c>
      <c r="W109" s="43">
        <f t="shared" si="37"/>
        <v>1940.8330033006239</v>
      </c>
      <c r="X109" s="43">
        <f t="shared" si="38"/>
        <v>0</v>
      </c>
      <c r="Y109" s="27">
        <f t="shared" si="39"/>
        <v>14.858340275102753</v>
      </c>
      <c r="Z109" s="27">
        <f t="shared" si="40"/>
        <v>1925.9746630255211</v>
      </c>
      <c r="AA109">
        <f t="shared" si="41"/>
        <v>0</v>
      </c>
      <c r="AB109" s="27">
        <f t="shared" si="42"/>
        <v>1925.9746630255211</v>
      </c>
      <c r="AD109" s="27">
        <f t="shared" si="43"/>
        <v>0</v>
      </c>
      <c r="AE109" s="27">
        <f t="shared" si="44"/>
        <v>1925.9746630255211</v>
      </c>
      <c r="AF109" s="50"/>
      <c r="AG109" t="str">
        <f t="shared" si="45"/>
        <v>5303720</v>
      </c>
    </row>
    <row r="110" spans="1:33" x14ac:dyDescent="0.25">
      <c r="A110" s="7" t="s">
        <v>143</v>
      </c>
      <c r="B110" s="2" t="s">
        <v>865</v>
      </c>
      <c r="C110" s="4" t="s">
        <v>864</v>
      </c>
      <c r="D110">
        <f>_xlfn.IFNA(VLOOKUP(A110,'Prior Year data'!$A$1:$T$318,12,FALSE),0)</f>
        <v>669256.74098083889</v>
      </c>
      <c r="E110">
        <f>VLOOKUP(A110,'Basic HH'!$B$1:$Y$319,23,FALSE)</f>
        <v>811216.03058215999</v>
      </c>
      <c r="F110">
        <f>VLOOKUP(A110,'Conc. HH'!$B$1:$Y$319,23,FALSE)</f>
        <v>0</v>
      </c>
      <c r="G110">
        <f>VLOOKUP(A110,'Targeted HH'!$B$1:$Y$319,23,FALSE)</f>
        <v>0</v>
      </c>
      <c r="H110">
        <f>VLOOKUP(A110,'EFIG HH'!$B$1:$Y$319,23,FALSE)</f>
        <v>0</v>
      </c>
      <c r="I110">
        <f t="shared" si="23"/>
        <v>811216.03058215999</v>
      </c>
      <c r="J110">
        <f t="shared" si="24"/>
        <v>811216.03058215999</v>
      </c>
      <c r="K110" s="43">
        <f t="shared" si="25"/>
        <v>737225.92632301035</v>
      </c>
      <c r="L110">
        <f t="shared" si="26"/>
        <v>0</v>
      </c>
      <c r="M110">
        <f t="shared" si="27"/>
        <v>67969.185342171462</v>
      </c>
      <c r="N110" s="43">
        <f t="shared" si="28"/>
        <v>728341.75150480343</v>
      </c>
      <c r="O110">
        <f t="shared" si="29"/>
        <v>0</v>
      </c>
      <c r="P110">
        <f t="shared" si="30"/>
        <v>59085.010523964535</v>
      </c>
      <c r="Q110" s="43">
        <f t="shared" si="31"/>
        <v>728341.75150480343</v>
      </c>
      <c r="R110">
        <f t="shared" si="32"/>
        <v>0</v>
      </c>
      <c r="S110">
        <f t="shared" si="33"/>
        <v>59085.010523964535</v>
      </c>
      <c r="T110" s="43">
        <f t="shared" si="34"/>
        <v>728341.75150480343</v>
      </c>
      <c r="U110">
        <f t="shared" si="35"/>
        <v>0</v>
      </c>
      <c r="V110">
        <f t="shared" si="36"/>
        <v>59085.010523964535</v>
      </c>
      <c r="W110" s="43">
        <f t="shared" si="37"/>
        <v>728341.75150480343</v>
      </c>
      <c r="X110" s="43">
        <f t="shared" si="38"/>
        <v>82874.279077356565</v>
      </c>
      <c r="Y110" s="27">
        <f t="shared" si="39"/>
        <v>5575.9303154978579</v>
      </c>
      <c r="Z110" s="27">
        <f t="shared" si="40"/>
        <v>722765.82118930551</v>
      </c>
      <c r="AA110">
        <f t="shared" si="41"/>
        <v>0</v>
      </c>
      <c r="AB110" s="27">
        <f t="shared" si="42"/>
        <v>722765.82118930551</v>
      </c>
      <c r="AD110" s="27">
        <f t="shared" si="43"/>
        <v>0</v>
      </c>
      <c r="AE110" s="27">
        <f t="shared" si="44"/>
        <v>722765.82118930551</v>
      </c>
      <c r="AF110" s="50"/>
      <c r="AG110" t="str">
        <f t="shared" si="45"/>
        <v>5303750</v>
      </c>
    </row>
    <row r="111" spans="1:33" x14ac:dyDescent="0.25">
      <c r="A111" s="7" t="s">
        <v>145</v>
      </c>
      <c r="B111" s="2" t="s">
        <v>867</v>
      </c>
      <c r="C111" s="4" t="s">
        <v>866</v>
      </c>
      <c r="D111">
        <f>_xlfn.IFNA(VLOOKUP(A111,'Prior Year data'!$A$1:$T$318,12,FALSE),0)</f>
        <v>48924.431565747298</v>
      </c>
      <c r="E111">
        <f>VLOOKUP(A111,'Basic HH'!$B$1:$Y$319,23,FALSE)</f>
        <v>0</v>
      </c>
      <c r="F111">
        <f>VLOOKUP(A111,'Conc. HH'!$B$1:$Y$319,23,FALSE)</f>
        <v>4239.0690835958831</v>
      </c>
      <c r="G111">
        <f>VLOOKUP(A111,'Targeted HH'!$B$1:$Y$319,23,FALSE)</f>
        <v>0</v>
      </c>
      <c r="H111">
        <f>VLOOKUP(A111,'EFIG HH'!$B$1:$Y$319,23,FALSE)</f>
        <v>0</v>
      </c>
      <c r="I111">
        <f t="shared" si="23"/>
        <v>4239.0690835958831</v>
      </c>
      <c r="J111">
        <f t="shared" si="24"/>
        <v>0</v>
      </c>
      <c r="K111" s="43">
        <f t="shared" si="25"/>
        <v>4239.0690835958831</v>
      </c>
      <c r="L111">
        <f t="shared" si="26"/>
        <v>0</v>
      </c>
      <c r="M111">
        <f t="shared" si="27"/>
        <v>0</v>
      </c>
      <c r="N111" s="43">
        <f t="shared" si="28"/>
        <v>4239.0690835958831</v>
      </c>
      <c r="O111">
        <f t="shared" si="29"/>
        <v>0</v>
      </c>
      <c r="P111">
        <f t="shared" si="30"/>
        <v>0</v>
      </c>
      <c r="Q111" s="43">
        <f t="shared" si="31"/>
        <v>4239.0690835958831</v>
      </c>
      <c r="R111">
        <f t="shared" si="32"/>
        <v>0</v>
      </c>
      <c r="S111">
        <f t="shared" si="33"/>
        <v>0</v>
      </c>
      <c r="T111" s="43">
        <f t="shared" si="34"/>
        <v>4239.0690835958831</v>
      </c>
      <c r="U111">
        <f t="shared" si="35"/>
        <v>0</v>
      </c>
      <c r="V111">
        <f t="shared" si="36"/>
        <v>0</v>
      </c>
      <c r="W111" s="43">
        <f t="shared" si="37"/>
        <v>4239.0690835958831</v>
      </c>
      <c r="X111" s="43">
        <f t="shared" si="38"/>
        <v>0</v>
      </c>
      <c r="Y111" s="27">
        <f t="shared" si="39"/>
        <v>32.452833802094794</v>
      </c>
      <c r="Z111" s="27">
        <f t="shared" si="40"/>
        <v>4206.6162497937885</v>
      </c>
      <c r="AA111">
        <f t="shared" si="41"/>
        <v>0</v>
      </c>
      <c r="AB111" s="27">
        <f t="shared" si="42"/>
        <v>4206.6162497937885</v>
      </c>
      <c r="AD111" s="27">
        <f t="shared" si="43"/>
        <v>0</v>
      </c>
      <c r="AE111" s="27">
        <f t="shared" si="44"/>
        <v>4206.6162497937885</v>
      </c>
      <c r="AF111" s="50"/>
      <c r="AG111" t="str">
        <f t="shared" si="45"/>
        <v>5303780</v>
      </c>
    </row>
    <row r="112" spans="1:33" x14ac:dyDescent="0.25">
      <c r="A112" s="7" t="s">
        <v>147</v>
      </c>
      <c r="B112" s="2" t="s">
        <v>869</v>
      </c>
      <c r="C112" s="4" t="s">
        <v>868</v>
      </c>
      <c r="D112">
        <f>_xlfn.IFNA(VLOOKUP(A112,'Prior Year data'!$A$1:$T$318,12,FALSE),0)</f>
        <v>192433.5115303355</v>
      </c>
      <c r="E112">
        <f>VLOOKUP(A112,'Basic HH'!$B$1:$Y$319,23,FALSE)</f>
        <v>90328.123319640872</v>
      </c>
      <c r="F112">
        <f>VLOOKUP(A112,'Conc. HH'!$B$1:$Y$319,23,FALSE)</f>
        <v>0</v>
      </c>
      <c r="G112">
        <f>VLOOKUP(A112,'Targeted HH'!$B$1:$Y$319,23,FALSE)</f>
        <v>43585.312386870806</v>
      </c>
      <c r="H112">
        <f>VLOOKUP(A112,'EFIG HH'!$B$1:$Y$319,23,FALSE)</f>
        <v>59299.425649873665</v>
      </c>
      <c r="I112">
        <f t="shared" si="23"/>
        <v>193212.86135638534</v>
      </c>
      <c r="J112">
        <f t="shared" si="24"/>
        <v>193212.86135638534</v>
      </c>
      <c r="K112" s="43">
        <f t="shared" si="25"/>
        <v>175590.13298684321</v>
      </c>
      <c r="L112">
        <f t="shared" si="26"/>
        <v>16843.37854349229</v>
      </c>
      <c r="M112">
        <f t="shared" si="27"/>
        <v>0</v>
      </c>
      <c r="N112" s="43">
        <f t="shared" si="28"/>
        <v>192433.5115303355</v>
      </c>
      <c r="O112">
        <f t="shared" si="29"/>
        <v>0</v>
      </c>
      <c r="P112">
        <f t="shared" si="30"/>
        <v>0</v>
      </c>
      <c r="Q112" s="43">
        <f t="shared" si="31"/>
        <v>192433.5115303355</v>
      </c>
      <c r="R112">
        <f t="shared" si="32"/>
        <v>0</v>
      </c>
      <c r="S112">
        <f t="shared" si="33"/>
        <v>0</v>
      </c>
      <c r="T112" s="43">
        <f t="shared" si="34"/>
        <v>192433.5115303355</v>
      </c>
      <c r="U112">
        <f t="shared" si="35"/>
        <v>0</v>
      </c>
      <c r="V112">
        <f t="shared" si="36"/>
        <v>0</v>
      </c>
      <c r="W112" s="43">
        <f t="shared" si="37"/>
        <v>192433.5115303355</v>
      </c>
      <c r="X112" s="43">
        <f t="shared" si="38"/>
        <v>779.34982604984543</v>
      </c>
      <c r="Y112" s="27">
        <f t="shared" si="39"/>
        <v>1473.2038201061825</v>
      </c>
      <c r="Z112" s="27">
        <f t="shared" si="40"/>
        <v>190960.3077102293</v>
      </c>
      <c r="AA112">
        <f t="shared" si="41"/>
        <v>0</v>
      </c>
      <c r="AB112" s="27">
        <f t="shared" si="42"/>
        <v>190960.3077102293</v>
      </c>
      <c r="AD112" s="27">
        <f t="shared" si="43"/>
        <v>0</v>
      </c>
      <c r="AE112" s="27">
        <f t="shared" si="44"/>
        <v>190960.3077102293</v>
      </c>
      <c r="AF112" s="50"/>
      <c r="AG112" t="str">
        <f t="shared" si="45"/>
        <v>5303810</v>
      </c>
    </row>
    <row r="113" spans="1:33" x14ac:dyDescent="0.25">
      <c r="A113" s="7" t="s">
        <v>430</v>
      </c>
      <c r="B113" s="2" t="s">
        <v>871</v>
      </c>
      <c r="C113" s="4" t="s">
        <v>870</v>
      </c>
      <c r="D113">
        <f>_xlfn.IFNA(VLOOKUP(A113,'Prior Year data'!$A$1:$T$318,12,FALSE),0)</f>
        <v>71696.511917529948</v>
      </c>
      <c r="E113">
        <f>VLOOKUP(A113,'Basic HH'!$B$1:$Y$319,23,FALSE)</f>
        <v>24003.779885956374</v>
      </c>
      <c r="F113">
        <f>VLOOKUP(A113,'Conc. HH'!$B$1:$Y$319,23,FALSE)</f>
        <v>6324.6003974505466</v>
      </c>
      <c r="G113">
        <f>VLOOKUP(A113,'Targeted HH'!$B$1:$Y$319,23,FALSE)</f>
        <v>17921.805084332831</v>
      </c>
      <c r="H113">
        <f>VLOOKUP(A113,'EFIG HH'!$B$1:$Y$319,23,FALSE)</f>
        <v>24633.844518155445</v>
      </c>
      <c r="I113">
        <f t="shared" si="23"/>
        <v>72884.029885895201</v>
      </c>
      <c r="J113">
        <f t="shared" si="24"/>
        <v>72884.029885895201</v>
      </c>
      <c r="K113" s="43">
        <f t="shared" si="25"/>
        <v>66236.35926945736</v>
      </c>
      <c r="L113">
        <f t="shared" si="26"/>
        <v>5460.1526480725879</v>
      </c>
      <c r="M113">
        <f t="shared" si="27"/>
        <v>0</v>
      </c>
      <c r="N113" s="43">
        <f t="shared" si="28"/>
        <v>71696.511917529948</v>
      </c>
      <c r="O113">
        <f t="shared" si="29"/>
        <v>0</v>
      </c>
      <c r="P113">
        <f t="shared" si="30"/>
        <v>0</v>
      </c>
      <c r="Q113" s="43">
        <f t="shared" si="31"/>
        <v>71696.511917529948</v>
      </c>
      <c r="R113">
        <f t="shared" si="32"/>
        <v>0</v>
      </c>
      <c r="S113">
        <f t="shared" si="33"/>
        <v>0</v>
      </c>
      <c r="T113" s="43">
        <f t="shared" si="34"/>
        <v>71696.511917529948</v>
      </c>
      <c r="U113">
        <f t="shared" si="35"/>
        <v>0</v>
      </c>
      <c r="V113">
        <f t="shared" si="36"/>
        <v>0</v>
      </c>
      <c r="W113" s="43">
        <f t="shared" si="37"/>
        <v>71696.511917529948</v>
      </c>
      <c r="X113" s="43">
        <f t="shared" si="38"/>
        <v>1187.5179683652532</v>
      </c>
      <c r="Y113" s="27">
        <f t="shared" si="39"/>
        <v>548.88347879336447</v>
      </c>
      <c r="Z113" s="27">
        <f t="shared" si="40"/>
        <v>71147.628438736589</v>
      </c>
      <c r="AA113">
        <f t="shared" si="41"/>
        <v>0</v>
      </c>
      <c r="AB113" s="27">
        <f t="shared" si="42"/>
        <v>71147.628438736589</v>
      </c>
      <c r="AD113" s="27">
        <f t="shared" si="43"/>
        <v>0</v>
      </c>
      <c r="AE113" s="27">
        <f t="shared" si="44"/>
        <v>71147.628438736589</v>
      </c>
      <c r="AF113" s="50"/>
      <c r="AG113" t="str">
        <f t="shared" si="45"/>
        <v>5303870</v>
      </c>
    </row>
    <row r="114" spans="1:33" x14ac:dyDescent="0.25">
      <c r="A114" s="7" t="s">
        <v>432</v>
      </c>
      <c r="B114" s="2" t="s">
        <v>873</v>
      </c>
      <c r="C114" s="8" t="s">
        <v>872</v>
      </c>
      <c r="D114">
        <f>_xlfn.IFNA(VLOOKUP(A114,'Prior Year data'!$A$1:$T$318,12,FALSE),0)</f>
        <v>1767411.3346116841</v>
      </c>
      <c r="E114">
        <f>VLOOKUP(A114,'Basic HH'!$B$1:$Y$319,23,FALSE)</f>
        <v>792108.15834146645</v>
      </c>
      <c r="F114">
        <f>VLOOKUP(A114,'Conc. HH'!$B$1:$Y$319,23,FALSE)</f>
        <v>213166.80519833829</v>
      </c>
      <c r="G114">
        <f>VLOOKUP(A114,'Targeted HH'!$B$1:$Y$319,23,FALSE)</f>
        <v>428519.05688053282</v>
      </c>
      <c r="H114">
        <f>VLOOKUP(A114,'EFIG HH'!$B$1:$Y$319,23,FALSE)</f>
        <v>583015.98775957501</v>
      </c>
      <c r="I114">
        <f t="shared" si="23"/>
        <v>2016810.0081799126</v>
      </c>
      <c r="J114">
        <f t="shared" si="24"/>
        <v>2016810.0081799126</v>
      </c>
      <c r="K114" s="43">
        <f t="shared" si="25"/>
        <v>1832859.0294633808</v>
      </c>
      <c r="L114">
        <f t="shared" si="26"/>
        <v>0</v>
      </c>
      <c r="M114">
        <f t="shared" si="27"/>
        <v>65447.694851696724</v>
      </c>
      <c r="N114" s="43">
        <f t="shared" si="28"/>
        <v>1824304.4357959123</v>
      </c>
      <c r="O114">
        <f t="shared" si="29"/>
        <v>0</v>
      </c>
      <c r="P114">
        <f t="shared" si="30"/>
        <v>56893.101184228202</v>
      </c>
      <c r="Q114" s="43">
        <f t="shared" si="31"/>
        <v>1824304.4357959123</v>
      </c>
      <c r="R114">
        <f t="shared" si="32"/>
        <v>0</v>
      </c>
      <c r="S114">
        <f t="shared" si="33"/>
        <v>56893.101184228202</v>
      </c>
      <c r="T114" s="43">
        <f t="shared" si="34"/>
        <v>1824304.4357959123</v>
      </c>
      <c r="U114">
        <f t="shared" si="35"/>
        <v>0</v>
      </c>
      <c r="V114">
        <f t="shared" si="36"/>
        <v>56893.101184228202</v>
      </c>
      <c r="W114" s="43">
        <f t="shared" si="37"/>
        <v>1824304.4357959123</v>
      </c>
      <c r="X114" s="43">
        <f t="shared" si="38"/>
        <v>192505.57238400029</v>
      </c>
      <c r="Y114" s="27">
        <f t="shared" si="39"/>
        <v>13966.238221597487</v>
      </c>
      <c r="Z114" s="27">
        <f t="shared" si="40"/>
        <v>1810338.1975743149</v>
      </c>
      <c r="AA114">
        <f t="shared" si="41"/>
        <v>0</v>
      </c>
      <c r="AB114" s="27">
        <f t="shared" si="42"/>
        <v>1810338.1975743149</v>
      </c>
      <c r="AD114" s="27">
        <f t="shared" si="43"/>
        <v>0</v>
      </c>
      <c r="AE114" s="27">
        <f t="shared" si="44"/>
        <v>1810338.1975743149</v>
      </c>
      <c r="AF114" s="50"/>
      <c r="AG114" t="str">
        <f t="shared" si="45"/>
        <v>5300003</v>
      </c>
    </row>
    <row r="115" spans="1:33" x14ac:dyDescent="0.25">
      <c r="A115" s="7" t="s">
        <v>434</v>
      </c>
      <c r="B115" s="2" t="s">
        <v>875</v>
      </c>
      <c r="C115" s="4" t="s">
        <v>874</v>
      </c>
      <c r="D115">
        <f>_xlfn.IFNA(VLOOKUP(A115,'Prior Year data'!$A$1:$T$318,12,FALSE),0)</f>
        <v>6263830.307698356</v>
      </c>
      <c r="E115">
        <f>VLOOKUP(A115,'Basic HH'!$B$1:$Y$319,23,FALSE)</f>
        <v>2622989.7348588044</v>
      </c>
      <c r="F115">
        <f>VLOOKUP(A115,'Conc. HH'!$B$1:$Y$319,23,FALSE)</f>
        <v>394816.79832331027</v>
      </c>
      <c r="G115">
        <f>VLOOKUP(A115,'Targeted HH'!$B$1:$Y$319,23,FALSE)</f>
        <v>1912515.1257450476</v>
      </c>
      <c r="H115">
        <f>VLOOKUP(A115,'EFIG HH'!$B$1:$Y$319,23,FALSE)</f>
        <v>2602047.3937807535</v>
      </c>
      <c r="I115">
        <f t="shared" si="23"/>
        <v>7532369.0527079161</v>
      </c>
      <c r="J115">
        <f t="shared" si="24"/>
        <v>7532369.0527079161</v>
      </c>
      <c r="K115" s="43">
        <f t="shared" si="25"/>
        <v>6845350.1199973579</v>
      </c>
      <c r="L115">
        <f t="shared" si="26"/>
        <v>0</v>
      </c>
      <c r="M115">
        <f t="shared" si="27"/>
        <v>581519.81229900196</v>
      </c>
      <c r="N115" s="43">
        <f t="shared" si="28"/>
        <v>6769340.3275199756</v>
      </c>
      <c r="O115">
        <f t="shared" si="29"/>
        <v>0</v>
      </c>
      <c r="P115">
        <f t="shared" si="30"/>
        <v>505510.01982161961</v>
      </c>
      <c r="Q115" s="43">
        <f t="shared" si="31"/>
        <v>6769340.3275199756</v>
      </c>
      <c r="R115">
        <f t="shared" si="32"/>
        <v>0</v>
      </c>
      <c r="S115">
        <f t="shared" si="33"/>
        <v>505510.01982161961</v>
      </c>
      <c r="T115" s="43">
        <f t="shared" si="34"/>
        <v>6769340.3275199756</v>
      </c>
      <c r="U115">
        <f t="shared" si="35"/>
        <v>0</v>
      </c>
      <c r="V115">
        <f t="shared" si="36"/>
        <v>505510.01982161961</v>
      </c>
      <c r="W115" s="43">
        <f t="shared" si="37"/>
        <v>6769340.3275199756</v>
      </c>
      <c r="X115" s="43">
        <f t="shared" si="38"/>
        <v>763028.72518794052</v>
      </c>
      <c r="Y115" s="27">
        <f t="shared" si="39"/>
        <v>51823.707579795257</v>
      </c>
      <c r="Z115" s="27">
        <f t="shared" si="40"/>
        <v>6717516.6199401803</v>
      </c>
      <c r="AA115">
        <f t="shared" si="41"/>
        <v>0</v>
      </c>
      <c r="AB115" s="27">
        <f t="shared" si="42"/>
        <v>6717516.6199401803</v>
      </c>
      <c r="AD115" s="27">
        <f t="shared" si="43"/>
        <v>0</v>
      </c>
      <c r="AE115" s="27">
        <f t="shared" si="44"/>
        <v>6717516.6199401803</v>
      </c>
      <c r="AF115" s="50"/>
      <c r="AG115" t="str">
        <f t="shared" si="45"/>
        <v>5303930</v>
      </c>
    </row>
    <row r="116" spans="1:33" x14ac:dyDescent="0.25">
      <c r="A116" s="7" t="s">
        <v>436</v>
      </c>
      <c r="B116" s="2" t="s">
        <v>877</v>
      </c>
      <c r="C116" s="4" t="s">
        <v>876</v>
      </c>
      <c r="D116">
        <f>_xlfn.IFNA(VLOOKUP(A116,'Prior Year data'!$A$1:$T$318,12,FALSE),0)</f>
        <v>9849589.3203536384</v>
      </c>
      <c r="E116">
        <f>VLOOKUP(A116,'Basic HH'!$B$1:$Y$319,23,FALSE)</f>
        <v>3848499.1772050853</v>
      </c>
      <c r="F116">
        <f>VLOOKUP(A116,'Conc. HH'!$B$1:$Y$319,23,FALSE)</f>
        <v>0</v>
      </c>
      <c r="G116">
        <f>VLOOKUP(A116,'Targeted HH'!$B$1:$Y$319,23,FALSE)</f>
        <v>3095185.8137811017</v>
      </c>
      <c r="H116">
        <f>VLOOKUP(A116,'EFIG HH'!$B$1:$Y$319,23,FALSE)</f>
        <v>4211114.5013186708</v>
      </c>
      <c r="I116">
        <f t="shared" si="23"/>
        <v>11154799.492304858</v>
      </c>
      <c r="J116">
        <f t="shared" si="24"/>
        <v>11154799.492304858</v>
      </c>
      <c r="K116" s="43">
        <f t="shared" si="25"/>
        <v>10137382.742252165</v>
      </c>
      <c r="L116">
        <f t="shared" si="26"/>
        <v>0</v>
      </c>
      <c r="M116">
        <f t="shared" si="27"/>
        <v>287793.42189852707</v>
      </c>
      <c r="N116" s="43">
        <f t="shared" si="28"/>
        <v>10099765.591791924</v>
      </c>
      <c r="O116">
        <f t="shared" si="29"/>
        <v>0</v>
      </c>
      <c r="P116">
        <f t="shared" si="30"/>
        <v>250176.27143828571</v>
      </c>
      <c r="Q116" s="43">
        <f t="shared" si="31"/>
        <v>10099765.591791924</v>
      </c>
      <c r="R116">
        <f t="shared" si="32"/>
        <v>0</v>
      </c>
      <c r="S116">
        <f t="shared" si="33"/>
        <v>250176.27143828571</v>
      </c>
      <c r="T116" s="43">
        <f t="shared" si="34"/>
        <v>10099765.591791924</v>
      </c>
      <c r="U116">
        <f t="shared" si="35"/>
        <v>0</v>
      </c>
      <c r="V116">
        <f t="shared" si="36"/>
        <v>250176.27143828571</v>
      </c>
      <c r="W116" s="43">
        <f t="shared" si="37"/>
        <v>10099765.591791924</v>
      </c>
      <c r="X116" s="43">
        <f t="shared" si="38"/>
        <v>1055033.9005129337</v>
      </c>
      <c r="Y116" s="27">
        <f t="shared" si="39"/>
        <v>77320.281346418677</v>
      </c>
      <c r="Z116" s="27">
        <f t="shared" si="40"/>
        <v>10022445.310445506</v>
      </c>
      <c r="AA116">
        <f t="shared" si="41"/>
        <v>0</v>
      </c>
      <c r="AB116" s="27">
        <f t="shared" si="42"/>
        <v>10022445.310445506</v>
      </c>
      <c r="AD116" s="27">
        <f t="shared" si="43"/>
        <v>0</v>
      </c>
      <c r="AE116" s="27">
        <f t="shared" si="44"/>
        <v>10022445.310445506</v>
      </c>
      <c r="AF116" s="50"/>
      <c r="AG116" t="str">
        <f t="shared" si="45"/>
        <v>5303960</v>
      </c>
    </row>
    <row r="117" spans="1:33" x14ac:dyDescent="0.25">
      <c r="A117" s="7" t="s">
        <v>438</v>
      </c>
      <c r="B117" s="2" t="s">
        <v>879</v>
      </c>
      <c r="C117" s="4" t="s">
        <v>878</v>
      </c>
      <c r="D117">
        <f>_xlfn.IFNA(VLOOKUP(A117,'Prior Year data'!$A$1:$T$318,12,FALSE),0)</f>
        <v>315738.88026817678</v>
      </c>
      <c r="E117">
        <f>VLOOKUP(A117,'Basic HH'!$B$1:$Y$319,23,FALSE)</f>
        <v>129412.40744833171</v>
      </c>
      <c r="F117">
        <f>VLOOKUP(A117,'Conc. HH'!$B$1:$Y$319,23,FALSE)</f>
        <v>34826.594270342539</v>
      </c>
      <c r="G117">
        <f>VLOOKUP(A117,'Targeted HH'!$B$1:$Y$319,23,FALSE)</f>
        <v>62902.42760911752</v>
      </c>
      <c r="H117">
        <f>VLOOKUP(A117,'EFIG HH'!$B$1:$Y$319,23,FALSE)</f>
        <v>85581.073644593926</v>
      </c>
      <c r="I117">
        <f t="shared" si="23"/>
        <v>312722.50297238573</v>
      </c>
      <c r="J117">
        <f t="shared" si="24"/>
        <v>0</v>
      </c>
      <c r="K117" s="43">
        <f t="shared" si="25"/>
        <v>312722.50297238573</v>
      </c>
      <c r="L117">
        <f t="shared" si="26"/>
        <v>0</v>
      </c>
      <c r="M117">
        <f t="shared" si="27"/>
        <v>0</v>
      </c>
      <c r="N117" s="43">
        <f t="shared" si="28"/>
        <v>312722.50297238573</v>
      </c>
      <c r="O117">
        <f t="shared" si="29"/>
        <v>0</v>
      </c>
      <c r="P117">
        <f t="shared" si="30"/>
        <v>0</v>
      </c>
      <c r="Q117" s="43">
        <f t="shared" si="31"/>
        <v>312722.50297238573</v>
      </c>
      <c r="R117">
        <f t="shared" si="32"/>
        <v>0</v>
      </c>
      <c r="S117">
        <f t="shared" si="33"/>
        <v>0</v>
      </c>
      <c r="T117" s="43">
        <f t="shared" si="34"/>
        <v>312722.50297238573</v>
      </c>
      <c r="U117">
        <f t="shared" si="35"/>
        <v>0</v>
      </c>
      <c r="V117">
        <f t="shared" si="36"/>
        <v>0</v>
      </c>
      <c r="W117" s="43">
        <f t="shared" si="37"/>
        <v>312722.50297238573</v>
      </c>
      <c r="X117" s="43">
        <f t="shared" si="38"/>
        <v>0</v>
      </c>
      <c r="Y117" s="27">
        <f t="shared" si="39"/>
        <v>2394.0943671833356</v>
      </c>
      <c r="Z117" s="27">
        <f t="shared" si="40"/>
        <v>310328.40860520239</v>
      </c>
      <c r="AA117">
        <f t="shared" si="41"/>
        <v>0</v>
      </c>
      <c r="AB117" s="27">
        <f t="shared" si="42"/>
        <v>310328.40860520239</v>
      </c>
      <c r="AD117" s="27">
        <f t="shared" si="43"/>
        <v>0</v>
      </c>
      <c r="AE117" s="27">
        <f t="shared" si="44"/>
        <v>310328.40860520239</v>
      </c>
      <c r="AF117" s="50"/>
      <c r="AG117" t="str">
        <f t="shared" si="45"/>
        <v>5303990</v>
      </c>
    </row>
    <row r="118" spans="1:33" x14ac:dyDescent="0.25">
      <c r="A118" s="7" t="s">
        <v>440</v>
      </c>
      <c r="B118" s="2" t="s">
        <v>881</v>
      </c>
      <c r="C118" s="8" t="s">
        <v>880</v>
      </c>
      <c r="D118">
        <f>_xlfn.IFNA(VLOOKUP(A118,'Prior Year data'!$A$1:$T$318,12,FALSE),0)</f>
        <v>471685.65543848812</v>
      </c>
      <c r="E118">
        <f>VLOOKUP(A118,'Basic HH'!$B$1:$Y$319,23,FALSE)</f>
        <v>182824.48837869993</v>
      </c>
      <c r="F118">
        <f>VLOOKUP(A118,'Conc. HH'!$B$1:$Y$319,23,FALSE)</f>
        <v>41889.040507044614</v>
      </c>
      <c r="G118">
        <f>VLOOKUP(A118,'Targeted HH'!$B$1:$Y$319,23,FALSE)</f>
        <v>87456.509791179604</v>
      </c>
      <c r="H118">
        <f>VLOOKUP(A118,'EFIG HH'!$B$1:$Y$319,23,FALSE)</f>
        <v>120210.55101083637</v>
      </c>
      <c r="I118">
        <f t="shared" si="23"/>
        <v>432380.58968776051</v>
      </c>
      <c r="J118">
        <f t="shared" si="24"/>
        <v>0</v>
      </c>
      <c r="K118" s="43">
        <f t="shared" si="25"/>
        <v>432380.58968776051</v>
      </c>
      <c r="L118">
        <f t="shared" si="26"/>
        <v>0</v>
      </c>
      <c r="M118">
        <f t="shared" si="27"/>
        <v>0</v>
      </c>
      <c r="N118" s="43">
        <f t="shared" si="28"/>
        <v>432380.58968776051</v>
      </c>
      <c r="O118">
        <f t="shared" si="29"/>
        <v>0</v>
      </c>
      <c r="P118">
        <f t="shared" si="30"/>
        <v>0</v>
      </c>
      <c r="Q118" s="43">
        <f t="shared" si="31"/>
        <v>432380.58968776051</v>
      </c>
      <c r="R118">
        <f t="shared" si="32"/>
        <v>0</v>
      </c>
      <c r="S118">
        <f t="shared" si="33"/>
        <v>0</v>
      </c>
      <c r="T118" s="43">
        <f t="shared" si="34"/>
        <v>432380.58968776051</v>
      </c>
      <c r="U118">
        <f t="shared" si="35"/>
        <v>0</v>
      </c>
      <c r="V118">
        <f t="shared" si="36"/>
        <v>0</v>
      </c>
      <c r="W118" s="43">
        <f t="shared" si="37"/>
        <v>432380.58968776051</v>
      </c>
      <c r="X118" s="43">
        <f t="shared" si="38"/>
        <v>0</v>
      </c>
      <c r="Y118" s="27">
        <f t="shared" si="39"/>
        <v>3310.1549278092216</v>
      </c>
      <c r="Z118" s="27">
        <f t="shared" si="40"/>
        <v>429070.43475995131</v>
      </c>
      <c r="AA118">
        <f t="shared" si="41"/>
        <v>0</v>
      </c>
      <c r="AB118" s="27">
        <f t="shared" si="42"/>
        <v>429070.43475995131</v>
      </c>
      <c r="AD118" s="27">
        <f t="shared" si="43"/>
        <v>0</v>
      </c>
      <c r="AE118" s="27">
        <f t="shared" si="44"/>
        <v>429070.43475995131</v>
      </c>
      <c r="AF118" s="50"/>
      <c r="AG118" t="str">
        <f t="shared" si="45"/>
        <v>5304020</v>
      </c>
    </row>
    <row r="119" spans="1:33" x14ac:dyDescent="0.25">
      <c r="A119" s="7" t="s">
        <v>278</v>
      </c>
      <c r="B119" s="2" t="s">
        <v>883</v>
      </c>
      <c r="C119" s="4" t="s">
        <v>882</v>
      </c>
      <c r="D119">
        <f>_xlfn.IFNA(VLOOKUP(A119,'Prior Year data'!$A$1:$T$318,12,FALSE),0)</f>
        <v>98224.258250258034</v>
      </c>
      <c r="E119">
        <f>VLOOKUP(A119,'Basic HH'!$B$1:$Y$319,23,FALSE)</f>
        <v>60797.77531129674</v>
      </c>
      <c r="F119">
        <f>VLOOKUP(A119,'Conc. HH'!$B$1:$Y$319,23,FALSE)</f>
        <v>0</v>
      </c>
      <c r="G119">
        <f>VLOOKUP(A119,'Targeted HH'!$B$1:$Y$319,23,FALSE)</f>
        <v>29336.26795270151</v>
      </c>
      <c r="H119">
        <f>VLOOKUP(A119,'EFIG HH'!$B$1:$Y$319,23,FALSE)</f>
        <v>39913.074956645723</v>
      </c>
      <c r="I119">
        <f t="shared" si="23"/>
        <v>130047.11822064397</v>
      </c>
      <c r="J119">
        <f t="shared" si="24"/>
        <v>130047.11822064397</v>
      </c>
      <c r="K119" s="43">
        <f t="shared" si="25"/>
        <v>118185.66643345215</v>
      </c>
      <c r="L119">
        <f t="shared" si="26"/>
        <v>0</v>
      </c>
      <c r="M119">
        <f t="shared" si="27"/>
        <v>19961.408183194115</v>
      </c>
      <c r="N119" s="43">
        <f t="shared" si="28"/>
        <v>115576.53350028086</v>
      </c>
      <c r="O119">
        <f t="shared" si="29"/>
        <v>0</v>
      </c>
      <c r="P119">
        <f t="shared" si="30"/>
        <v>17352.275250022823</v>
      </c>
      <c r="Q119" s="43">
        <f t="shared" si="31"/>
        <v>115576.53350028086</v>
      </c>
      <c r="R119">
        <f t="shared" si="32"/>
        <v>0</v>
      </c>
      <c r="S119">
        <f t="shared" si="33"/>
        <v>17352.275250022823</v>
      </c>
      <c r="T119" s="43">
        <f t="shared" si="34"/>
        <v>115576.53350028086</v>
      </c>
      <c r="U119">
        <f t="shared" si="35"/>
        <v>0</v>
      </c>
      <c r="V119">
        <f t="shared" si="36"/>
        <v>17352.275250022823</v>
      </c>
      <c r="W119" s="43">
        <f t="shared" si="37"/>
        <v>115576.53350028086</v>
      </c>
      <c r="X119" s="43">
        <f t="shared" si="38"/>
        <v>14470.584720363113</v>
      </c>
      <c r="Y119" s="27">
        <f t="shared" si="39"/>
        <v>884.81361335238478</v>
      </c>
      <c r="Z119" s="27">
        <f t="shared" si="40"/>
        <v>114691.71988692848</v>
      </c>
      <c r="AA119">
        <f t="shared" si="41"/>
        <v>0</v>
      </c>
      <c r="AB119" s="27">
        <f t="shared" si="42"/>
        <v>114691.71988692848</v>
      </c>
      <c r="AD119" s="27">
        <f t="shared" si="43"/>
        <v>0</v>
      </c>
      <c r="AE119" s="27">
        <f t="shared" si="44"/>
        <v>114691.71988692848</v>
      </c>
      <c r="AF119" s="50"/>
      <c r="AG119" t="str">
        <f t="shared" si="45"/>
        <v>5304050</v>
      </c>
    </row>
    <row r="120" spans="1:33" x14ac:dyDescent="0.25">
      <c r="A120" s="7" t="s">
        <v>441</v>
      </c>
      <c r="B120" s="2" t="s">
        <v>885</v>
      </c>
      <c r="C120" s="4" t="s">
        <v>884</v>
      </c>
      <c r="D120">
        <f>_xlfn.IFNA(VLOOKUP(A120,'Prior Year data'!$A$1:$T$318,12,FALSE),0)</f>
        <v>30459.500619696282</v>
      </c>
      <c r="E120">
        <f>VLOOKUP(A120,'Basic HH'!$B$1:$Y$319,23,FALSE)</f>
        <v>0</v>
      </c>
      <c r="F120">
        <f>VLOOKUP(A120,'Conc. HH'!$B$1:$Y$319,23,FALSE)</f>
        <v>2697.5894168337459</v>
      </c>
      <c r="G120">
        <f>VLOOKUP(A120,'Targeted HH'!$B$1:$Y$319,23,FALSE)</f>
        <v>0</v>
      </c>
      <c r="H120">
        <f>VLOOKUP(A120,'EFIG HH'!$B$1:$Y$319,23,FALSE)</f>
        <v>0</v>
      </c>
      <c r="I120">
        <f t="shared" si="23"/>
        <v>2697.5894168337459</v>
      </c>
      <c r="J120">
        <f t="shared" si="24"/>
        <v>0</v>
      </c>
      <c r="K120" s="43">
        <f t="shared" si="25"/>
        <v>2697.5894168337459</v>
      </c>
      <c r="L120">
        <f t="shared" si="26"/>
        <v>0</v>
      </c>
      <c r="M120">
        <f t="shared" si="27"/>
        <v>0</v>
      </c>
      <c r="N120" s="43">
        <f t="shared" si="28"/>
        <v>2697.5894168337459</v>
      </c>
      <c r="O120">
        <f t="shared" si="29"/>
        <v>0</v>
      </c>
      <c r="P120">
        <f t="shared" si="30"/>
        <v>0</v>
      </c>
      <c r="Q120" s="43">
        <f t="shared" si="31"/>
        <v>2697.5894168337459</v>
      </c>
      <c r="R120">
        <f t="shared" si="32"/>
        <v>0</v>
      </c>
      <c r="S120">
        <f t="shared" si="33"/>
        <v>0</v>
      </c>
      <c r="T120" s="43">
        <f t="shared" si="34"/>
        <v>2697.5894168337459</v>
      </c>
      <c r="U120">
        <f t="shared" si="35"/>
        <v>0</v>
      </c>
      <c r="V120">
        <f t="shared" si="36"/>
        <v>0</v>
      </c>
      <c r="W120" s="43">
        <f t="shared" si="37"/>
        <v>2697.5894168337459</v>
      </c>
      <c r="X120" s="43">
        <f t="shared" si="38"/>
        <v>0</v>
      </c>
      <c r="Y120" s="27">
        <f t="shared" si="39"/>
        <v>20.651803328605791</v>
      </c>
      <c r="Z120" s="27">
        <f t="shared" si="40"/>
        <v>2676.9376135051402</v>
      </c>
      <c r="AA120">
        <f t="shared" si="41"/>
        <v>0</v>
      </c>
      <c r="AB120" s="27">
        <f t="shared" si="42"/>
        <v>2676.9376135051402</v>
      </c>
      <c r="AD120" s="27">
        <f t="shared" si="43"/>
        <v>0</v>
      </c>
      <c r="AE120" s="27">
        <f t="shared" si="44"/>
        <v>2676.9376135051402</v>
      </c>
      <c r="AF120" s="50"/>
      <c r="AG120" t="str">
        <f t="shared" si="45"/>
        <v>5304080</v>
      </c>
    </row>
    <row r="121" spans="1:33" x14ac:dyDescent="0.25">
      <c r="A121" s="7" t="s">
        <v>149</v>
      </c>
      <c r="B121" s="2" t="s">
        <v>887</v>
      </c>
      <c r="C121" s="4" t="s">
        <v>886</v>
      </c>
      <c r="D121">
        <f>_xlfn.IFNA(VLOOKUP(A121,'Prior Year data'!$A$1:$T$318,12,FALSE),0)</f>
        <v>230471.61659446461</v>
      </c>
      <c r="E121">
        <f>VLOOKUP(A121,'Basic HH'!$B$1:$Y$319,23,FALSE)</f>
        <v>93802.281908857854</v>
      </c>
      <c r="F121">
        <f>VLOOKUP(A121,'Conc. HH'!$B$1:$Y$319,23,FALSE)</f>
        <v>0</v>
      </c>
      <c r="G121">
        <f>VLOOKUP(A121,'Targeted HH'!$B$1:$Y$319,23,FALSE)</f>
        <v>45261.670555596633</v>
      </c>
      <c r="H121">
        <f>VLOOKUP(A121,'EFIG HH'!$B$1:$Y$319,23,FALSE)</f>
        <v>61580.172790253389</v>
      </c>
      <c r="I121">
        <f t="shared" si="23"/>
        <v>200644.12525470788</v>
      </c>
      <c r="J121">
        <f t="shared" si="24"/>
        <v>0</v>
      </c>
      <c r="K121" s="43">
        <f t="shared" si="25"/>
        <v>200644.12525470788</v>
      </c>
      <c r="L121">
        <f t="shared" si="26"/>
        <v>0</v>
      </c>
      <c r="M121">
        <f t="shared" si="27"/>
        <v>0</v>
      </c>
      <c r="N121" s="43">
        <f t="shared" si="28"/>
        <v>200644.12525470788</v>
      </c>
      <c r="O121">
        <f t="shared" si="29"/>
        <v>0</v>
      </c>
      <c r="P121">
        <f t="shared" si="30"/>
        <v>0</v>
      </c>
      <c r="Q121" s="43">
        <f t="shared" si="31"/>
        <v>200644.12525470788</v>
      </c>
      <c r="R121">
        <f t="shared" si="32"/>
        <v>0</v>
      </c>
      <c r="S121">
        <f t="shared" si="33"/>
        <v>0</v>
      </c>
      <c r="T121" s="43">
        <f t="shared" si="34"/>
        <v>200644.12525470788</v>
      </c>
      <c r="U121">
        <f t="shared" si="35"/>
        <v>0</v>
      </c>
      <c r="V121">
        <f t="shared" si="36"/>
        <v>0</v>
      </c>
      <c r="W121" s="43">
        <f t="shared" si="37"/>
        <v>200644.12525470788</v>
      </c>
      <c r="X121" s="43">
        <f t="shared" si="38"/>
        <v>0</v>
      </c>
      <c r="Y121" s="27">
        <f t="shared" si="39"/>
        <v>1536.0614139211496</v>
      </c>
      <c r="Z121" s="27">
        <f t="shared" si="40"/>
        <v>199108.06384078672</v>
      </c>
      <c r="AA121">
        <f t="shared" si="41"/>
        <v>0</v>
      </c>
      <c r="AB121" s="27">
        <f t="shared" si="42"/>
        <v>199108.06384078672</v>
      </c>
      <c r="AD121" s="27">
        <f t="shared" si="43"/>
        <v>0</v>
      </c>
      <c r="AE121" s="27">
        <f t="shared" si="44"/>
        <v>199108.06384078672</v>
      </c>
      <c r="AF121" s="50"/>
      <c r="AG121" t="str">
        <f t="shared" si="45"/>
        <v>5304170</v>
      </c>
    </row>
    <row r="122" spans="1:33" x14ac:dyDescent="0.25">
      <c r="A122" s="7" t="s">
        <v>280</v>
      </c>
      <c r="B122" s="2" t="s">
        <v>889</v>
      </c>
      <c r="C122" s="4" t="s">
        <v>888</v>
      </c>
      <c r="D122">
        <f>_xlfn.IFNA(VLOOKUP(A122,'Prior Year data'!$A$1:$T$318,12,FALSE),0)</f>
        <v>263551.15852845751</v>
      </c>
      <c r="E122">
        <f>VLOOKUP(A122,'Basic HH'!$B$1:$Y$319,23,FALSE)</f>
        <v>84673.853565184225</v>
      </c>
      <c r="F122">
        <f>VLOOKUP(A122,'Conc. HH'!$B$1:$Y$319,23,FALSE)</f>
        <v>22176.550856670681</v>
      </c>
      <c r="G122">
        <f>VLOOKUP(A122,'Targeted HH'!$B$1:$Y$319,23,FALSE)</f>
        <v>51773.721280946986</v>
      </c>
      <c r="H122">
        <f>VLOOKUP(A122,'EFIG HH'!$B$1:$Y$319,23,FALSE)</f>
        <v>71392.5271208052</v>
      </c>
      <c r="I122">
        <f t="shared" si="23"/>
        <v>230016.65282360709</v>
      </c>
      <c r="J122">
        <f t="shared" si="24"/>
        <v>0</v>
      </c>
      <c r="K122" s="43">
        <f t="shared" si="25"/>
        <v>230016.65282360709</v>
      </c>
      <c r="L122">
        <f t="shared" si="26"/>
        <v>0</v>
      </c>
      <c r="M122">
        <f t="shared" si="27"/>
        <v>0</v>
      </c>
      <c r="N122" s="43">
        <f t="shared" si="28"/>
        <v>230016.65282360709</v>
      </c>
      <c r="O122">
        <f t="shared" si="29"/>
        <v>0</v>
      </c>
      <c r="P122">
        <f t="shared" si="30"/>
        <v>0</v>
      </c>
      <c r="Q122" s="43">
        <f t="shared" si="31"/>
        <v>230016.65282360709</v>
      </c>
      <c r="R122">
        <f t="shared" si="32"/>
        <v>0</v>
      </c>
      <c r="S122">
        <f t="shared" si="33"/>
        <v>0</v>
      </c>
      <c r="T122" s="43">
        <f t="shared" si="34"/>
        <v>230016.65282360709</v>
      </c>
      <c r="U122">
        <f t="shared" si="35"/>
        <v>0</v>
      </c>
      <c r="V122">
        <f t="shared" si="36"/>
        <v>0</v>
      </c>
      <c r="W122" s="43">
        <f t="shared" si="37"/>
        <v>230016.65282360709</v>
      </c>
      <c r="X122" s="43">
        <f t="shared" si="38"/>
        <v>0</v>
      </c>
      <c r="Y122" s="27">
        <f t="shared" si="39"/>
        <v>1760.9272362852291</v>
      </c>
      <c r="Z122" s="27">
        <f t="shared" si="40"/>
        <v>228255.72558732185</v>
      </c>
      <c r="AA122">
        <f t="shared" si="41"/>
        <v>0</v>
      </c>
      <c r="AB122" s="27">
        <f t="shared" si="42"/>
        <v>228255.72558732185</v>
      </c>
      <c r="AD122" s="27">
        <f t="shared" si="43"/>
        <v>0</v>
      </c>
      <c r="AE122" s="27">
        <f t="shared" si="44"/>
        <v>228255.72558732185</v>
      </c>
      <c r="AF122" s="50"/>
      <c r="AG122" t="str">
        <f t="shared" si="45"/>
        <v>5304110</v>
      </c>
    </row>
    <row r="123" spans="1:33" x14ac:dyDescent="0.25">
      <c r="A123" s="7" t="s">
        <v>443</v>
      </c>
      <c r="B123" s="2" t="s">
        <v>891</v>
      </c>
      <c r="C123" s="4" t="s">
        <v>890</v>
      </c>
      <c r="D123">
        <f>_xlfn.IFNA(VLOOKUP(A123,'Prior Year data'!$A$1:$T$318,12,FALSE),0)</f>
        <v>27397.177147390419</v>
      </c>
      <c r="E123">
        <f>VLOOKUP(A123,'Basic HH'!$B$1:$Y$319,23,FALSE)</f>
        <v>14765.174004172071</v>
      </c>
      <c r="F123">
        <f>VLOOKUP(A123,'Conc. HH'!$B$1:$Y$319,23,FALSE)</f>
        <v>3973.5040442672707</v>
      </c>
      <c r="G123">
        <f>VLOOKUP(A123,'Targeted HH'!$B$1:$Y$319,23,FALSE)</f>
        <v>8060.5587095469218</v>
      </c>
      <c r="H123">
        <f>VLOOKUP(A123,'EFIG HH'!$B$1:$Y$319,23,FALSE)</f>
        <v>10966.687531123504</v>
      </c>
      <c r="I123">
        <f t="shared" si="23"/>
        <v>37765.924289109767</v>
      </c>
      <c r="J123">
        <f t="shared" si="24"/>
        <v>37765.924289109767</v>
      </c>
      <c r="K123" s="43">
        <f t="shared" si="25"/>
        <v>34321.336694373647</v>
      </c>
      <c r="L123">
        <f t="shared" si="26"/>
        <v>0</v>
      </c>
      <c r="M123">
        <f t="shared" si="27"/>
        <v>6924.1595469832282</v>
      </c>
      <c r="N123" s="43">
        <f t="shared" si="28"/>
        <v>33416.287684666182</v>
      </c>
      <c r="O123">
        <f t="shared" si="29"/>
        <v>0</v>
      </c>
      <c r="P123">
        <f t="shared" si="30"/>
        <v>6019.1105372757629</v>
      </c>
      <c r="Q123" s="43">
        <f t="shared" si="31"/>
        <v>33416.287684666182</v>
      </c>
      <c r="R123">
        <f t="shared" si="32"/>
        <v>0</v>
      </c>
      <c r="S123">
        <f t="shared" si="33"/>
        <v>6019.1105372757629</v>
      </c>
      <c r="T123" s="43">
        <f t="shared" si="34"/>
        <v>33416.287684666182</v>
      </c>
      <c r="U123">
        <f t="shared" si="35"/>
        <v>0</v>
      </c>
      <c r="V123">
        <f t="shared" si="36"/>
        <v>6019.1105372757629</v>
      </c>
      <c r="W123" s="43">
        <f t="shared" si="37"/>
        <v>33416.287684666182</v>
      </c>
      <c r="X123" s="43">
        <f t="shared" si="38"/>
        <v>4349.6366044435854</v>
      </c>
      <c r="Y123" s="27">
        <f t="shared" si="39"/>
        <v>255.82343885595449</v>
      </c>
      <c r="Z123" s="27">
        <f t="shared" si="40"/>
        <v>33160.464245810224</v>
      </c>
      <c r="AA123">
        <f t="shared" si="41"/>
        <v>0</v>
      </c>
      <c r="AB123" s="27">
        <f t="shared" si="42"/>
        <v>33160.464245810224</v>
      </c>
      <c r="AD123" s="27">
        <f t="shared" si="43"/>
        <v>0</v>
      </c>
      <c r="AE123" s="27">
        <f t="shared" si="44"/>
        <v>33160.464245810224</v>
      </c>
      <c r="AF123" s="50"/>
      <c r="AG123" t="str">
        <f t="shared" si="45"/>
        <v>5304150</v>
      </c>
    </row>
    <row r="124" spans="1:33" x14ac:dyDescent="0.25">
      <c r="A124" s="7" t="s">
        <v>282</v>
      </c>
      <c r="B124" s="2" t="s">
        <v>893</v>
      </c>
      <c r="C124" s="8" t="s">
        <v>892</v>
      </c>
      <c r="D124">
        <f>_xlfn.IFNA(VLOOKUP(A124,'Prior Year data'!$A$1:$T$318,12,FALSE),0)</f>
        <v>267392.66358657542</v>
      </c>
      <c r="E124">
        <f>VLOOKUP(A124,'Basic HH'!$B$1:$Y$319,23,FALSE)</f>
        <v>145046.12109980796</v>
      </c>
      <c r="F124">
        <f>VLOOKUP(A124,'Conc. HH'!$B$1:$Y$319,23,FALSE)</f>
        <v>0</v>
      </c>
      <c r="G124">
        <f>VLOOKUP(A124,'Targeted HH'!$B$1:$Y$319,23,FALSE)</f>
        <v>69987.95354430216</v>
      </c>
      <c r="H124">
        <f>VLOOKUP(A124,'EFIG HH'!$B$1:$Y$319,23,FALSE)</f>
        <v>95221.193110854787</v>
      </c>
      <c r="I124">
        <f t="shared" si="23"/>
        <v>310255.26775496488</v>
      </c>
      <c r="J124">
        <f t="shared" si="24"/>
        <v>310255.26775496488</v>
      </c>
      <c r="K124" s="43">
        <f t="shared" si="25"/>
        <v>281957.23277695011</v>
      </c>
      <c r="L124">
        <f t="shared" si="26"/>
        <v>0</v>
      </c>
      <c r="M124">
        <f t="shared" si="27"/>
        <v>14564.569190374692</v>
      </c>
      <c r="N124" s="43">
        <f t="shared" si="28"/>
        <v>280053.51452304196</v>
      </c>
      <c r="O124">
        <f t="shared" si="29"/>
        <v>0</v>
      </c>
      <c r="P124">
        <f t="shared" si="30"/>
        <v>12660.850936466537</v>
      </c>
      <c r="Q124" s="43">
        <f t="shared" si="31"/>
        <v>280053.51452304196</v>
      </c>
      <c r="R124">
        <f t="shared" si="32"/>
        <v>0</v>
      </c>
      <c r="S124">
        <f t="shared" si="33"/>
        <v>12660.850936466537</v>
      </c>
      <c r="T124" s="43">
        <f t="shared" si="34"/>
        <v>280053.51452304196</v>
      </c>
      <c r="U124">
        <f t="shared" si="35"/>
        <v>0</v>
      </c>
      <c r="V124">
        <f t="shared" si="36"/>
        <v>12660.850936466537</v>
      </c>
      <c r="W124" s="43">
        <f t="shared" si="37"/>
        <v>280053.51452304196</v>
      </c>
      <c r="X124" s="43">
        <f t="shared" si="38"/>
        <v>30201.753231922921</v>
      </c>
      <c r="Y124" s="27">
        <f t="shared" si="39"/>
        <v>2143.9919905243146</v>
      </c>
      <c r="Z124" s="27">
        <f t="shared" si="40"/>
        <v>277909.52253251767</v>
      </c>
      <c r="AA124">
        <f t="shared" si="41"/>
        <v>0</v>
      </c>
      <c r="AB124" s="27">
        <f t="shared" si="42"/>
        <v>277909.52253251767</v>
      </c>
      <c r="AD124" s="27">
        <f t="shared" si="43"/>
        <v>0</v>
      </c>
      <c r="AE124" s="27">
        <f t="shared" si="44"/>
        <v>277909.52253251767</v>
      </c>
      <c r="AF124" s="50"/>
      <c r="AG124" t="str">
        <f t="shared" si="45"/>
        <v>5301200</v>
      </c>
    </row>
    <row r="125" spans="1:33" x14ac:dyDescent="0.25">
      <c r="A125" s="7" t="s">
        <v>151</v>
      </c>
      <c r="B125" s="2" t="s">
        <v>895</v>
      </c>
      <c r="C125" s="4" t="s">
        <v>894</v>
      </c>
      <c r="D125">
        <f>_xlfn.IFNA(VLOOKUP(A125,'Prior Year data'!$A$1:$T$318,12,FALSE),0)</f>
        <v>922373.68025052221</v>
      </c>
      <c r="E125">
        <f>VLOOKUP(A125,'Basic HH'!$B$1:$Y$319,23,FALSE)</f>
        <v>592344.0394614914</v>
      </c>
      <c r="F125">
        <f>VLOOKUP(A125,'Conc. HH'!$B$1:$Y$319,23,FALSE)</f>
        <v>0</v>
      </c>
      <c r="G125">
        <f>VLOOKUP(A125,'Targeted HH'!$B$1:$Y$319,23,FALSE)</f>
        <v>285819.06776774884</v>
      </c>
      <c r="H125">
        <f>VLOOKUP(A125,'EFIG HH'!$B$1:$Y$319,23,FALSE)</f>
        <v>388867.38743474818</v>
      </c>
      <c r="I125">
        <f t="shared" si="23"/>
        <v>1267030.4946639885</v>
      </c>
      <c r="J125">
        <f t="shared" si="24"/>
        <v>1267030.4946639885</v>
      </c>
      <c r="K125" s="43">
        <f t="shared" si="25"/>
        <v>1151466.064394491</v>
      </c>
      <c r="L125">
        <f t="shared" si="26"/>
        <v>0</v>
      </c>
      <c r="M125">
        <f t="shared" si="27"/>
        <v>229092.38414396881</v>
      </c>
      <c r="N125" s="43">
        <f t="shared" si="28"/>
        <v>1121521.6597351043</v>
      </c>
      <c r="O125">
        <f t="shared" si="29"/>
        <v>0</v>
      </c>
      <c r="P125">
        <f t="shared" si="30"/>
        <v>199147.97948458209</v>
      </c>
      <c r="Q125" s="43">
        <f t="shared" si="31"/>
        <v>1121521.6597351043</v>
      </c>
      <c r="R125">
        <f t="shared" si="32"/>
        <v>0</v>
      </c>
      <c r="S125">
        <f t="shared" si="33"/>
        <v>199147.97948458209</v>
      </c>
      <c r="T125" s="43">
        <f t="shared" si="34"/>
        <v>1121521.6597351043</v>
      </c>
      <c r="U125">
        <f t="shared" si="35"/>
        <v>0</v>
      </c>
      <c r="V125">
        <f t="shared" si="36"/>
        <v>199147.97948458209</v>
      </c>
      <c r="W125" s="43">
        <f t="shared" si="37"/>
        <v>1121521.6597351043</v>
      </c>
      <c r="X125" s="43">
        <f t="shared" si="38"/>
        <v>145508.83492888417</v>
      </c>
      <c r="Y125" s="27">
        <f t="shared" si="39"/>
        <v>8585.9785040253864</v>
      </c>
      <c r="Z125" s="27">
        <f t="shared" si="40"/>
        <v>1112935.6812310789</v>
      </c>
      <c r="AA125">
        <f t="shared" si="41"/>
        <v>0</v>
      </c>
      <c r="AB125" s="27">
        <f t="shared" si="42"/>
        <v>1112935.6812310789</v>
      </c>
      <c r="AD125" s="27">
        <f t="shared" si="43"/>
        <v>0</v>
      </c>
      <c r="AE125" s="27">
        <f t="shared" si="44"/>
        <v>1112935.6812310789</v>
      </c>
      <c r="AF125" s="50"/>
      <c r="AG125" t="str">
        <f t="shared" si="45"/>
        <v>5304200</v>
      </c>
    </row>
    <row r="126" spans="1:33" x14ac:dyDescent="0.25">
      <c r="A126" s="7" t="s">
        <v>153</v>
      </c>
      <c r="B126" s="2" t="s">
        <v>897</v>
      </c>
      <c r="C126" s="4" t="s">
        <v>896</v>
      </c>
      <c r="D126">
        <f>_xlfn.IFNA(VLOOKUP(A126,'Prior Year data'!$A$1:$T$318,12,FALSE),0)</f>
        <v>1098430.9050383929</v>
      </c>
      <c r="E126">
        <f>VLOOKUP(A126,'Basic HH'!$B$1:$Y$319,23,FALSE)</f>
        <v>1273279.1229480153</v>
      </c>
      <c r="F126">
        <f>VLOOKUP(A126,'Conc. HH'!$B$1:$Y$319,23,FALSE)</f>
        <v>0</v>
      </c>
      <c r="G126">
        <f>VLOOKUP(A126,'Targeted HH'!$B$1:$Y$319,23,FALSE)</f>
        <v>0</v>
      </c>
      <c r="H126">
        <f>VLOOKUP(A126,'EFIG HH'!$B$1:$Y$319,23,FALSE)</f>
        <v>0</v>
      </c>
      <c r="I126">
        <f t="shared" si="23"/>
        <v>1273279.1229480153</v>
      </c>
      <c r="J126">
        <f t="shared" si="24"/>
        <v>1273279.1229480153</v>
      </c>
      <c r="K126" s="43">
        <f t="shared" si="25"/>
        <v>1157144.7623014271</v>
      </c>
      <c r="L126">
        <f t="shared" si="26"/>
        <v>0</v>
      </c>
      <c r="M126">
        <f t="shared" si="27"/>
        <v>58713.85726303421</v>
      </c>
      <c r="N126" s="43">
        <f t="shared" si="28"/>
        <v>1149470.3408772172</v>
      </c>
      <c r="O126">
        <f t="shared" si="29"/>
        <v>0</v>
      </c>
      <c r="P126">
        <f t="shared" si="30"/>
        <v>51039.435838824371</v>
      </c>
      <c r="Q126" s="43">
        <f t="shared" si="31"/>
        <v>1149470.3408772172</v>
      </c>
      <c r="R126">
        <f t="shared" si="32"/>
        <v>0</v>
      </c>
      <c r="S126">
        <f t="shared" si="33"/>
        <v>51039.435838824371</v>
      </c>
      <c r="T126" s="43">
        <f t="shared" si="34"/>
        <v>1149470.3408772172</v>
      </c>
      <c r="U126">
        <f t="shared" si="35"/>
        <v>0</v>
      </c>
      <c r="V126">
        <f t="shared" si="36"/>
        <v>51039.435838824371</v>
      </c>
      <c r="W126" s="43">
        <f t="shared" si="37"/>
        <v>1149470.3408772172</v>
      </c>
      <c r="X126" s="43">
        <f t="shared" si="38"/>
        <v>123808.7820707981</v>
      </c>
      <c r="Y126" s="27">
        <f t="shared" si="39"/>
        <v>8799.9438549564784</v>
      </c>
      <c r="Z126" s="27">
        <f t="shared" si="40"/>
        <v>1140670.3970222608</v>
      </c>
      <c r="AA126">
        <f t="shared" si="41"/>
        <v>0</v>
      </c>
      <c r="AB126" s="27">
        <f t="shared" si="42"/>
        <v>1140670.3970222608</v>
      </c>
      <c r="AD126" s="27">
        <f t="shared" si="43"/>
        <v>0</v>
      </c>
      <c r="AE126" s="27">
        <f t="shared" si="44"/>
        <v>1140670.3970222608</v>
      </c>
      <c r="AF126" s="50"/>
      <c r="AG126" t="str">
        <f t="shared" si="45"/>
        <v>5304230</v>
      </c>
    </row>
    <row r="127" spans="1:33" x14ac:dyDescent="0.25">
      <c r="A127" s="7" t="s">
        <v>155</v>
      </c>
      <c r="B127" s="2" t="s">
        <v>899</v>
      </c>
      <c r="C127" s="4" t="s">
        <v>898</v>
      </c>
      <c r="D127">
        <f>_xlfn.IFNA(VLOOKUP(A127,'Prior Year data'!$A$1:$T$318,12,FALSE),0)</f>
        <v>557198.59935327817</v>
      </c>
      <c r="E127">
        <f>VLOOKUP(A127,'Basic HH'!$B$1:$Y$319,23,FALSE)</f>
        <v>294434.9404361372</v>
      </c>
      <c r="F127">
        <f>VLOOKUP(A127,'Conc. HH'!$B$1:$Y$319,23,FALSE)</f>
        <v>0</v>
      </c>
      <c r="G127">
        <f>VLOOKUP(A127,'Targeted HH'!$B$1:$Y$319,23,FALSE)</f>
        <v>142071.35479951155</v>
      </c>
      <c r="H127">
        <f>VLOOKUP(A127,'EFIG HH'!$B$1:$Y$319,23,FALSE)</f>
        <v>193293.32014718422</v>
      </c>
      <c r="I127">
        <f t="shared" si="23"/>
        <v>629799.61538283294</v>
      </c>
      <c r="J127">
        <f t="shared" si="24"/>
        <v>629799.61538283294</v>
      </c>
      <c r="K127" s="43">
        <f t="shared" si="25"/>
        <v>572356.29887057538</v>
      </c>
      <c r="L127">
        <f t="shared" si="26"/>
        <v>0</v>
      </c>
      <c r="M127">
        <f t="shared" si="27"/>
        <v>15157.699517297209</v>
      </c>
      <c r="N127" s="43">
        <f t="shared" si="28"/>
        <v>570375.05322704453</v>
      </c>
      <c r="O127">
        <f t="shared" si="29"/>
        <v>0</v>
      </c>
      <c r="P127">
        <f t="shared" si="30"/>
        <v>13176.453873766353</v>
      </c>
      <c r="Q127" s="43">
        <f t="shared" si="31"/>
        <v>570375.05322704453</v>
      </c>
      <c r="R127">
        <f t="shared" si="32"/>
        <v>0</v>
      </c>
      <c r="S127">
        <f t="shared" si="33"/>
        <v>13176.453873766353</v>
      </c>
      <c r="T127" s="43">
        <f t="shared" si="34"/>
        <v>570375.05322704453</v>
      </c>
      <c r="U127">
        <f t="shared" si="35"/>
        <v>0</v>
      </c>
      <c r="V127">
        <f t="shared" si="36"/>
        <v>13176.453873766353</v>
      </c>
      <c r="W127" s="43">
        <f t="shared" si="37"/>
        <v>570375.05322704453</v>
      </c>
      <c r="X127" s="43">
        <f t="shared" si="38"/>
        <v>59424.562155788415</v>
      </c>
      <c r="Y127" s="27">
        <f t="shared" si="39"/>
        <v>4366.5923914447012</v>
      </c>
      <c r="Z127" s="27">
        <f t="shared" si="40"/>
        <v>566008.46083559981</v>
      </c>
      <c r="AA127">
        <f t="shared" si="41"/>
        <v>0</v>
      </c>
      <c r="AB127" s="27">
        <f t="shared" si="42"/>
        <v>566008.46083559981</v>
      </c>
      <c r="AD127" s="27">
        <f t="shared" si="43"/>
        <v>0</v>
      </c>
      <c r="AE127" s="27">
        <f t="shared" si="44"/>
        <v>566008.46083559981</v>
      </c>
      <c r="AF127" s="50"/>
      <c r="AG127" t="str">
        <f t="shared" si="45"/>
        <v>5304260</v>
      </c>
    </row>
    <row r="128" spans="1:33" x14ac:dyDescent="0.25">
      <c r="A128" s="7" t="s">
        <v>157</v>
      </c>
      <c r="B128" s="2" t="s">
        <v>901</v>
      </c>
      <c r="C128" s="4" t="s">
        <v>900</v>
      </c>
      <c r="D128">
        <f>_xlfn.IFNA(VLOOKUP(A128,'Prior Year data'!$A$1:$T$318,12,FALSE),0)</f>
        <v>0</v>
      </c>
      <c r="E128">
        <f>VLOOKUP(A128,'Basic HH'!$B$1:$Y$319,23,FALSE)</f>
        <v>8685.3964730423959</v>
      </c>
      <c r="F128">
        <f>VLOOKUP(A128,'Conc. HH'!$B$1:$Y$319,23,FALSE)</f>
        <v>2337.3553201572181</v>
      </c>
      <c r="G128">
        <f>VLOOKUP(A128,'Targeted HH'!$B$1:$Y$319,23,FALSE)</f>
        <v>7649.0127791247351</v>
      </c>
      <c r="H128">
        <f>VLOOKUP(A128,'EFIG HH'!$B$1:$Y$319,23,FALSE)</f>
        <v>10406.764108160278</v>
      </c>
      <c r="I128">
        <f t="shared" si="23"/>
        <v>29078.528680484626</v>
      </c>
      <c r="J128">
        <f t="shared" si="24"/>
        <v>29078.528680484626</v>
      </c>
      <c r="K128" s="43">
        <f t="shared" si="25"/>
        <v>26426.308695103278</v>
      </c>
      <c r="L128">
        <f t="shared" si="26"/>
        <v>0</v>
      </c>
      <c r="M128">
        <f t="shared" si="27"/>
        <v>26426.308695103278</v>
      </c>
      <c r="N128" s="43">
        <f t="shared" si="28"/>
        <v>22972.155977731629</v>
      </c>
      <c r="O128">
        <f t="shared" si="29"/>
        <v>0</v>
      </c>
      <c r="P128">
        <f t="shared" si="30"/>
        <v>22972.155977731629</v>
      </c>
      <c r="Q128" s="43">
        <f t="shared" si="31"/>
        <v>22972.155977731629</v>
      </c>
      <c r="R128">
        <f t="shared" si="32"/>
        <v>0</v>
      </c>
      <c r="S128">
        <f t="shared" si="33"/>
        <v>22972.155977731629</v>
      </c>
      <c r="T128" s="43">
        <f t="shared" si="34"/>
        <v>22972.155977731629</v>
      </c>
      <c r="U128">
        <f t="shared" si="35"/>
        <v>0</v>
      </c>
      <c r="V128">
        <f t="shared" si="36"/>
        <v>22972.155977731629</v>
      </c>
      <c r="W128" s="43">
        <f t="shared" si="37"/>
        <v>22972.155977731629</v>
      </c>
      <c r="X128" s="43">
        <f t="shared" si="38"/>
        <v>6106.3727027529967</v>
      </c>
      <c r="Y128" s="27">
        <f t="shared" si="39"/>
        <v>175.86681068871056</v>
      </c>
      <c r="Z128" s="27">
        <f t="shared" si="40"/>
        <v>22796.28916704292</v>
      </c>
      <c r="AA128">
        <f t="shared" si="41"/>
        <v>0</v>
      </c>
      <c r="AB128" s="27">
        <f t="shared" si="42"/>
        <v>22796.28916704292</v>
      </c>
      <c r="AD128" s="27">
        <f t="shared" si="43"/>
        <v>0</v>
      </c>
      <c r="AE128" s="27">
        <f t="shared" si="44"/>
        <v>22796.28916704292</v>
      </c>
      <c r="AF128" s="50"/>
      <c r="AG128" t="str">
        <f t="shared" si="45"/>
        <v>5304290</v>
      </c>
    </row>
    <row r="129" spans="1:33" x14ac:dyDescent="0.25">
      <c r="A129" s="7" t="s">
        <v>159</v>
      </c>
      <c r="B129" s="2" t="s">
        <v>903</v>
      </c>
      <c r="C129" s="4" t="s">
        <v>902</v>
      </c>
      <c r="D129">
        <f>_xlfn.IFNA(VLOOKUP(A129,'Prior Year data'!$A$1:$T$318,12,FALSE),0)</f>
        <v>120767.35383569237</v>
      </c>
      <c r="E129">
        <f>VLOOKUP(A129,'Basic HH'!$B$1:$Y$319,23,FALSE)</f>
        <v>56309.942420639585</v>
      </c>
      <c r="F129">
        <f>VLOOKUP(A129,'Conc. HH'!$B$1:$Y$319,23,FALSE)</f>
        <v>0</v>
      </c>
      <c r="G129">
        <f>VLOOKUP(A129,'Targeted HH'!$B$1:$Y$319,23,FALSE)</f>
        <v>0</v>
      </c>
      <c r="H129">
        <f>VLOOKUP(A129,'EFIG HH'!$B$1:$Y$319,23,FALSE)</f>
        <v>0</v>
      </c>
      <c r="I129">
        <f t="shared" si="23"/>
        <v>56309.942420639585</v>
      </c>
      <c r="J129">
        <f t="shared" si="24"/>
        <v>0</v>
      </c>
      <c r="K129" s="43">
        <f t="shared" si="25"/>
        <v>56309.942420639585</v>
      </c>
      <c r="L129">
        <f t="shared" si="26"/>
        <v>0</v>
      </c>
      <c r="M129">
        <f t="shared" si="27"/>
        <v>0</v>
      </c>
      <c r="N129" s="43">
        <f t="shared" si="28"/>
        <v>56309.942420639585</v>
      </c>
      <c r="O129">
        <f t="shared" si="29"/>
        <v>0</v>
      </c>
      <c r="P129">
        <f t="shared" si="30"/>
        <v>0</v>
      </c>
      <c r="Q129" s="43">
        <f t="shared" si="31"/>
        <v>56309.942420639585</v>
      </c>
      <c r="R129">
        <f t="shared" si="32"/>
        <v>0</v>
      </c>
      <c r="S129">
        <f t="shared" si="33"/>
        <v>0</v>
      </c>
      <c r="T129" s="43">
        <f t="shared" si="34"/>
        <v>56309.942420639585</v>
      </c>
      <c r="U129">
        <f t="shared" si="35"/>
        <v>0</v>
      </c>
      <c r="V129">
        <f t="shared" si="36"/>
        <v>0</v>
      </c>
      <c r="W129" s="43">
        <f t="shared" si="37"/>
        <v>56309.942420639585</v>
      </c>
      <c r="X129" s="43">
        <f t="shared" si="38"/>
        <v>0</v>
      </c>
      <c r="Y129" s="27">
        <f t="shared" si="39"/>
        <v>431.08927142852718</v>
      </c>
      <c r="Z129" s="27">
        <f t="shared" si="40"/>
        <v>55878.853149211056</v>
      </c>
      <c r="AA129">
        <f t="shared" si="41"/>
        <v>0</v>
      </c>
      <c r="AB129" s="27">
        <f t="shared" si="42"/>
        <v>55878.853149211056</v>
      </c>
      <c r="AD129" s="27">
        <f t="shared" si="43"/>
        <v>0</v>
      </c>
      <c r="AE129" s="27">
        <f t="shared" si="44"/>
        <v>55878.853149211056</v>
      </c>
      <c r="AF129" s="50"/>
      <c r="AG129" t="str">
        <f t="shared" si="45"/>
        <v>5304380</v>
      </c>
    </row>
    <row r="130" spans="1:33" x14ac:dyDescent="0.25">
      <c r="A130" s="7" t="s">
        <v>447</v>
      </c>
      <c r="B130" s="2" t="s">
        <v>905</v>
      </c>
      <c r="C130" s="4" t="s">
        <v>904</v>
      </c>
      <c r="D130">
        <f>_xlfn.IFNA(VLOOKUP(A130,'Prior Year data'!$A$1:$T$318,12,FALSE),0)</f>
        <v>165567.71658341814</v>
      </c>
      <c r="E130">
        <f>VLOOKUP(A130,'Basic HH'!$B$1:$Y$319,23,FALSE)</f>
        <v>62719.553895563447</v>
      </c>
      <c r="F130">
        <f>VLOOKUP(A130,'Conc. HH'!$B$1:$Y$319,23,FALSE)</f>
        <v>16525.568780435282</v>
      </c>
      <c r="G130">
        <f>VLOOKUP(A130,'Targeted HH'!$B$1:$Y$319,23,FALSE)</f>
        <v>42862.701933786979</v>
      </c>
      <c r="H130">
        <f>VLOOKUP(A130,'EFIG HH'!$B$1:$Y$319,23,FALSE)</f>
        <v>58915.557339031031</v>
      </c>
      <c r="I130">
        <f t="shared" si="23"/>
        <v>181023.38194881676</v>
      </c>
      <c r="J130">
        <f t="shared" si="24"/>
        <v>181023.38194881676</v>
      </c>
      <c r="K130" s="43">
        <f t="shared" si="25"/>
        <v>164512.44232386284</v>
      </c>
      <c r="L130">
        <f t="shared" si="26"/>
        <v>1055.2742595552991</v>
      </c>
      <c r="M130">
        <f t="shared" si="27"/>
        <v>0</v>
      </c>
      <c r="N130" s="43">
        <f t="shared" si="28"/>
        <v>165567.71658341814</v>
      </c>
      <c r="O130">
        <f t="shared" si="29"/>
        <v>0</v>
      </c>
      <c r="P130">
        <f t="shared" si="30"/>
        <v>0</v>
      </c>
      <c r="Q130" s="43">
        <f t="shared" si="31"/>
        <v>165567.71658341814</v>
      </c>
      <c r="R130">
        <f t="shared" si="32"/>
        <v>0</v>
      </c>
      <c r="S130">
        <f t="shared" si="33"/>
        <v>0</v>
      </c>
      <c r="T130" s="43">
        <f t="shared" si="34"/>
        <v>165567.71658341814</v>
      </c>
      <c r="U130">
        <f t="shared" si="35"/>
        <v>0</v>
      </c>
      <c r="V130">
        <f t="shared" si="36"/>
        <v>0</v>
      </c>
      <c r="W130" s="43">
        <f t="shared" si="37"/>
        <v>165567.71658341814</v>
      </c>
      <c r="X130" s="43">
        <f t="shared" si="38"/>
        <v>15455.665365398629</v>
      </c>
      <c r="Y130" s="27">
        <f t="shared" si="39"/>
        <v>1267.5286680433426</v>
      </c>
      <c r="Z130" s="27">
        <f t="shared" si="40"/>
        <v>164300.18791537479</v>
      </c>
      <c r="AA130">
        <f t="shared" si="41"/>
        <v>0</v>
      </c>
      <c r="AB130" s="27">
        <f t="shared" si="42"/>
        <v>164300.18791537479</v>
      </c>
      <c r="AD130" s="27">
        <f t="shared" si="43"/>
        <v>0</v>
      </c>
      <c r="AE130" s="27">
        <f t="shared" si="44"/>
        <v>164300.18791537479</v>
      </c>
      <c r="AF130" s="50"/>
      <c r="AG130" t="str">
        <f t="shared" si="45"/>
        <v>5304410</v>
      </c>
    </row>
    <row r="131" spans="1:33" x14ac:dyDescent="0.25">
      <c r="A131" s="7" t="s">
        <v>449</v>
      </c>
      <c r="B131" s="2" t="s">
        <v>907</v>
      </c>
      <c r="C131" s="4" t="s">
        <v>906</v>
      </c>
      <c r="D131">
        <f>_xlfn.IFNA(VLOOKUP(A131,'Prior Year data'!$A$1:$T$318,12,FALSE),0)</f>
        <v>2727441.0263482034</v>
      </c>
      <c r="E131">
        <f>VLOOKUP(A131,'Basic HH'!$B$1:$Y$319,23,FALSE)</f>
        <v>1189030.7771595044</v>
      </c>
      <c r="F131">
        <f>VLOOKUP(A131,'Conc. HH'!$B$1:$Y$319,23,FALSE)</f>
        <v>319983.94332952314</v>
      </c>
      <c r="G131">
        <f>VLOOKUP(A131,'Targeted HH'!$B$1:$Y$319,23,FALSE)</f>
        <v>715804.93804591708</v>
      </c>
      <c r="H131">
        <f>VLOOKUP(A131,'EFIG HH'!$B$1:$Y$319,23,FALSE)</f>
        <v>973879.02894215542</v>
      </c>
      <c r="I131">
        <f t="shared" si="23"/>
        <v>3198698.6874770997</v>
      </c>
      <c r="J131">
        <f t="shared" si="24"/>
        <v>3198698.6874770997</v>
      </c>
      <c r="K131" s="43">
        <f t="shared" si="25"/>
        <v>2906948.9679724313</v>
      </c>
      <c r="L131">
        <f t="shared" si="26"/>
        <v>0</v>
      </c>
      <c r="M131">
        <f t="shared" si="27"/>
        <v>179507.94162422791</v>
      </c>
      <c r="N131" s="43">
        <f t="shared" si="28"/>
        <v>2883485.6893320056</v>
      </c>
      <c r="O131">
        <f t="shared" si="29"/>
        <v>0</v>
      </c>
      <c r="P131">
        <f t="shared" si="30"/>
        <v>156044.66298380215</v>
      </c>
      <c r="Q131" s="43">
        <f t="shared" si="31"/>
        <v>2883485.6893320056</v>
      </c>
      <c r="R131">
        <f t="shared" si="32"/>
        <v>0</v>
      </c>
      <c r="S131">
        <f t="shared" si="33"/>
        <v>156044.66298380215</v>
      </c>
      <c r="T131" s="43">
        <f t="shared" si="34"/>
        <v>2883485.6893320056</v>
      </c>
      <c r="U131">
        <f t="shared" si="35"/>
        <v>0</v>
      </c>
      <c r="V131">
        <f t="shared" si="36"/>
        <v>156044.66298380215</v>
      </c>
      <c r="W131" s="43">
        <f t="shared" si="37"/>
        <v>2883485.6893320056</v>
      </c>
      <c r="X131" s="43">
        <f t="shared" si="38"/>
        <v>315212.99814509414</v>
      </c>
      <c r="Y131" s="27">
        <f t="shared" si="39"/>
        <v>22074.96032766499</v>
      </c>
      <c r="Z131" s="27">
        <f t="shared" si="40"/>
        <v>2861410.7290043407</v>
      </c>
      <c r="AA131">
        <f t="shared" si="41"/>
        <v>0</v>
      </c>
      <c r="AB131" s="27">
        <f t="shared" si="42"/>
        <v>2861410.7290043407</v>
      </c>
      <c r="AD131" s="27">
        <f t="shared" si="43"/>
        <v>0</v>
      </c>
      <c r="AE131" s="27">
        <f t="shared" si="44"/>
        <v>2861410.7290043407</v>
      </c>
      <c r="AF131" s="50"/>
      <c r="AG131" t="str">
        <f t="shared" si="45"/>
        <v>5304470</v>
      </c>
    </row>
    <row r="132" spans="1:33" x14ac:dyDescent="0.25">
      <c r="A132" s="7" t="s">
        <v>451</v>
      </c>
      <c r="B132" s="2" t="s">
        <v>909</v>
      </c>
      <c r="C132" s="4" t="s">
        <v>908</v>
      </c>
      <c r="D132">
        <f>_xlfn.IFNA(VLOOKUP(A132,'Prior Year data'!$A$1:$T$318,12,FALSE),0)</f>
        <v>128110.34570463591</v>
      </c>
      <c r="E132">
        <f>VLOOKUP(A132,'Basic HH'!$B$1:$Y$319,23,FALSE)</f>
        <v>51243.839190950115</v>
      </c>
      <c r="F132">
        <f>VLOOKUP(A132,'Conc. HH'!$B$1:$Y$319,23,FALSE)</f>
        <v>13790.396388927584</v>
      </c>
      <c r="G132">
        <f>VLOOKUP(A132,'Targeted HH'!$B$1:$Y$319,23,FALSE)</f>
        <v>31369.91043337556</v>
      </c>
      <c r="H132">
        <f>VLOOKUP(A132,'EFIG HH'!$B$1:$Y$319,23,FALSE)</f>
        <v>42679.920585988526</v>
      </c>
      <c r="I132">
        <f t="shared" ref="I132:I195" si="46">SUM(E132:H132)</f>
        <v>139084.06659924178</v>
      </c>
      <c r="J132">
        <f t="shared" ref="J132:J195" si="47">IF(I132&lt;D132,0,I132)</f>
        <v>139084.06659924178</v>
      </c>
      <c r="K132" s="43">
        <f t="shared" ref="K132:K195" si="48">IF(J132=0,I132,I132-$K$1*J132/$J$3)</f>
        <v>126398.36488661745</v>
      </c>
      <c r="L132">
        <f t="shared" ref="L132:L195" si="49">IF($J132=0,0,IF(K132&lt;$D132,$D132-K132,0))</f>
        <v>1711.9808180184627</v>
      </c>
      <c r="M132">
        <f t="shared" ref="M132:M195" si="50">IF($J132=0,0,IF(L132&gt;0,0,K132-$D132))</f>
        <v>0</v>
      </c>
      <c r="N132" s="43">
        <f t="shared" ref="N132:N195" si="51">IF(L132&gt;0,L132+K132,K132-$L$3*M132/$M$3)</f>
        <v>128110.34570463591</v>
      </c>
      <c r="O132">
        <f t="shared" ref="O132:O195" si="52">IF($J132=0,0,IF(N132&lt;$D132,$D132-N132,0))</f>
        <v>0</v>
      </c>
      <c r="P132">
        <f t="shared" ref="P132:P195" si="53">IF($J132=0,0,IF(O132&gt;0,0,N132-$D132))</f>
        <v>0</v>
      </c>
      <c r="Q132" s="43">
        <f t="shared" ref="Q132:Q195" si="54">IF(O132&gt;0,O132+N132,N132-$O$3*P132/$P$3)</f>
        <v>128110.34570463591</v>
      </c>
      <c r="R132">
        <f t="shared" ref="R132:R195" si="55">IF($J132=0,0,IF(Q132&lt;$D132,$D132-Q132,0))</f>
        <v>0</v>
      </c>
      <c r="S132">
        <f t="shared" ref="S132:S195" si="56">IF($J132=0,0,IF(R132&gt;0,0,Q132-$D132))</f>
        <v>0</v>
      </c>
      <c r="T132" s="43">
        <f t="shared" ref="T132:T195" si="57">IF(R132&gt;0,R132+Q132,Q132-$R$3*S132/$S$3)</f>
        <v>128110.34570463591</v>
      </c>
      <c r="U132">
        <f t="shared" ref="U132:U195" si="58">IF($J132=0,0,IF(T132&lt;$D132,$D132-T132,0))</f>
        <v>0</v>
      </c>
      <c r="V132">
        <f t="shared" ref="V132:V195" si="59">IF($J132=0,0,IF(U132&gt;0,0,T132-$D132))</f>
        <v>0</v>
      </c>
      <c r="W132" s="43">
        <f t="shared" ref="W132:W195" si="60">IF(U132&gt;0,U132+T132,T132-$U$3*V132/$V$3)</f>
        <v>128110.34570463591</v>
      </c>
      <c r="X132" s="43">
        <f t="shared" ref="X132:X195" si="61">I132-W132</f>
        <v>10973.720894605867</v>
      </c>
      <c r="Y132" s="27">
        <f t="shared" ref="Y132:Y195" si="62">W132/$W$3*$Y$1</f>
        <v>980.76810627363727</v>
      </c>
      <c r="Z132" s="27">
        <f t="shared" ref="Z132:Z195" si="63">W132-Y132</f>
        <v>127129.57759836227</v>
      </c>
      <c r="AA132">
        <f t="shared" ref="AA132:AA195" si="64">Z132/$Z$3*$AA$1</f>
        <v>0</v>
      </c>
      <c r="AB132" s="27">
        <f t="shared" ref="AB132:AB195" si="65">Z132-AA132</f>
        <v>127129.57759836227</v>
      </c>
      <c r="AD132" s="27">
        <f t="shared" ref="AD132:AD195" si="66">IF(AC132&gt;0,AC132*AB132,0)</f>
        <v>0</v>
      </c>
      <c r="AE132" s="27">
        <f t="shared" ref="AE132:AE195" si="67">AB132-AD132</f>
        <v>127129.57759836227</v>
      </c>
      <c r="AF132" s="50"/>
      <c r="AG132" t="str">
        <f t="shared" ref="AG132:AG195" si="68">A132</f>
        <v>5304500</v>
      </c>
    </row>
    <row r="133" spans="1:33" x14ac:dyDescent="0.25">
      <c r="A133" s="7" t="s">
        <v>453</v>
      </c>
      <c r="B133" s="2" t="s">
        <v>911</v>
      </c>
      <c r="C133" s="4" t="s">
        <v>910</v>
      </c>
      <c r="D133">
        <f>_xlfn.IFNA(VLOOKUP(A133,'Prior Year data'!$A$1:$T$318,12,FALSE),0)</f>
        <v>104968.6961191595</v>
      </c>
      <c r="E133">
        <f>VLOOKUP(A133,'Basic HH'!$B$1:$Y$319,23,FALSE)</f>
        <v>41689.903070603497</v>
      </c>
      <c r="F133">
        <f>VLOOKUP(A133,'Conc. HH'!$B$1:$Y$319,23,FALSE)</f>
        <v>11219.305536754648</v>
      </c>
      <c r="G133">
        <f>VLOOKUP(A133,'Targeted HH'!$B$1:$Y$319,23,FALSE)</f>
        <v>21491.749902149131</v>
      </c>
      <c r="H133">
        <f>VLOOKUP(A133,'EFIG HH'!$B$1:$Y$319,23,FALSE)</f>
        <v>29240.318713238659</v>
      </c>
      <c r="I133">
        <f t="shared" si="46"/>
        <v>103641.27722274594</v>
      </c>
      <c r="J133">
        <f t="shared" si="47"/>
        <v>0</v>
      </c>
      <c r="K133" s="43">
        <f t="shared" si="48"/>
        <v>103641.27722274594</v>
      </c>
      <c r="L133">
        <f t="shared" si="49"/>
        <v>0</v>
      </c>
      <c r="M133">
        <f t="shared" si="50"/>
        <v>0</v>
      </c>
      <c r="N133" s="43">
        <f t="shared" si="51"/>
        <v>103641.27722274594</v>
      </c>
      <c r="O133">
        <f t="shared" si="52"/>
        <v>0</v>
      </c>
      <c r="P133">
        <f t="shared" si="53"/>
        <v>0</v>
      </c>
      <c r="Q133" s="43">
        <f t="shared" si="54"/>
        <v>103641.27722274594</v>
      </c>
      <c r="R133">
        <f t="shared" si="55"/>
        <v>0</v>
      </c>
      <c r="S133">
        <f t="shared" si="56"/>
        <v>0</v>
      </c>
      <c r="T133" s="43">
        <f t="shared" si="57"/>
        <v>103641.27722274594</v>
      </c>
      <c r="U133">
        <f t="shared" si="58"/>
        <v>0</v>
      </c>
      <c r="V133">
        <f t="shared" si="59"/>
        <v>0</v>
      </c>
      <c r="W133" s="43">
        <f t="shared" si="60"/>
        <v>103641.27722274594</v>
      </c>
      <c r="X133" s="43">
        <f t="shared" si="61"/>
        <v>0</v>
      </c>
      <c r="Y133" s="27">
        <f t="shared" si="62"/>
        <v>793.44145575789571</v>
      </c>
      <c r="Z133" s="27">
        <f t="shared" si="63"/>
        <v>102847.83576698804</v>
      </c>
      <c r="AA133">
        <f t="shared" si="64"/>
        <v>0</v>
      </c>
      <c r="AB133" s="27">
        <f t="shared" si="65"/>
        <v>102847.83576698804</v>
      </c>
      <c r="AD133" s="27">
        <f t="shared" si="66"/>
        <v>0</v>
      </c>
      <c r="AE133" s="27">
        <f t="shared" si="67"/>
        <v>102847.83576698804</v>
      </c>
      <c r="AF133" s="50"/>
      <c r="AG133" t="str">
        <f t="shared" si="68"/>
        <v>5304530</v>
      </c>
    </row>
    <row r="134" spans="1:33" x14ac:dyDescent="0.25">
      <c r="A134" s="7" t="s">
        <v>76</v>
      </c>
      <c r="B134" s="2" t="s">
        <v>912</v>
      </c>
      <c r="C134" s="4" t="s">
        <v>29</v>
      </c>
      <c r="D134">
        <f>_xlfn.IFNA(VLOOKUP(A134,'Prior Year data'!$A$1:$T$318,12,FALSE),0)</f>
        <v>1966.027374775636</v>
      </c>
      <c r="E134">
        <f>VLOOKUP(A134,'Basic HH'!$B$1:$Y$319,23,FALSE)</f>
        <v>0</v>
      </c>
      <c r="F134">
        <f>VLOOKUP(A134,'Conc. HH'!$B$1:$Y$319,23,FALSE)</f>
        <v>1874.6353276662333</v>
      </c>
      <c r="G134">
        <f>VLOOKUP(A134,'Targeted HH'!$B$1:$Y$319,23,FALSE)</f>
        <v>0</v>
      </c>
      <c r="H134">
        <f>VLOOKUP(A134,'EFIG HH'!$B$1:$Y$319,23,FALSE)</f>
        <v>0</v>
      </c>
      <c r="I134">
        <f t="shared" si="46"/>
        <v>1874.6353276662333</v>
      </c>
      <c r="J134">
        <f t="shared" si="47"/>
        <v>0</v>
      </c>
      <c r="K134" s="43">
        <f t="shared" si="48"/>
        <v>1874.6353276662333</v>
      </c>
      <c r="L134">
        <f t="shared" si="49"/>
        <v>0</v>
      </c>
      <c r="M134">
        <f t="shared" si="50"/>
        <v>0</v>
      </c>
      <c r="N134" s="43">
        <f t="shared" si="51"/>
        <v>1874.6353276662333</v>
      </c>
      <c r="O134">
        <f t="shared" si="52"/>
        <v>0</v>
      </c>
      <c r="P134">
        <f t="shared" si="53"/>
        <v>0</v>
      </c>
      <c r="Q134" s="43">
        <f t="shared" si="54"/>
        <v>1874.6353276662333</v>
      </c>
      <c r="R134">
        <f t="shared" si="55"/>
        <v>0</v>
      </c>
      <c r="S134">
        <f t="shared" si="56"/>
        <v>0</v>
      </c>
      <c r="T134" s="43">
        <f t="shared" si="57"/>
        <v>1874.6353276662333</v>
      </c>
      <c r="U134">
        <f t="shared" si="58"/>
        <v>0</v>
      </c>
      <c r="V134">
        <f t="shared" si="59"/>
        <v>0</v>
      </c>
      <c r="W134" s="43">
        <f t="shared" si="60"/>
        <v>1874.6353276662333</v>
      </c>
      <c r="X134" s="43">
        <f t="shared" si="61"/>
        <v>0</v>
      </c>
      <c r="Y134" s="27">
        <f t="shared" si="62"/>
        <v>14.351553968231455</v>
      </c>
      <c r="Z134" s="27">
        <f t="shared" si="63"/>
        <v>1860.2837736980018</v>
      </c>
      <c r="AA134">
        <f t="shared" si="64"/>
        <v>0</v>
      </c>
      <c r="AB134" s="27">
        <f t="shared" si="65"/>
        <v>1860.2837736980018</v>
      </c>
      <c r="AD134" s="27">
        <f t="shared" si="66"/>
        <v>0</v>
      </c>
      <c r="AE134" s="27">
        <f t="shared" si="67"/>
        <v>1860.2837736980018</v>
      </c>
      <c r="AF134" s="50"/>
      <c r="AG134" t="str">
        <f t="shared" si="68"/>
        <v>5304550</v>
      </c>
    </row>
    <row r="135" spans="1:33" x14ac:dyDescent="0.25">
      <c r="A135" s="7" t="s">
        <v>455</v>
      </c>
      <c r="B135" s="2" t="s">
        <v>914</v>
      </c>
      <c r="C135" s="4" t="s">
        <v>913</v>
      </c>
      <c r="D135">
        <f>_xlfn.IFNA(VLOOKUP(A135,'Prior Year data'!$A$1:$T$318,12,FALSE),0)</f>
        <v>188891.50415629335</v>
      </c>
      <c r="E135">
        <f>VLOOKUP(A135,'Basic HH'!$B$1:$Y$319,23,FALSE)</f>
        <v>78168.568257381587</v>
      </c>
      <c r="F135">
        <f>VLOOKUP(A135,'Conc. HH'!$B$1:$Y$319,23,FALSE)</f>
        <v>21036.197881414966</v>
      </c>
      <c r="G135">
        <f>VLOOKUP(A135,'Targeted HH'!$B$1:$Y$319,23,FALSE)</f>
        <v>45536.88665794718</v>
      </c>
      <c r="H135">
        <f>VLOOKUP(A135,'EFIG HH'!$B$1:$Y$319,23,FALSE)</f>
        <v>61954.614452025227</v>
      </c>
      <c r="I135">
        <f t="shared" si="46"/>
        <v>206696.26724876894</v>
      </c>
      <c r="J135">
        <f t="shared" si="47"/>
        <v>206696.26724876894</v>
      </c>
      <c r="K135" s="43">
        <f t="shared" si="48"/>
        <v>187843.732551275</v>
      </c>
      <c r="L135">
        <f t="shared" si="49"/>
        <v>1047.7716050183517</v>
      </c>
      <c r="M135">
        <f t="shared" si="50"/>
        <v>0</v>
      </c>
      <c r="N135" s="43">
        <f t="shared" si="51"/>
        <v>188891.50415629335</v>
      </c>
      <c r="O135">
        <f t="shared" si="52"/>
        <v>0</v>
      </c>
      <c r="P135">
        <f t="shared" si="53"/>
        <v>0</v>
      </c>
      <c r="Q135" s="43">
        <f t="shared" si="54"/>
        <v>188891.50415629335</v>
      </c>
      <c r="R135">
        <f t="shared" si="55"/>
        <v>0</v>
      </c>
      <c r="S135">
        <f t="shared" si="56"/>
        <v>0</v>
      </c>
      <c r="T135" s="43">
        <f t="shared" si="57"/>
        <v>188891.50415629335</v>
      </c>
      <c r="U135">
        <f t="shared" si="58"/>
        <v>0</v>
      </c>
      <c r="V135">
        <f t="shared" si="59"/>
        <v>0</v>
      </c>
      <c r="W135" s="43">
        <f t="shared" si="60"/>
        <v>188891.50415629335</v>
      </c>
      <c r="X135" s="43">
        <f t="shared" si="61"/>
        <v>17804.763092475594</v>
      </c>
      <c r="Y135" s="27">
        <f t="shared" si="62"/>
        <v>1446.0874475326841</v>
      </c>
      <c r="Z135" s="27">
        <f t="shared" si="63"/>
        <v>187445.41670876066</v>
      </c>
      <c r="AA135">
        <f t="shared" si="64"/>
        <v>0</v>
      </c>
      <c r="AB135" s="27">
        <f t="shared" si="65"/>
        <v>187445.41670876066</v>
      </c>
      <c r="AD135" s="27">
        <f t="shared" si="66"/>
        <v>0</v>
      </c>
      <c r="AE135" s="27">
        <f t="shared" si="67"/>
        <v>187445.41670876066</v>
      </c>
      <c r="AF135" s="50"/>
      <c r="AG135" t="str">
        <f t="shared" si="68"/>
        <v>5304590</v>
      </c>
    </row>
    <row r="136" spans="1:33" x14ac:dyDescent="0.25">
      <c r="A136" s="7" t="s">
        <v>161</v>
      </c>
      <c r="B136" s="2" t="s">
        <v>916</v>
      </c>
      <c r="C136" s="4" t="s">
        <v>915</v>
      </c>
      <c r="D136">
        <f>_xlfn.IFNA(VLOOKUP(A136,'Prior Year data'!$A$1:$T$318,12,FALSE),0)</f>
        <v>617160.20598065015</v>
      </c>
      <c r="E136">
        <f>VLOOKUP(A136,'Basic HH'!$B$1:$Y$319,23,FALSE)</f>
        <v>303988.87655648385</v>
      </c>
      <c r="F136">
        <f>VLOOKUP(A136,'Conc. HH'!$B$1:$Y$319,23,FALSE)</f>
        <v>0</v>
      </c>
      <c r="G136">
        <f>VLOOKUP(A136,'Targeted HH'!$B$1:$Y$319,23,FALSE)</f>
        <v>146681.33976350751</v>
      </c>
      <c r="H136">
        <f>VLOOKUP(A136,'EFIG HH'!$B$1:$Y$319,23,FALSE)</f>
        <v>199565.37478322859</v>
      </c>
      <c r="I136">
        <f t="shared" si="46"/>
        <v>650235.59110322001</v>
      </c>
      <c r="J136">
        <f t="shared" si="47"/>
        <v>650235.59110322001</v>
      </c>
      <c r="K136" s="43">
        <f t="shared" si="48"/>
        <v>590928.33216726093</v>
      </c>
      <c r="L136">
        <f t="shared" si="49"/>
        <v>26231.873813389218</v>
      </c>
      <c r="M136">
        <f t="shared" si="50"/>
        <v>0</v>
      </c>
      <c r="N136" s="43">
        <f t="shared" si="51"/>
        <v>617160.20598065015</v>
      </c>
      <c r="O136">
        <f t="shared" si="52"/>
        <v>0</v>
      </c>
      <c r="P136">
        <f t="shared" si="53"/>
        <v>0</v>
      </c>
      <c r="Q136" s="43">
        <f t="shared" si="54"/>
        <v>617160.20598065015</v>
      </c>
      <c r="R136">
        <f t="shared" si="55"/>
        <v>0</v>
      </c>
      <c r="S136">
        <f t="shared" si="56"/>
        <v>0</v>
      </c>
      <c r="T136" s="43">
        <f t="shared" si="57"/>
        <v>617160.20598065015</v>
      </c>
      <c r="U136">
        <f t="shared" si="58"/>
        <v>0</v>
      </c>
      <c r="V136">
        <f t="shared" si="59"/>
        <v>0</v>
      </c>
      <c r="W136" s="43">
        <f t="shared" si="60"/>
        <v>617160.20598065015</v>
      </c>
      <c r="X136" s="43">
        <f t="shared" si="61"/>
        <v>33075.38512256986</v>
      </c>
      <c r="Y136" s="27">
        <f t="shared" si="62"/>
        <v>4724.7631965853534</v>
      </c>
      <c r="Z136" s="27">
        <f t="shared" si="63"/>
        <v>612435.4427840648</v>
      </c>
      <c r="AA136">
        <f t="shared" si="64"/>
        <v>0</v>
      </c>
      <c r="AB136" s="27">
        <f t="shared" si="65"/>
        <v>612435.4427840648</v>
      </c>
      <c r="AD136" s="27">
        <f t="shared" si="66"/>
        <v>0</v>
      </c>
      <c r="AE136" s="27">
        <f t="shared" si="67"/>
        <v>612435.4427840648</v>
      </c>
      <c r="AF136" s="50"/>
      <c r="AG136" t="str">
        <f t="shared" si="68"/>
        <v>5304620</v>
      </c>
    </row>
    <row r="137" spans="1:33" x14ac:dyDescent="0.25">
      <c r="A137" s="7" t="s">
        <v>457</v>
      </c>
      <c r="B137" s="2" t="s">
        <v>918</v>
      </c>
      <c r="C137" s="4" t="s">
        <v>917</v>
      </c>
      <c r="D137">
        <f>_xlfn.IFNA(VLOOKUP(A137,'Prior Year data'!$A$1:$T$318,12,FALSE),0)</f>
        <v>396472.96466087899</v>
      </c>
      <c r="E137">
        <f>VLOOKUP(A137,'Basic HH'!$B$1:$Y$319,23,FALSE)</f>
        <v>147894.2567166989</v>
      </c>
      <c r="F137">
        <f>VLOOKUP(A137,'Conc. HH'!$B$1:$Y$319,23,FALSE)</f>
        <v>38967.699223001749</v>
      </c>
      <c r="G137">
        <f>VLOOKUP(A137,'Targeted HH'!$B$1:$Y$319,23,FALSE)</f>
        <v>96245.878736191982</v>
      </c>
      <c r="H137">
        <f>VLOOKUP(A137,'EFIG HH'!$B$1:$Y$319,23,FALSE)</f>
        <v>132291.69724500761</v>
      </c>
      <c r="I137">
        <f t="shared" si="46"/>
        <v>415399.53192090022</v>
      </c>
      <c r="J137">
        <f t="shared" si="47"/>
        <v>415399.53192090022</v>
      </c>
      <c r="K137" s="43">
        <f t="shared" si="48"/>
        <v>377511.40654205083</v>
      </c>
      <c r="L137">
        <f t="shared" si="49"/>
        <v>18961.558118828165</v>
      </c>
      <c r="M137">
        <f t="shared" si="50"/>
        <v>0</v>
      </c>
      <c r="N137" s="43">
        <f t="shared" si="51"/>
        <v>396472.96466087899</v>
      </c>
      <c r="O137">
        <f t="shared" si="52"/>
        <v>0</v>
      </c>
      <c r="P137">
        <f t="shared" si="53"/>
        <v>0</v>
      </c>
      <c r="Q137" s="43">
        <f t="shared" si="54"/>
        <v>396472.96466087899</v>
      </c>
      <c r="R137">
        <f t="shared" si="55"/>
        <v>0</v>
      </c>
      <c r="S137">
        <f t="shared" si="56"/>
        <v>0</v>
      </c>
      <c r="T137" s="43">
        <f t="shared" si="57"/>
        <v>396472.96466087899</v>
      </c>
      <c r="U137">
        <f t="shared" si="58"/>
        <v>0</v>
      </c>
      <c r="V137">
        <f t="shared" si="59"/>
        <v>0</v>
      </c>
      <c r="W137" s="43">
        <f t="shared" si="60"/>
        <v>396472.96466087899</v>
      </c>
      <c r="X137" s="43">
        <f t="shared" si="61"/>
        <v>18926.567260021227</v>
      </c>
      <c r="Y137" s="27">
        <f t="shared" si="62"/>
        <v>3035.2586795421771</v>
      </c>
      <c r="Z137" s="27">
        <f t="shared" si="63"/>
        <v>393437.70598133683</v>
      </c>
      <c r="AA137">
        <f t="shared" si="64"/>
        <v>0</v>
      </c>
      <c r="AB137" s="27">
        <f t="shared" si="65"/>
        <v>393437.70598133683</v>
      </c>
      <c r="AD137" s="27">
        <f t="shared" si="66"/>
        <v>0</v>
      </c>
      <c r="AE137" s="27">
        <f t="shared" si="67"/>
        <v>393437.70598133683</v>
      </c>
      <c r="AF137" s="50"/>
      <c r="AG137" t="str">
        <f t="shared" si="68"/>
        <v>5304650</v>
      </c>
    </row>
    <row r="138" spans="1:33" x14ac:dyDescent="0.25">
      <c r="A138" s="7" t="s">
        <v>459</v>
      </c>
      <c r="B138" s="2" t="s">
        <v>920</v>
      </c>
      <c r="C138" s="4" t="s">
        <v>919</v>
      </c>
      <c r="D138">
        <f>_xlfn.IFNA(VLOOKUP(A138,'Prior Year data'!$A$1:$T$318,12,FALSE),0)</f>
        <v>59317.212665924628</v>
      </c>
      <c r="E138">
        <f>VLOOKUP(A138,'Basic HH'!$B$1:$Y$319,23,FALSE)</f>
        <v>16687.547782919519</v>
      </c>
      <c r="F138">
        <f>VLOOKUP(A138,'Conc. HH'!$B$1:$Y$319,23,FALSE)</f>
        <v>4370.5611177380197</v>
      </c>
      <c r="G138">
        <f>VLOOKUP(A138,'Targeted HH'!$B$1:$Y$319,23,FALSE)</f>
        <v>12909.3573260377</v>
      </c>
      <c r="H138">
        <f>VLOOKUP(A138,'EFIG HH'!$B$1:$Y$319,23,FALSE)</f>
        <v>17801.147381509105</v>
      </c>
      <c r="I138">
        <f t="shared" si="46"/>
        <v>51768.613608204338</v>
      </c>
      <c r="J138">
        <f t="shared" si="47"/>
        <v>0</v>
      </c>
      <c r="K138" s="43">
        <f t="shared" si="48"/>
        <v>51768.613608204338</v>
      </c>
      <c r="L138">
        <f t="shared" si="49"/>
        <v>0</v>
      </c>
      <c r="M138">
        <f t="shared" si="50"/>
        <v>0</v>
      </c>
      <c r="N138" s="43">
        <f t="shared" si="51"/>
        <v>51768.613608204338</v>
      </c>
      <c r="O138">
        <f t="shared" si="52"/>
        <v>0</v>
      </c>
      <c r="P138">
        <f t="shared" si="53"/>
        <v>0</v>
      </c>
      <c r="Q138" s="43">
        <f t="shared" si="54"/>
        <v>51768.613608204338</v>
      </c>
      <c r="R138">
        <f t="shared" si="55"/>
        <v>0</v>
      </c>
      <c r="S138">
        <f t="shared" si="56"/>
        <v>0</v>
      </c>
      <c r="T138" s="43">
        <f t="shared" si="57"/>
        <v>51768.613608204338</v>
      </c>
      <c r="U138">
        <f t="shared" si="58"/>
        <v>0</v>
      </c>
      <c r="V138">
        <f t="shared" si="59"/>
        <v>0</v>
      </c>
      <c r="W138" s="43">
        <f t="shared" si="60"/>
        <v>51768.613608204338</v>
      </c>
      <c r="X138" s="43">
        <f t="shared" si="61"/>
        <v>0</v>
      </c>
      <c r="Y138" s="27">
        <f t="shared" si="62"/>
        <v>396.32244260732568</v>
      </c>
      <c r="Z138" s="27">
        <f t="shared" si="63"/>
        <v>51372.291165597009</v>
      </c>
      <c r="AA138">
        <f t="shared" si="64"/>
        <v>0</v>
      </c>
      <c r="AB138" s="27">
        <f t="shared" si="65"/>
        <v>51372.291165597009</v>
      </c>
      <c r="AD138" s="27">
        <f t="shared" si="66"/>
        <v>0</v>
      </c>
      <c r="AE138" s="27">
        <f t="shared" si="67"/>
        <v>51372.291165597009</v>
      </c>
      <c r="AF138" s="50"/>
      <c r="AG138" t="str">
        <f t="shared" si="68"/>
        <v>5304710</v>
      </c>
    </row>
    <row r="139" spans="1:33" x14ac:dyDescent="0.25">
      <c r="A139" s="7" t="s">
        <v>284</v>
      </c>
      <c r="B139" s="2" t="s">
        <v>922</v>
      </c>
      <c r="C139" s="4" t="s">
        <v>921</v>
      </c>
      <c r="D139">
        <f>_xlfn.IFNA(VLOOKUP(A139,'Prior Year data'!$A$1:$T$318,12,FALSE),0)</f>
        <v>226069.14458397444</v>
      </c>
      <c r="E139">
        <f>VLOOKUP(A139,'Basic HH'!$B$1:$Y$319,23,FALSE)</f>
        <v>92917.857623056945</v>
      </c>
      <c r="F139">
        <f>VLOOKUP(A139,'Conc. HH'!$B$1:$Y$319,23,FALSE)</f>
        <v>24482.324119163404</v>
      </c>
      <c r="G139">
        <f>VLOOKUP(A139,'Targeted HH'!$B$1:$Y$319,23,FALSE)</f>
        <v>51426.28595082165</v>
      </c>
      <c r="H139">
        <f>VLOOKUP(A139,'EFIG HH'!$B$1:$Y$319,23,FALSE)</f>
        <v>70686.358115020295</v>
      </c>
      <c r="I139">
        <f t="shared" si="46"/>
        <v>239512.82580806231</v>
      </c>
      <c r="J139">
        <f t="shared" si="47"/>
        <v>239512.82580806231</v>
      </c>
      <c r="K139" s="43">
        <f t="shared" si="48"/>
        <v>217667.12961265503</v>
      </c>
      <c r="L139">
        <f t="shared" si="49"/>
        <v>8402.0149713194114</v>
      </c>
      <c r="M139">
        <f t="shared" si="50"/>
        <v>0</v>
      </c>
      <c r="N139" s="43">
        <f t="shared" si="51"/>
        <v>226069.14458397444</v>
      </c>
      <c r="O139">
        <f t="shared" si="52"/>
        <v>0</v>
      </c>
      <c r="P139">
        <f t="shared" si="53"/>
        <v>0</v>
      </c>
      <c r="Q139" s="43">
        <f t="shared" si="54"/>
        <v>226069.14458397444</v>
      </c>
      <c r="R139">
        <f t="shared" si="55"/>
        <v>0</v>
      </c>
      <c r="S139">
        <f t="shared" si="56"/>
        <v>0</v>
      </c>
      <c r="T139" s="43">
        <f t="shared" si="57"/>
        <v>226069.14458397444</v>
      </c>
      <c r="U139">
        <f t="shared" si="58"/>
        <v>0</v>
      </c>
      <c r="V139">
        <f t="shared" si="59"/>
        <v>0</v>
      </c>
      <c r="W139" s="43">
        <f t="shared" si="60"/>
        <v>226069.14458397444</v>
      </c>
      <c r="X139" s="43">
        <f t="shared" si="61"/>
        <v>13443.681224087864</v>
      </c>
      <c r="Y139" s="27">
        <f t="shared" si="62"/>
        <v>1730.7064905726995</v>
      </c>
      <c r="Z139" s="27">
        <f t="shared" si="63"/>
        <v>224338.43809340175</v>
      </c>
      <c r="AA139">
        <f t="shared" si="64"/>
        <v>0</v>
      </c>
      <c r="AB139" s="27">
        <f t="shared" si="65"/>
        <v>224338.43809340175</v>
      </c>
      <c r="AD139" s="27">
        <f t="shared" si="66"/>
        <v>0</v>
      </c>
      <c r="AE139" s="27">
        <f t="shared" si="67"/>
        <v>224338.43809340175</v>
      </c>
      <c r="AF139" s="50"/>
      <c r="AG139" t="str">
        <f t="shared" si="68"/>
        <v>5304740</v>
      </c>
    </row>
    <row r="140" spans="1:33" x14ac:dyDescent="0.25">
      <c r="A140" s="7" t="s">
        <v>461</v>
      </c>
      <c r="B140" s="2" t="s">
        <v>924</v>
      </c>
      <c r="C140" s="4" t="s">
        <v>923</v>
      </c>
      <c r="D140">
        <f>_xlfn.IFNA(VLOOKUP(A140,'Prior Year data'!$A$1:$T$318,12,FALSE),0)</f>
        <v>103279.36837908608</v>
      </c>
      <c r="E140">
        <f>VLOOKUP(A140,'Basic HH'!$B$1:$Y$319,23,FALSE)</f>
        <v>35163.541980459959</v>
      </c>
      <c r="F140">
        <f>VLOOKUP(A140,'Conc. HH'!$B$1:$Y$319,23,FALSE)</f>
        <v>8930.8400204539357</v>
      </c>
      <c r="G140">
        <f>VLOOKUP(A140,'Targeted HH'!$B$1:$Y$319,23,FALSE)</f>
        <v>19146.525998981546</v>
      </c>
      <c r="H140">
        <f>VLOOKUP(A140,'EFIG HH'!$B$1:$Y$319,23,FALSE)</f>
        <v>25229.227569560473</v>
      </c>
      <c r="I140">
        <f t="shared" si="46"/>
        <v>88470.135569455917</v>
      </c>
      <c r="J140">
        <f t="shared" si="47"/>
        <v>0</v>
      </c>
      <c r="K140" s="43">
        <f t="shared" si="48"/>
        <v>88470.135569455917</v>
      </c>
      <c r="L140">
        <f t="shared" si="49"/>
        <v>0</v>
      </c>
      <c r="M140">
        <f t="shared" si="50"/>
        <v>0</v>
      </c>
      <c r="N140" s="43">
        <f t="shared" si="51"/>
        <v>88470.135569455917</v>
      </c>
      <c r="O140">
        <f t="shared" si="52"/>
        <v>0</v>
      </c>
      <c r="P140">
        <f t="shared" si="53"/>
        <v>0</v>
      </c>
      <c r="Q140" s="43">
        <f t="shared" si="54"/>
        <v>88470.135569455917</v>
      </c>
      <c r="R140">
        <f t="shared" si="55"/>
        <v>0</v>
      </c>
      <c r="S140">
        <f t="shared" si="56"/>
        <v>0</v>
      </c>
      <c r="T140" s="43">
        <f t="shared" si="57"/>
        <v>88470.135569455917</v>
      </c>
      <c r="U140">
        <f t="shared" si="58"/>
        <v>0</v>
      </c>
      <c r="V140">
        <f t="shared" si="59"/>
        <v>0</v>
      </c>
      <c r="W140" s="43">
        <f t="shared" si="60"/>
        <v>88470.135569455917</v>
      </c>
      <c r="X140" s="43">
        <f t="shared" si="61"/>
        <v>0</v>
      </c>
      <c r="Y140" s="27">
        <f t="shared" si="62"/>
        <v>677.29648879627803</v>
      </c>
      <c r="Z140" s="27">
        <f t="shared" si="63"/>
        <v>87792.839080659644</v>
      </c>
      <c r="AA140">
        <f t="shared" si="64"/>
        <v>0</v>
      </c>
      <c r="AB140" s="27">
        <f t="shared" si="65"/>
        <v>87792.839080659644</v>
      </c>
      <c r="AD140" s="27">
        <f t="shared" si="66"/>
        <v>0</v>
      </c>
      <c r="AE140" s="27">
        <f t="shared" si="67"/>
        <v>87792.839080659644</v>
      </c>
      <c r="AF140" s="50"/>
      <c r="AG140" t="str">
        <f t="shared" si="68"/>
        <v>5304800</v>
      </c>
    </row>
    <row r="141" spans="1:33" x14ac:dyDescent="0.25">
      <c r="A141" s="7" t="s">
        <v>463</v>
      </c>
      <c r="B141" s="2" t="s">
        <v>926</v>
      </c>
      <c r="C141" s="4" t="s">
        <v>925</v>
      </c>
      <c r="D141">
        <f>_xlfn.IFNA(VLOOKUP(A141,'Prior Year data'!$A$1:$T$318,12,FALSE),0)</f>
        <v>315126.81737811229</v>
      </c>
      <c r="E141">
        <f>VLOOKUP(A141,'Basic HH'!$B$1:$Y$319,23,FALSE)</f>
        <v>113050.06010805261</v>
      </c>
      <c r="F141">
        <f>VLOOKUP(A141,'Conc. HH'!$B$1:$Y$319,23,FALSE)</f>
        <v>29786.827678315462</v>
      </c>
      <c r="G141">
        <f>VLOOKUP(A141,'Targeted HH'!$B$1:$Y$319,23,FALSE)</f>
        <v>68186.939185857918</v>
      </c>
      <c r="H141">
        <f>VLOOKUP(A141,'EFIG HH'!$B$1:$Y$319,23,FALSE)</f>
        <v>93724.178461339106</v>
      </c>
      <c r="I141">
        <f t="shared" si="46"/>
        <v>304748.00543356512</v>
      </c>
      <c r="J141">
        <f t="shared" si="47"/>
        <v>0</v>
      </c>
      <c r="K141" s="43">
        <f t="shared" si="48"/>
        <v>304748.00543356512</v>
      </c>
      <c r="L141">
        <f t="shared" si="49"/>
        <v>0</v>
      </c>
      <c r="M141">
        <f t="shared" si="50"/>
        <v>0</v>
      </c>
      <c r="N141" s="43">
        <f t="shared" si="51"/>
        <v>304748.00543356512</v>
      </c>
      <c r="O141">
        <f t="shared" si="52"/>
        <v>0</v>
      </c>
      <c r="P141">
        <f t="shared" si="53"/>
        <v>0</v>
      </c>
      <c r="Q141" s="43">
        <f t="shared" si="54"/>
        <v>304748.00543356512</v>
      </c>
      <c r="R141">
        <f t="shared" si="55"/>
        <v>0</v>
      </c>
      <c r="S141">
        <f t="shared" si="56"/>
        <v>0</v>
      </c>
      <c r="T141" s="43">
        <f t="shared" si="57"/>
        <v>304748.00543356512</v>
      </c>
      <c r="U141">
        <f t="shared" si="58"/>
        <v>0</v>
      </c>
      <c r="V141">
        <f t="shared" si="59"/>
        <v>0</v>
      </c>
      <c r="W141" s="43">
        <f t="shared" si="60"/>
        <v>304748.00543356512</v>
      </c>
      <c r="X141" s="43">
        <f t="shared" si="61"/>
        <v>0</v>
      </c>
      <c r="Y141" s="27">
        <f t="shared" si="62"/>
        <v>2333.0443964989631</v>
      </c>
      <c r="Z141" s="27">
        <f t="shared" si="63"/>
        <v>302414.96103706618</v>
      </c>
      <c r="AA141">
        <f t="shared" si="64"/>
        <v>0</v>
      </c>
      <c r="AB141" s="27">
        <f t="shared" si="65"/>
        <v>302414.96103706618</v>
      </c>
      <c r="AD141" s="27">
        <f t="shared" si="66"/>
        <v>0</v>
      </c>
      <c r="AE141" s="27">
        <f t="shared" si="67"/>
        <v>302414.96103706618</v>
      </c>
      <c r="AF141" s="50"/>
      <c r="AG141" t="str">
        <f t="shared" si="68"/>
        <v>5304830</v>
      </c>
    </row>
    <row r="142" spans="1:33" x14ac:dyDescent="0.25">
      <c r="A142" s="7" t="s">
        <v>163</v>
      </c>
      <c r="B142" s="2" t="s">
        <v>928</v>
      </c>
      <c r="C142" s="4" t="s">
        <v>927</v>
      </c>
      <c r="D142">
        <f>_xlfn.IFNA(VLOOKUP(A142,'Prior Year data'!$A$1:$T$318,12,FALSE),0)</f>
        <v>2648780.633473231</v>
      </c>
      <c r="E142">
        <f>VLOOKUP(A142,'Basic HH'!$B$1:$Y$319,23,FALSE)</f>
        <v>1253302.7110600178</v>
      </c>
      <c r="F142">
        <f>VLOOKUP(A142,'Conc. HH'!$B$1:$Y$319,23,FALSE)</f>
        <v>0</v>
      </c>
      <c r="G142">
        <f>VLOOKUP(A142,'Targeted HH'!$B$1:$Y$319,23,FALSE)</f>
        <v>762323.87722805771</v>
      </c>
      <c r="H142">
        <f>VLOOKUP(A142,'EFIG HH'!$B$1:$Y$319,23,FALSE)</f>
        <v>1037169.7620876939</v>
      </c>
      <c r="I142">
        <f t="shared" si="46"/>
        <v>3052796.3503757697</v>
      </c>
      <c r="J142">
        <f t="shared" si="47"/>
        <v>3052796.3503757697</v>
      </c>
      <c r="K142" s="43">
        <f t="shared" si="48"/>
        <v>2774354.2193885935</v>
      </c>
      <c r="L142">
        <f t="shared" si="49"/>
        <v>0</v>
      </c>
      <c r="M142">
        <f t="shared" si="50"/>
        <v>125573.58591536246</v>
      </c>
      <c r="N142" s="43">
        <f t="shared" si="51"/>
        <v>2757940.6389667457</v>
      </c>
      <c r="O142">
        <f t="shared" si="52"/>
        <v>0</v>
      </c>
      <c r="P142">
        <f t="shared" si="53"/>
        <v>109160.00549351471</v>
      </c>
      <c r="Q142" s="43">
        <f t="shared" si="54"/>
        <v>2757940.6389667457</v>
      </c>
      <c r="R142">
        <f t="shared" si="55"/>
        <v>0</v>
      </c>
      <c r="S142">
        <f t="shared" si="56"/>
        <v>109160.00549351471</v>
      </c>
      <c r="T142" s="43">
        <f t="shared" si="57"/>
        <v>2757940.6389667457</v>
      </c>
      <c r="U142">
        <f t="shared" si="58"/>
        <v>0</v>
      </c>
      <c r="V142">
        <f t="shared" si="59"/>
        <v>109160.00549351471</v>
      </c>
      <c r="W142" s="43">
        <f t="shared" si="60"/>
        <v>2757940.6389667457</v>
      </c>
      <c r="X142" s="43">
        <f t="shared" si="61"/>
        <v>294855.71140902396</v>
      </c>
      <c r="Y142" s="27">
        <f t="shared" si="62"/>
        <v>21113.831227423179</v>
      </c>
      <c r="Z142" s="27">
        <f t="shared" si="63"/>
        <v>2736826.8077393225</v>
      </c>
      <c r="AA142">
        <f t="shared" si="64"/>
        <v>0</v>
      </c>
      <c r="AB142" s="27">
        <f t="shared" si="65"/>
        <v>2736826.8077393225</v>
      </c>
      <c r="AD142" s="27">
        <f t="shared" si="66"/>
        <v>0</v>
      </c>
      <c r="AE142" s="27">
        <f t="shared" si="67"/>
        <v>2736826.8077393225</v>
      </c>
      <c r="AF142" s="50"/>
      <c r="AG142" t="str">
        <f t="shared" si="68"/>
        <v>5304860</v>
      </c>
    </row>
    <row r="143" spans="1:33" x14ac:dyDescent="0.25">
      <c r="A143" s="7" t="s">
        <v>465</v>
      </c>
      <c r="B143" s="2" t="s">
        <v>930</v>
      </c>
      <c r="C143" s="4" t="s">
        <v>929</v>
      </c>
      <c r="D143">
        <f>_xlfn.IFNA(VLOOKUP(A143,'Prior Year data'!$A$1:$T$318,12,FALSE),0)</f>
        <v>120253.23110253293</v>
      </c>
      <c r="E143">
        <f>VLOOKUP(A143,'Basic HH'!$B$1:$Y$319,23,FALSE)</f>
        <v>54847.346513609977</v>
      </c>
      <c r="F143">
        <f>VLOOKUP(A143,'Conc. HH'!$B$1:$Y$319,23,FALSE)</f>
        <v>0</v>
      </c>
      <c r="G143">
        <f>VLOOKUP(A143,'Targeted HH'!$B$1:$Y$319,23,FALSE)</f>
        <v>26236.952937353883</v>
      </c>
      <c r="H143">
        <f>VLOOKUP(A143,'EFIG HH'!$B$1:$Y$319,23,FALSE)</f>
        <v>36063.165303250906</v>
      </c>
      <c r="I143">
        <f t="shared" si="46"/>
        <v>117147.46475421476</v>
      </c>
      <c r="J143">
        <f t="shared" si="47"/>
        <v>0</v>
      </c>
      <c r="K143" s="43">
        <f t="shared" si="48"/>
        <v>117147.46475421476</v>
      </c>
      <c r="L143">
        <f t="shared" si="49"/>
        <v>0</v>
      </c>
      <c r="M143">
        <f t="shared" si="50"/>
        <v>0</v>
      </c>
      <c r="N143" s="43">
        <f t="shared" si="51"/>
        <v>117147.46475421476</v>
      </c>
      <c r="O143">
        <f t="shared" si="52"/>
        <v>0</v>
      </c>
      <c r="P143">
        <f t="shared" si="53"/>
        <v>0</v>
      </c>
      <c r="Q143" s="43">
        <f t="shared" si="54"/>
        <v>117147.46475421476</v>
      </c>
      <c r="R143">
        <f t="shared" si="55"/>
        <v>0</v>
      </c>
      <c r="S143">
        <f t="shared" si="56"/>
        <v>0</v>
      </c>
      <c r="T143" s="43">
        <f t="shared" si="57"/>
        <v>117147.46475421476</v>
      </c>
      <c r="U143">
        <f t="shared" si="58"/>
        <v>0</v>
      </c>
      <c r="V143">
        <f t="shared" si="59"/>
        <v>0</v>
      </c>
      <c r="W143" s="43">
        <f t="shared" si="60"/>
        <v>117147.46475421476</v>
      </c>
      <c r="X143" s="43">
        <f t="shared" si="61"/>
        <v>0</v>
      </c>
      <c r="Y143" s="27">
        <f t="shared" si="62"/>
        <v>896.84011490097168</v>
      </c>
      <c r="Z143" s="27">
        <f t="shared" si="63"/>
        <v>116250.62463931378</v>
      </c>
      <c r="AA143">
        <f t="shared" si="64"/>
        <v>0</v>
      </c>
      <c r="AB143" s="27">
        <f t="shared" si="65"/>
        <v>116250.62463931378</v>
      </c>
      <c r="AD143" s="27">
        <f t="shared" si="66"/>
        <v>0</v>
      </c>
      <c r="AE143" s="27">
        <f t="shared" si="67"/>
        <v>116250.62463931378</v>
      </c>
      <c r="AF143" s="50"/>
      <c r="AG143" t="str">
        <f t="shared" si="68"/>
        <v>5304890</v>
      </c>
    </row>
    <row r="144" spans="1:33" x14ac:dyDescent="0.25">
      <c r="A144" s="7" t="s">
        <v>165</v>
      </c>
      <c r="B144" s="2" t="s">
        <v>932</v>
      </c>
      <c r="C144" s="4" t="s">
        <v>931</v>
      </c>
      <c r="D144">
        <f>_xlfn.IFNA(VLOOKUP(A144,'Prior Year data'!$A$1:$T$318,12,FALSE),0)</f>
        <v>1831123.1993009571</v>
      </c>
      <c r="E144">
        <f>VLOOKUP(A144,'Basic HH'!$B$1:$Y$319,23,FALSE)</f>
        <v>781685.68257381534</v>
      </c>
      <c r="F144">
        <f>VLOOKUP(A144,'Conc. HH'!$B$1:$Y$319,23,FALSE)</f>
        <v>0</v>
      </c>
      <c r="G144">
        <f>VLOOKUP(A144,'Targeted HH'!$B$1:$Y$319,23,FALSE)</f>
        <v>420975.44512126665</v>
      </c>
      <c r="H144">
        <f>VLOOKUP(A144,'EFIG HH'!$B$1:$Y$319,23,FALSE)</f>
        <v>578212.75036212301</v>
      </c>
      <c r="I144">
        <f t="shared" si="46"/>
        <v>1780873.8780572051</v>
      </c>
      <c r="J144">
        <f t="shared" si="47"/>
        <v>0</v>
      </c>
      <c r="K144" s="43">
        <f t="shared" si="48"/>
        <v>1780873.8780572051</v>
      </c>
      <c r="L144">
        <f t="shared" si="49"/>
        <v>0</v>
      </c>
      <c r="M144">
        <f t="shared" si="50"/>
        <v>0</v>
      </c>
      <c r="N144" s="43">
        <f t="shared" si="51"/>
        <v>1780873.8780572051</v>
      </c>
      <c r="O144">
        <f t="shared" si="52"/>
        <v>0</v>
      </c>
      <c r="P144">
        <f t="shared" si="53"/>
        <v>0</v>
      </c>
      <c r="Q144" s="43">
        <f t="shared" si="54"/>
        <v>1780873.8780572051</v>
      </c>
      <c r="R144">
        <f t="shared" si="55"/>
        <v>0</v>
      </c>
      <c r="S144">
        <f t="shared" si="56"/>
        <v>0</v>
      </c>
      <c r="T144" s="43">
        <f t="shared" si="57"/>
        <v>1780873.8780572051</v>
      </c>
      <c r="U144">
        <f t="shared" si="58"/>
        <v>0</v>
      </c>
      <c r="V144">
        <f t="shared" si="59"/>
        <v>0</v>
      </c>
      <c r="W144" s="43">
        <f t="shared" si="60"/>
        <v>1780873.8780572051</v>
      </c>
      <c r="X144" s="43">
        <f t="shared" si="61"/>
        <v>0</v>
      </c>
      <c r="Y144" s="27">
        <f t="shared" si="62"/>
        <v>13633.74902540091</v>
      </c>
      <c r="Z144" s="27">
        <f t="shared" si="63"/>
        <v>1767240.1290318042</v>
      </c>
      <c r="AA144">
        <f t="shared" si="64"/>
        <v>0</v>
      </c>
      <c r="AB144" s="27">
        <f t="shared" si="65"/>
        <v>1767240.1290318042</v>
      </c>
      <c r="AD144" s="27">
        <f t="shared" si="66"/>
        <v>0</v>
      </c>
      <c r="AE144" s="27">
        <f t="shared" si="67"/>
        <v>1767240.1290318042</v>
      </c>
      <c r="AF144" s="50"/>
      <c r="AG144" t="str">
        <f t="shared" si="68"/>
        <v>5304920</v>
      </c>
    </row>
    <row r="145" spans="1:33" x14ac:dyDescent="0.25">
      <c r="A145" s="7" t="s">
        <v>167</v>
      </c>
      <c r="B145" s="2" t="s">
        <v>934</v>
      </c>
      <c r="C145" s="4" t="s">
        <v>933</v>
      </c>
      <c r="D145">
        <f>_xlfn.IFNA(VLOOKUP(A145,'Prior Year data'!$A$1:$T$318,12,FALSE),0)</f>
        <v>340515.29373052559</v>
      </c>
      <c r="E145">
        <f>VLOOKUP(A145,'Basic HH'!$B$1:$Y$319,23,FALSE)</f>
        <v>153572.57023810799</v>
      </c>
      <c r="F145">
        <f>VLOOKUP(A145,'Conc. HH'!$B$1:$Y$319,23,FALSE)</f>
        <v>0</v>
      </c>
      <c r="G145">
        <f>VLOOKUP(A145,'Targeted HH'!$B$1:$Y$319,23,FALSE)</f>
        <v>73463.468224590892</v>
      </c>
      <c r="H145">
        <f>VLOOKUP(A145,'EFIG HH'!$B$1:$Y$319,23,FALSE)</f>
        <v>100976.86284910253</v>
      </c>
      <c r="I145">
        <f t="shared" si="46"/>
        <v>328012.9013118014</v>
      </c>
      <c r="J145">
        <f t="shared" si="47"/>
        <v>0</v>
      </c>
      <c r="K145" s="43">
        <f t="shared" si="48"/>
        <v>328012.9013118014</v>
      </c>
      <c r="L145">
        <f t="shared" si="49"/>
        <v>0</v>
      </c>
      <c r="M145">
        <f t="shared" si="50"/>
        <v>0</v>
      </c>
      <c r="N145" s="43">
        <f t="shared" si="51"/>
        <v>328012.9013118014</v>
      </c>
      <c r="O145">
        <f t="shared" si="52"/>
        <v>0</v>
      </c>
      <c r="P145">
        <f t="shared" si="53"/>
        <v>0</v>
      </c>
      <c r="Q145" s="43">
        <f t="shared" si="54"/>
        <v>328012.9013118014</v>
      </c>
      <c r="R145">
        <f t="shared" si="55"/>
        <v>0</v>
      </c>
      <c r="S145">
        <f t="shared" si="56"/>
        <v>0</v>
      </c>
      <c r="T145" s="43">
        <f t="shared" si="57"/>
        <v>328012.9013118014</v>
      </c>
      <c r="U145">
        <f t="shared" si="58"/>
        <v>0</v>
      </c>
      <c r="V145">
        <f t="shared" si="59"/>
        <v>0</v>
      </c>
      <c r="W145" s="43">
        <f t="shared" si="60"/>
        <v>328012.9013118014</v>
      </c>
      <c r="X145" s="43">
        <f t="shared" si="61"/>
        <v>0</v>
      </c>
      <c r="Y145" s="27">
        <f t="shared" si="62"/>
        <v>2511.1523217227214</v>
      </c>
      <c r="Z145" s="27">
        <f t="shared" si="63"/>
        <v>325501.74899007869</v>
      </c>
      <c r="AA145">
        <f t="shared" si="64"/>
        <v>0</v>
      </c>
      <c r="AB145" s="27">
        <f t="shared" si="65"/>
        <v>325501.74899007869</v>
      </c>
      <c r="AD145" s="27">
        <f t="shared" si="66"/>
        <v>0</v>
      </c>
      <c r="AE145" s="27">
        <f t="shared" si="67"/>
        <v>325501.74899007869</v>
      </c>
      <c r="AF145" s="50"/>
      <c r="AG145" t="str">
        <f t="shared" si="68"/>
        <v>5304950</v>
      </c>
    </row>
    <row r="146" spans="1:33" x14ac:dyDescent="0.25">
      <c r="A146" s="7" t="s">
        <v>169</v>
      </c>
      <c r="B146" s="2" t="s">
        <v>936</v>
      </c>
      <c r="C146" s="4" t="s">
        <v>935</v>
      </c>
      <c r="D146">
        <f>_xlfn.IFNA(VLOOKUP(A146,'Prior Year data'!$A$1:$T$318,12,FALSE),0)</f>
        <v>125383.35251821793</v>
      </c>
      <c r="E146">
        <f>VLOOKUP(A146,'Basic HH'!$B$1:$Y$319,23,FALSE)</f>
        <v>130280.94709563591</v>
      </c>
      <c r="F146">
        <f>VLOOKUP(A146,'Conc. HH'!$B$1:$Y$319,23,FALSE)</f>
        <v>0</v>
      </c>
      <c r="G146">
        <f>VLOOKUP(A146,'Targeted HH'!$B$1:$Y$319,23,FALSE)</f>
        <v>0</v>
      </c>
      <c r="H146">
        <f>VLOOKUP(A146,'EFIG HH'!$B$1:$Y$319,23,FALSE)</f>
        <v>0</v>
      </c>
      <c r="I146">
        <f t="shared" si="46"/>
        <v>130280.94709563591</v>
      </c>
      <c r="J146">
        <f t="shared" si="47"/>
        <v>130280.94709563591</v>
      </c>
      <c r="K146" s="43">
        <f t="shared" si="48"/>
        <v>118398.1680390273</v>
      </c>
      <c r="L146">
        <f t="shared" si="49"/>
        <v>6985.1844791906333</v>
      </c>
      <c r="M146">
        <f t="shared" si="50"/>
        <v>0</v>
      </c>
      <c r="N146" s="43">
        <f t="shared" si="51"/>
        <v>125383.35251821793</v>
      </c>
      <c r="O146">
        <f t="shared" si="52"/>
        <v>0</v>
      </c>
      <c r="P146">
        <f t="shared" si="53"/>
        <v>0</v>
      </c>
      <c r="Q146" s="43">
        <f t="shared" si="54"/>
        <v>125383.35251821793</v>
      </c>
      <c r="R146">
        <f t="shared" si="55"/>
        <v>0</v>
      </c>
      <c r="S146">
        <f t="shared" si="56"/>
        <v>0</v>
      </c>
      <c r="T146" s="43">
        <f t="shared" si="57"/>
        <v>125383.35251821793</v>
      </c>
      <c r="U146">
        <f t="shared" si="58"/>
        <v>0</v>
      </c>
      <c r="V146">
        <f t="shared" si="59"/>
        <v>0</v>
      </c>
      <c r="W146" s="43">
        <f t="shared" si="60"/>
        <v>125383.35251821793</v>
      </c>
      <c r="X146" s="43">
        <f t="shared" si="61"/>
        <v>4897.5945774179854</v>
      </c>
      <c r="Y146" s="27">
        <f t="shared" si="62"/>
        <v>959.89119794469912</v>
      </c>
      <c r="Z146" s="27">
        <f t="shared" si="63"/>
        <v>124423.46132027323</v>
      </c>
      <c r="AA146">
        <f t="shared" si="64"/>
        <v>0</v>
      </c>
      <c r="AB146" s="27">
        <f t="shared" si="65"/>
        <v>124423.46132027323</v>
      </c>
      <c r="AD146" s="27">
        <f t="shared" si="66"/>
        <v>0</v>
      </c>
      <c r="AE146" s="27">
        <f t="shared" si="67"/>
        <v>124423.46132027323</v>
      </c>
      <c r="AF146" s="50"/>
      <c r="AG146" t="str">
        <f t="shared" si="68"/>
        <v>5304980</v>
      </c>
    </row>
    <row r="147" spans="1:33" x14ac:dyDescent="0.25">
      <c r="A147" s="7" t="s">
        <v>171</v>
      </c>
      <c r="B147" s="2" t="s">
        <v>938</v>
      </c>
      <c r="C147" s="4" t="s">
        <v>937</v>
      </c>
      <c r="D147">
        <f>_xlfn.IFNA(VLOOKUP(A147,'Prior Year data'!$A$1:$T$318,12,FALSE),0)</f>
        <v>363485.52177952265</v>
      </c>
      <c r="E147">
        <f>VLOOKUP(A147,'Basic HH'!$B$1:$Y$319,23,FALSE)</f>
        <v>188473.10346501996</v>
      </c>
      <c r="F147">
        <f>VLOOKUP(A147,'Conc. HH'!$B$1:$Y$319,23,FALSE)</f>
        <v>0</v>
      </c>
      <c r="G147">
        <f>VLOOKUP(A147,'Targeted HH'!$B$1:$Y$319,23,FALSE)</f>
        <v>90942.430653374686</v>
      </c>
      <c r="H147">
        <f>VLOOKUP(A147,'EFIG HH'!$B$1:$Y$319,23,FALSE)</f>
        <v>123730.53236560173</v>
      </c>
      <c r="I147">
        <f t="shared" si="46"/>
        <v>403146.0664839964</v>
      </c>
      <c r="J147">
        <f t="shared" si="47"/>
        <v>403146.0664839964</v>
      </c>
      <c r="K147" s="43">
        <f t="shared" si="48"/>
        <v>366375.56594370177</v>
      </c>
      <c r="L147">
        <f t="shared" si="49"/>
        <v>0</v>
      </c>
      <c r="M147">
        <f t="shared" si="50"/>
        <v>2890.0441641791258</v>
      </c>
      <c r="N147" s="43">
        <f t="shared" si="51"/>
        <v>365997.81156195293</v>
      </c>
      <c r="O147">
        <f t="shared" si="52"/>
        <v>0</v>
      </c>
      <c r="P147">
        <f t="shared" si="53"/>
        <v>2512.2897824302781</v>
      </c>
      <c r="Q147" s="43">
        <f t="shared" si="54"/>
        <v>365997.81156195293</v>
      </c>
      <c r="R147">
        <f t="shared" si="55"/>
        <v>0</v>
      </c>
      <c r="S147">
        <f t="shared" si="56"/>
        <v>2512.2897824302781</v>
      </c>
      <c r="T147" s="43">
        <f t="shared" si="57"/>
        <v>365997.81156195293</v>
      </c>
      <c r="U147">
        <f t="shared" si="58"/>
        <v>0</v>
      </c>
      <c r="V147">
        <f t="shared" si="59"/>
        <v>2512.2897824302781</v>
      </c>
      <c r="W147" s="43">
        <f t="shared" si="60"/>
        <v>365997.81156195293</v>
      </c>
      <c r="X147" s="43">
        <f t="shared" si="61"/>
        <v>37148.254922043474</v>
      </c>
      <c r="Y147" s="27">
        <f t="shared" si="62"/>
        <v>2801.9515408498546</v>
      </c>
      <c r="Z147" s="27">
        <f t="shared" si="63"/>
        <v>363195.86002110306</v>
      </c>
      <c r="AA147">
        <f t="shared" si="64"/>
        <v>0</v>
      </c>
      <c r="AB147" s="27">
        <f t="shared" si="65"/>
        <v>363195.86002110306</v>
      </c>
      <c r="AD147" s="27">
        <f t="shared" si="66"/>
        <v>0</v>
      </c>
      <c r="AE147" s="27">
        <f t="shared" si="67"/>
        <v>363195.86002110306</v>
      </c>
      <c r="AF147" s="50"/>
      <c r="AG147" t="str">
        <f t="shared" si="68"/>
        <v>5305010</v>
      </c>
    </row>
    <row r="148" spans="1:33" x14ac:dyDescent="0.25">
      <c r="A148" s="7" t="s">
        <v>467</v>
      </c>
      <c r="B148" s="2" t="s">
        <v>940</v>
      </c>
      <c r="C148" s="4" t="s">
        <v>939</v>
      </c>
      <c r="D148">
        <f>_xlfn.IFNA(VLOOKUP(A148,'Prior Year data'!$A$1:$T$318,12,FALSE),0)</f>
        <v>168957.03498535196</v>
      </c>
      <c r="E148">
        <f>VLOOKUP(A148,'Basic HH'!$B$1:$Y$319,23,FALSE)</f>
        <v>112041.61450224686</v>
      </c>
      <c r="F148">
        <f>VLOOKUP(A148,'Conc. HH'!$B$1:$Y$319,23,FALSE)</f>
        <v>30151.883630028115</v>
      </c>
      <c r="G148">
        <f>VLOOKUP(A148,'Targeted HH'!$B$1:$Y$319,23,FALSE)</f>
        <v>54062.550941407069</v>
      </c>
      <c r="H148">
        <f>VLOOKUP(A148,'EFIG HH'!$B$1:$Y$319,23,FALSE)</f>
        <v>73554.095277247106</v>
      </c>
      <c r="I148">
        <f t="shared" si="46"/>
        <v>269810.14435092919</v>
      </c>
      <c r="J148">
        <f t="shared" si="47"/>
        <v>269810.14435092919</v>
      </c>
      <c r="K148" s="43">
        <f t="shared" si="48"/>
        <v>245201.06371383299</v>
      </c>
      <c r="L148">
        <f t="shared" si="49"/>
        <v>0</v>
      </c>
      <c r="M148">
        <f t="shared" si="50"/>
        <v>76244.028728481033</v>
      </c>
      <c r="N148" s="43">
        <f t="shared" si="51"/>
        <v>235235.29353933092</v>
      </c>
      <c r="O148">
        <f t="shared" si="52"/>
        <v>0</v>
      </c>
      <c r="P148">
        <f t="shared" si="53"/>
        <v>66278.258553978958</v>
      </c>
      <c r="Q148" s="43">
        <f t="shared" si="54"/>
        <v>235235.29353933092</v>
      </c>
      <c r="R148">
        <f t="shared" si="55"/>
        <v>0</v>
      </c>
      <c r="S148">
        <f t="shared" si="56"/>
        <v>66278.258553978958</v>
      </c>
      <c r="T148" s="43">
        <f t="shared" si="57"/>
        <v>235235.29353933092</v>
      </c>
      <c r="U148">
        <f t="shared" si="58"/>
        <v>0</v>
      </c>
      <c r="V148">
        <f t="shared" si="59"/>
        <v>66278.258553978958</v>
      </c>
      <c r="W148" s="43">
        <f t="shared" si="60"/>
        <v>235235.29353933092</v>
      </c>
      <c r="X148" s="43">
        <f t="shared" si="61"/>
        <v>34574.85081159827</v>
      </c>
      <c r="Y148" s="27">
        <f t="shared" si="62"/>
        <v>1800.8793287093913</v>
      </c>
      <c r="Z148" s="27">
        <f t="shared" si="63"/>
        <v>233434.41421062153</v>
      </c>
      <c r="AA148">
        <f t="shared" si="64"/>
        <v>0</v>
      </c>
      <c r="AB148" s="27">
        <f t="shared" si="65"/>
        <v>233434.41421062153</v>
      </c>
      <c r="AD148" s="27">
        <f t="shared" si="66"/>
        <v>0</v>
      </c>
      <c r="AE148" s="27">
        <f t="shared" si="67"/>
        <v>233434.41421062153</v>
      </c>
      <c r="AF148" s="50"/>
      <c r="AG148" t="str">
        <f t="shared" si="68"/>
        <v>5305020</v>
      </c>
    </row>
    <row r="149" spans="1:33" x14ac:dyDescent="0.25">
      <c r="A149" s="7" t="s">
        <v>469</v>
      </c>
      <c r="B149" s="2" t="s">
        <v>942</v>
      </c>
      <c r="C149" s="4" t="s">
        <v>941</v>
      </c>
      <c r="D149">
        <f>_xlfn.IFNA(VLOOKUP(A149,'Prior Year data'!$A$1:$T$318,12,FALSE),0)</f>
        <v>33714.082660137508</v>
      </c>
      <c r="E149">
        <f>VLOOKUP(A149,'Basic HH'!$B$1:$Y$319,23,FALSE)</f>
        <v>13937.678643458541</v>
      </c>
      <c r="F149">
        <f>VLOOKUP(A149,'Conc. HH'!$B$1:$Y$319,23,FALSE)</f>
        <v>3672.3486178745097</v>
      </c>
      <c r="G149">
        <f>VLOOKUP(A149,'Targeted HH'!$B$1:$Y$319,23,FALSE)</f>
        <v>8920.0886468471053</v>
      </c>
      <c r="H149">
        <f>VLOOKUP(A149,'EFIG HH'!$B$1:$Y$319,23,FALSE)</f>
        <v>12260.822823404522</v>
      </c>
      <c r="I149">
        <f t="shared" si="46"/>
        <v>38790.938731584683</v>
      </c>
      <c r="J149">
        <f t="shared" si="47"/>
        <v>38790.938731584683</v>
      </c>
      <c r="K149" s="43">
        <f t="shared" si="48"/>
        <v>35252.860719244971</v>
      </c>
      <c r="L149">
        <f t="shared" si="49"/>
        <v>0</v>
      </c>
      <c r="M149">
        <f t="shared" si="50"/>
        <v>1538.7780591074625</v>
      </c>
      <c r="N149" s="43">
        <f t="shared" si="51"/>
        <v>35051.728791376328</v>
      </c>
      <c r="O149">
        <f t="shared" si="52"/>
        <v>0</v>
      </c>
      <c r="P149">
        <f t="shared" si="53"/>
        <v>1337.6461312388201</v>
      </c>
      <c r="Q149" s="43">
        <f t="shared" si="54"/>
        <v>35051.728791376328</v>
      </c>
      <c r="R149">
        <f t="shared" si="55"/>
        <v>0</v>
      </c>
      <c r="S149">
        <f t="shared" si="56"/>
        <v>1337.6461312388201</v>
      </c>
      <c r="T149" s="43">
        <f t="shared" si="57"/>
        <v>35051.728791376328</v>
      </c>
      <c r="U149">
        <f t="shared" si="58"/>
        <v>0</v>
      </c>
      <c r="V149">
        <f t="shared" si="59"/>
        <v>1337.6461312388201</v>
      </c>
      <c r="W149" s="43">
        <f t="shared" si="60"/>
        <v>35051.728791376328</v>
      </c>
      <c r="X149" s="43">
        <f t="shared" si="61"/>
        <v>3739.209940208355</v>
      </c>
      <c r="Y149" s="27">
        <f t="shared" si="62"/>
        <v>268.34380532852839</v>
      </c>
      <c r="Z149" s="27">
        <f t="shared" si="63"/>
        <v>34783.3849860478</v>
      </c>
      <c r="AA149">
        <f t="shared" si="64"/>
        <v>0</v>
      </c>
      <c r="AB149" s="27">
        <f t="shared" si="65"/>
        <v>34783.3849860478</v>
      </c>
      <c r="AD149" s="27">
        <f t="shared" si="66"/>
        <v>0</v>
      </c>
      <c r="AE149" s="27">
        <f t="shared" si="67"/>
        <v>34783.3849860478</v>
      </c>
      <c r="AF149" s="50"/>
      <c r="AG149" t="str">
        <f t="shared" si="68"/>
        <v>5305040</v>
      </c>
    </row>
    <row r="150" spans="1:33" x14ac:dyDescent="0.25">
      <c r="A150" s="7" t="s">
        <v>173</v>
      </c>
      <c r="B150" s="2" t="s">
        <v>944</v>
      </c>
      <c r="C150" s="4" t="s">
        <v>943</v>
      </c>
      <c r="D150">
        <f>_xlfn.IFNA(VLOOKUP(A150,'Prior Year data'!$A$1:$T$318,12,FALSE),0)</f>
        <v>692607.03116852825</v>
      </c>
      <c r="E150">
        <f>VLOOKUP(A150,'Basic HH'!$B$1:$Y$319,23,FALSE)</f>
        <v>397791.15846534172</v>
      </c>
      <c r="F150">
        <f>VLOOKUP(A150,'Conc. HH'!$B$1:$Y$319,23,FALSE)</f>
        <v>0</v>
      </c>
      <c r="G150">
        <f>VLOOKUP(A150,'Targeted HH'!$B$1:$Y$319,23,FALSE)</f>
        <v>191943.01031910416</v>
      </c>
      <c r="H150">
        <f>VLOOKUP(A150,'EFIG HH'!$B$1:$Y$319,23,FALSE)</f>
        <v>261145.54757348201</v>
      </c>
      <c r="I150">
        <f t="shared" si="46"/>
        <v>850879.71635792789</v>
      </c>
      <c r="J150">
        <f t="shared" si="47"/>
        <v>850879.71635792789</v>
      </c>
      <c r="K150" s="43">
        <f t="shared" si="48"/>
        <v>773271.93180744431</v>
      </c>
      <c r="L150">
        <f t="shared" si="49"/>
        <v>0</v>
      </c>
      <c r="M150">
        <f t="shared" si="50"/>
        <v>80664.900638916064</v>
      </c>
      <c r="N150" s="43">
        <f t="shared" si="51"/>
        <v>762728.31449966435</v>
      </c>
      <c r="O150">
        <f t="shared" si="52"/>
        <v>0</v>
      </c>
      <c r="P150">
        <f t="shared" si="53"/>
        <v>70121.283331136103</v>
      </c>
      <c r="Q150" s="43">
        <f t="shared" si="54"/>
        <v>762728.31449966435</v>
      </c>
      <c r="R150">
        <f t="shared" si="55"/>
        <v>0</v>
      </c>
      <c r="S150">
        <f t="shared" si="56"/>
        <v>70121.283331136103</v>
      </c>
      <c r="T150" s="43">
        <f t="shared" si="57"/>
        <v>762728.31449966435</v>
      </c>
      <c r="U150">
        <f t="shared" si="58"/>
        <v>0</v>
      </c>
      <c r="V150">
        <f t="shared" si="59"/>
        <v>70121.283331136103</v>
      </c>
      <c r="W150" s="43">
        <f t="shared" si="60"/>
        <v>762728.31449966435</v>
      </c>
      <c r="X150" s="43">
        <f t="shared" si="61"/>
        <v>88151.401858263533</v>
      </c>
      <c r="Y150" s="27">
        <f t="shared" si="62"/>
        <v>5839.1818435788446</v>
      </c>
      <c r="Z150" s="27">
        <f t="shared" si="63"/>
        <v>756889.13265608554</v>
      </c>
      <c r="AA150">
        <f t="shared" si="64"/>
        <v>0</v>
      </c>
      <c r="AB150" s="27">
        <f t="shared" si="65"/>
        <v>756889.13265608554</v>
      </c>
      <c r="AD150" s="27">
        <f t="shared" si="66"/>
        <v>0</v>
      </c>
      <c r="AE150" s="27">
        <f t="shared" si="67"/>
        <v>756889.13265608554</v>
      </c>
      <c r="AF150" s="50"/>
      <c r="AG150" t="str">
        <f t="shared" si="68"/>
        <v>5305130</v>
      </c>
    </row>
    <row r="151" spans="1:33" x14ac:dyDescent="0.25">
      <c r="A151" s="7" t="s">
        <v>471</v>
      </c>
      <c r="B151" s="2" t="s">
        <v>946</v>
      </c>
      <c r="C151" s="4" t="s">
        <v>945</v>
      </c>
      <c r="D151">
        <f>_xlfn.IFNA(VLOOKUP(A151,'Prior Year data'!$A$1:$T$318,12,FALSE),0)</f>
        <v>375506.60928039916</v>
      </c>
      <c r="E151">
        <f>VLOOKUP(A151,'Basic HH'!$B$1:$Y$319,23,FALSE)</f>
        <v>155766.46409865239</v>
      </c>
      <c r="F151">
        <f>VLOOKUP(A151,'Conc. HH'!$B$1:$Y$319,23,FALSE)</f>
        <v>41041.896127541957</v>
      </c>
      <c r="G151">
        <f>VLOOKUP(A151,'Targeted HH'!$B$1:$Y$319,23,FALSE)</f>
        <v>75867.507748334785</v>
      </c>
      <c r="H151">
        <f>VLOOKUP(A151,'EFIG HH'!$B$1:$Y$319,23,FALSE)</f>
        <v>104281.25855950882</v>
      </c>
      <c r="I151">
        <f t="shared" si="46"/>
        <v>376957.12653403799</v>
      </c>
      <c r="J151">
        <f t="shared" si="47"/>
        <v>376957.12653403799</v>
      </c>
      <c r="K151" s="43">
        <f t="shared" si="48"/>
        <v>342575.28983208421</v>
      </c>
      <c r="L151">
        <f t="shared" si="49"/>
        <v>32931.319448314956</v>
      </c>
      <c r="M151">
        <f t="shared" si="50"/>
        <v>0</v>
      </c>
      <c r="N151" s="43">
        <f t="shared" si="51"/>
        <v>375506.60928039916</v>
      </c>
      <c r="O151">
        <f t="shared" si="52"/>
        <v>0</v>
      </c>
      <c r="P151">
        <f t="shared" si="53"/>
        <v>0</v>
      </c>
      <c r="Q151" s="43">
        <f t="shared" si="54"/>
        <v>375506.60928039916</v>
      </c>
      <c r="R151">
        <f t="shared" si="55"/>
        <v>0</v>
      </c>
      <c r="S151">
        <f t="shared" si="56"/>
        <v>0</v>
      </c>
      <c r="T151" s="43">
        <f t="shared" si="57"/>
        <v>375506.60928039916</v>
      </c>
      <c r="U151">
        <f t="shared" si="58"/>
        <v>0</v>
      </c>
      <c r="V151">
        <f t="shared" si="59"/>
        <v>0</v>
      </c>
      <c r="W151" s="43">
        <f t="shared" si="60"/>
        <v>375506.60928039916</v>
      </c>
      <c r="X151" s="43">
        <f t="shared" si="61"/>
        <v>1450.5172536388272</v>
      </c>
      <c r="Y151" s="27">
        <f t="shared" si="62"/>
        <v>2874.7475783592758</v>
      </c>
      <c r="Z151" s="27">
        <f t="shared" si="63"/>
        <v>372631.8617020399</v>
      </c>
      <c r="AA151">
        <f t="shared" si="64"/>
        <v>0</v>
      </c>
      <c r="AB151" s="27">
        <f t="shared" si="65"/>
        <v>372631.8617020399</v>
      </c>
      <c r="AD151" s="27">
        <f t="shared" si="66"/>
        <v>0</v>
      </c>
      <c r="AE151" s="27">
        <f t="shared" si="67"/>
        <v>372631.8617020399</v>
      </c>
      <c r="AF151" s="50"/>
      <c r="AG151" t="str">
        <f t="shared" si="68"/>
        <v>5305160</v>
      </c>
    </row>
    <row r="152" spans="1:33" x14ac:dyDescent="0.25">
      <c r="A152" s="7" t="s">
        <v>473</v>
      </c>
      <c r="B152" s="2" t="s">
        <v>948</v>
      </c>
      <c r="C152" s="4" t="s">
        <v>947</v>
      </c>
      <c r="D152">
        <f>_xlfn.IFNA(VLOOKUP(A152,'Prior Year data'!$A$1:$T$318,12,FALSE),0)</f>
        <v>117197.5257764822</v>
      </c>
      <c r="E152">
        <f>VLOOKUP(A152,'Basic HH'!$B$1:$Y$319,23,FALSE)</f>
        <v>38525.573276616677</v>
      </c>
      <c r="F152">
        <f>VLOOKUP(A152,'Conc. HH'!$B$1:$Y$319,23,FALSE)</f>
        <v>10090.060852061843</v>
      </c>
      <c r="G152">
        <f>VLOOKUP(A152,'Targeted HH'!$B$1:$Y$319,23,FALSE)</f>
        <v>21764.765657997483</v>
      </c>
      <c r="H152">
        <f>VLOOKUP(A152,'EFIG HH'!$B$1:$Y$319,23,FALSE)</f>
        <v>30012.168027960117</v>
      </c>
      <c r="I152">
        <f t="shared" si="46"/>
        <v>100392.56781463612</v>
      </c>
      <c r="J152">
        <f t="shared" si="47"/>
        <v>0</v>
      </c>
      <c r="K152" s="43">
        <f t="shared" si="48"/>
        <v>100392.56781463612</v>
      </c>
      <c r="L152">
        <f t="shared" si="49"/>
        <v>0</v>
      </c>
      <c r="M152">
        <f t="shared" si="50"/>
        <v>0</v>
      </c>
      <c r="N152" s="43">
        <f t="shared" si="51"/>
        <v>100392.56781463612</v>
      </c>
      <c r="O152">
        <f t="shared" si="52"/>
        <v>0</v>
      </c>
      <c r="P152">
        <f t="shared" si="53"/>
        <v>0</v>
      </c>
      <c r="Q152" s="43">
        <f t="shared" si="54"/>
        <v>100392.56781463612</v>
      </c>
      <c r="R152">
        <f t="shared" si="55"/>
        <v>0</v>
      </c>
      <c r="S152">
        <f t="shared" si="56"/>
        <v>0</v>
      </c>
      <c r="T152" s="43">
        <f t="shared" si="57"/>
        <v>100392.56781463612</v>
      </c>
      <c r="U152">
        <f t="shared" si="58"/>
        <v>0</v>
      </c>
      <c r="V152">
        <f t="shared" si="59"/>
        <v>0</v>
      </c>
      <c r="W152" s="43">
        <f t="shared" si="60"/>
        <v>100392.56781463612</v>
      </c>
      <c r="X152" s="43">
        <f t="shared" si="61"/>
        <v>0</v>
      </c>
      <c r="Y152" s="27">
        <f t="shared" si="62"/>
        <v>768.5704700736386</v>
      </c>
      <c r="Z152" s="27">
        <f t="shared" si="63"/>
        <v>99623.997344562478</v>
      </c>
      <c r="AA152">
        <f t="shared" si="64"/>
        <v>0</v>
      </c>
      <c r="AB152" s="27">
        <f t="shared" si="65"/>
        <v>99623.997344562478</v>
      </c>
      <c r="AD152" s="27">
        <f t="shared" si="66"/>
        <v>0</v>
      </c>
      <c r="AE152" s="27">
        <f t="shared" si="67"/>
        <v>99623.997344562478</v>
      </c>
      <c r="AF152" s="50"/>
      <c r="AG152" t="str">
        <f t="shared" si="68"/>
        <v>5305190</v>
      </c>
    </row>
    <row r="153" spans="1:33" x14ac:dyDescent="0.25">
      <c r="A153" s="7" t="s">
        <v>475</v>
      </c>
      <c r="B153" s="2" t="s">
        <v>950</v>
      </c>
      <c r="C153" s="4" t="s">
        <v>949</v>
      </c>
      <c r="D153">
        <f>_xlfn.IFNA(VLOOKUP(A153,'Prior Year data'!$A$1:$T$318,12,FALSE),0)</f>
        <v>3052617.8677840186</v>
      </c>
      <c r="E153">
        <f>VLOOKUP(A153,'Basic HH'!$B$1:$Y$319,23,FALSE)</f>
        <v>1404428.6096909556</v>
      </c>
      <c r="F153">
        <f>VLOOKUP(A153,'Conc. HH'!$B$1:$Y$319,23,FALSE)</f>
        <v>377950.35526942211</v>
      </c>
      <c r="G153">
        <f>VLOOKUP(A153,'Targeted HH'!$B$1:$Y$319,23,FALSE)</f>
        <v>871706.2477374163</v>
      </c>
      <c r="H153">
        <f>VLOOKUP(A153,'EFIG HH'!$B$1:$Y$319,23,FALSE)</f>
        <v>1185988.5129974729</v>
      </c>
      <c r="I153">
        <f t="shared" si="46"/>
        <v>3840073.7256952664</v>
      </c>
      <c r="J153">
        <f t="shared" si="47"/>
        <v>3840073.7256952664</v>
      </c>
      <c r="K153" s="43">
        <f t="shared" si="48"/>
        <v>3489824.908344957</v>
      </c>
      <c r="L153">
        <f t="shared" si="49"/>
        <v>0</v>
      </c>
      <c r="M153">
        <f t="shared" si="50"/>
        <v>437207.04056093842</v>
      </c>
      <c r="N153" s="43">
        <f t="shared" si="51"/>
        <v>3432678.0739296223</v>
      </c>
      <c r="O153">
        <f t="shared" si="52"/>
        <v>0</v>
      </c>
      <c r="P153">
        <f t="shared" si="53"/>
        <v>380060.20614560368</v>
      </c>
      <c r="Q153" s="43">
        <f t="shared" si="54"/>
        <v>3432678.0739296223</v>
      </c>
      <c r="R153">
        <f t="shared" si="55"/>
        <v>0</v>
      </c>
      <c r="S153">
        <f t="shared" si="56"/>
        <v>380060.20614560368</v>
      </c>
      <c r="T153" s="43">
        <f t="shared" si="57"/>
        <v>3432678.0739296223</v>
      </c>
      <c r="U153">
        <f t="shared" si="58"/>
        <v>0</v>
      </c>
      <c r="V153">
        <f t="shared" si="59"/>
        <v>380060.20614560368</v>
      </c>
      <c r="W153" s="43">
        <f t="shared" si="60"/>
        <v>3432678.0739296223</v>
      </c>
      <c r="X153" s="43">
        <f t="shared" si="61"/>
        <v>407395.65176564408</v>
      </c>
      <c r="Y153" s="27">
        <f t="shared" si="62"/>
        <v>26279.385599169163</v>
      </c>
      <c r="Z153" s="27">
        <f t="shared" si="63"/>
        <v>3406398.6883304534</v>
      </c>
      <c r="AA153">
        <f t="shared" si="64"/>
        <v>0</v>
      </c>
      <c r="AB153" s="27">
        <f t="shared" si="65"/>
        <v>3406398.6883304534</v>
      </c>
      <c r="AD153" s="27">
        <f t="shared" si="66"/>
        <v>0</v>
      </c>
      <c r="AE153" s="27">
        <f t="shared" si="67"/>
        <v>3406398.6883304534</v>
      </c>
      <c r="AF153" s="50"/>
      <c r="AG153" t="str">
        <f t="shared" si="68"/>
        <v>5305220</v>
      </c>
    </row>
    <row r="154" spans="1:33" x14ac:dyDescent="0.25">
      <c r="A154" s="7" t="s">
        <v>477</v>
      </c>
      <c r="B154" s="2" t="s">
        <v>952</v>
      </c>
      <c r="C154" s="4" t="s">
        <v>951</v>
      </c>
      <c r="D154">
        <f>_xlfn.IFNA(VLOOKUP(A154,'Prior Year data'!$A$1:$T$318,12,FALSE),0)</f>
        <v>224746.86323400875</v>
      </c>
      <c r="E154">
        <f>VLOOKUP(A154,'Basic HH'!$B$1:$Y$319,23,FALSE)</f>
        <v>90680.946235835188</v>
      </c>
      <c r="F154">
        <f>VLOOKUP(A154,'Conc. HH'!$B$1:$Y$319,23,FALSE)</f>
        <v>23892.934834813172</v>
      </c>
      <c r="G154">
        <f>VLOOKUP(A154,'Targeted HH'!$B$1:$Y$319,23,FALSE)</f>
        <v>47339.106797942179</v>
      </c>
      <c r="H154">
        <f>VLOOKUP(A154,'EFIG HH'!$B$1:$Y$319,23,FALSE)</f>
        <v>65068.456609222972</v>
      </c>
      <c r="I154">
        <f t="shared" si="46"/>
        <v>226981.44447781352</v>
      </c>
      <c r="J154">
        <f t="shared" si="47"/>
        <v>226981.44447781352</v>
      </c>
      <c r="K154" s="43">
        <f t="shared" si="48"/>
        <v>206278.72151787212</v>
      </c>
      <c r="L154">
        <f t="shared" si="49"/>
        <v>18468.141716136626</v>
      </c>
      <c r="M154">
        <f t="shared" si="50"/>
        <v>0</v>
      </c>
      <c r="N154" s="43">
        <f t="shared" si="51"/>
        <v>224746.86323400875</v>
      </c>
      <c r="O154">
        <f t="shared" si="52"/>
        <v>0</v>
      </c>
      <c r="P154">
        <f t="shared" si="53"/>
        <v>0</v>
      </c>
      <c r="Q154" s="43">
        <f t="shared" si="54"/>
        <v>224746.86323400875</v>
      </c>
      <c r="R154">
        <f t="shared" si="55"/>
        <v>0</v>
      </c>
      <c r="S154">
        <f t="shared" si="56"/>
        <v>0</v>
      </c>
      <c r="T154" s="43">
        <f t="shared" si="57"/>
        <v>224746.86323400875</v>
      </c>
      <c r="U154">
        <f t="shared" si="58"/>
        <v>0</v>
      </c>
      <c r="V154">
        <f t="shared" si="59"/>
        <v>0</v>
      </c>
      <c r="W154" s="43">
        <f t="shared" si="60"/>
        <v>224746.86323400875</v>
      </c>
      <c r="X154" s="43">
        <f t="shared" si="61"/>
        <v>2234.5812438047724</v>
      </c>
      <c r="Y154" s="27">
        <f t="shared" si="62"/>
        <v>1720.5835659296206</v>
      </c>
      <c r="Z154" s="27">
        <f t="shared" si="63"/>
        <v>223026.27966807914</v>
      </c>
      <c r="AA154">
        <f t="shared" si="64"/>
        <v>0</v>
      </c>
      <c r="AB154" s="27">
        <f t="shared" si="65"/>
        <v>223026.27966807914</v>
      </c>
      <c r="AD154" s="27">
        <f t="shared" si="66"/>
        <v>0</v>
      </c>
      <c r="AE154" s="27">
        <f t="shared" si="67"/>
        <v>223026.27966807914</v>
      </c>
      <c r="AF154" s="50"/>
      <c r="AG154" t="str">
        <f t="shared" si="68"/>
        <v>5305250</v>
      </c>
    </row>
    <row r="155" spans="1:33" x14ac:dyDescent="0.25">
      <c r="A155" s="7" t="s">
        <v>479</v>
      </c>
      <c r="B155" s="2" t="s">
        <v>954</v>
      </c>
      <c r="C155" s="4" t="s">
        <v>953</v>
      </c>
      <c r="D155">
        <f>_xlfn.IFNA(VLOOKUP(A155,'Prior Year data'!$A$1:$T$318,12,FALSE),0)</f>
        <v>579094.94150122162</v>
      </c>
      <c r="E155">
        <f>VLOOKUP(A155,'Basic HH'!$B$1:$Y$319,23,FALSE)</f>
        <v>194525.25563493677</v>
      </c>
      <c r="F155">
        <f>VLOOKUP(A155,'Conc. HH'!$B$1:$Y$319,23,FALSE)</f>
        <v>51254.198919841154</v>
      </c>
      <c r="G155">
        <f>VLOOKUP(A155,'Targeted HH'!$B$1:$Y$319,23,FALSE)</f>
        <v>133945.01457489276</v>
      </c>
      <c r="H155">
        <f>VLOOKUP(A155,'EFIG HH'!$B$1:$Y$319,23,FALSE)</f>
        <v>184109.83980092793</v>
      </c>
      <c r="I155">
        <f t="shared" si="46"/>
        <v>563834.30893059855</v>
      </c>
      <c r="J155">
        <f t="shared" si="47"/>
        <v>0</v>
      </c>
      <c r="K155" s="43">
        <f t="shared" si="48"/>
        <v>563834.30893059855</v>
      </c>
      <c r="L155">
        <f t="shared" si="49"/>
        <v>0</v>
      </c>
      <c r="M155">
        <f t="shared" si="50"/>
        <v>0</v>
      </c>
      <c r="N155" s="43">
        <f t="shared" si="51"/>
        <v>563834.30893059855</v>
      </c>
      <c r="O155">
        <f t="shared" si="52"/>
        <v>0</v>
      </c>
      <c r="P155">
        <f t="shared" si="53"/>
        <v>0</v>
      </c>
      <c r="Q155" s="43">
        <f t="shared" si="54"/>
        <v>563834.30893059855</v>
      </c>
      <c r="R155">
        <f t="shared" si="55"/>
        <v>0</v>
      </c>
      <c r="S155">
        <f t="shared" si="56"/>
        <v>0</v>
      </c>
      <c r="T155" s="43">
        <f t="shared" si="57"/>
        <v>563834.30893059855</v>
      </c>
      <c r="U155">
        <f t="shared" si="58"/>
        <v>0</v>
      </c>
      <c r="V155">
        <f t="shared" si="59"/>
        <v>0</v>
      </c>
      <c r="W155" s="43">
        <f t="shared" si="60"/>
        <v>563834.30893059855</v>
      </c>
      <c r="X155" s="43">
        <f t="shared" si="61"/>
        <v>0</v>
      </c>
      <c r="Y155" s="27">
        <f t="shared" si="62"/>
        <v>4316.5187353167621</v>
      </c>
      <c r="Z155" s="27">
        <f t="shared" si="63"/>
        <v>559517.79019528173</v>
      </c>
      <c r="AA155">
        <f t="shared" si="64"/>
        <v>0</v>
      </c>
      <c r="AB155" s="27">
        <f t="shared" si="65"/>
        <v>559517.79019528173</v>
      </c>
      <c r="AD155" s="27">
        <f t="shared" si="66"/>
        <v>0</v>
      </c>
      <c r="AE155" s="27">
        <f t="shared" si="67"/>
        <v>559517.79019528173</v>
      </c>
      <c r="AF155" s="50"/>
      <c r="AG155" t="str">
        <f t="shared" si="68"/>
        <v>5305280</v>
      </c>
    </row>
    <row r="156" spans="1:33" x14ac:dyDescent="0.25">
      <c r="A156" s="7" t="s">
        <v>481</v>
      </c>
      <c r="B156" s="2" t="s">
        <v>956</v>
      </c>
      <c r="C156" s="4" t="s">
        <v>955</v>
      </c>
      <c r="D156">
        <f>_xlfn.IFNA(VLOOKUP(A156,'Prior Year data'!$A$1:$T$318,12,FALSE),0)</f>
        <v>720848.3811013503</v>
      </c>
      <c r="E156">
        <f>VLOOKUP(A156,'Basic HH'!$B$1:$Y$319,23,FALSE)</f>
        <v>247497.62226190107</v>
      </c>
      <c r="F156">
        <f>VLOOKUP(A156,'Conc. HH'!$B$1:$Y$319,23,FALSE)</f>
        <v>64820.996989003354</v>
      </c>
      <c r="G156">
        <f>VLOOKUP(A156,'Targeted HH'!$B$1:$Y$319,23,FALSE)</f>
        <v>128279.02185841523</v>
      </c>
      <c r="H156">
        <f>VLOOKUP(A156,'EFIG HH'!$B$1:$Y$319,23,FALSE)</f>
        <v>176888.26146687521</v>
      </c>
      <c r="I156">
        <f t="shared" si="46"/>
        <v>617485.90257619484</v>
      </c>
      <c r="J156">
        <f t="shared" si="47"/>
        <v>0</v>
      </c>
      <c r="K156" s="43">
        <f t="shared" si="48"/>
        <v>617485.90257619484</v>
      </c>
      <c r="L156">
        <f t="shared" si="49"/>
        <v>0</v>
      </c>
      <c r="M156">
        <f t="shared" si="50"/>
        <v>0</v>
      </c>
      <c r="N156" s="43">
        <f t="shared" si="51"/>
        <v>617485.90257619484</v>
      </c>
      <c r="O156">
        <f t="shared" si="52"/>
        <v>0</v>
      </c>
      <c r="P156">
        <f t="shared" si="53"/>
        <v>0</v>
      </c>
      <c r="Q156" s="43">
        <f t="shared" si="54"/>
        <v>617485.90257619484</v>
      </c>
      <c r="R156">
        <f t="shared" si="55"/>
        <v>0</v>
      </c>
      <c r="S156">
        <f t="shared" si="56"/>
        <v>0</v>
      </c>
      <c r="T156" s="43">
        <f t="shared" si="57"/>
        <v>617485.90257619484</v>
      </c>
      <c r="U156">
        <f t="shared" si="58"/>
        <v>0</v>
      </c>
      <c r="V156">
        <f t="shared" si="59"/>
        <v>0</v>
      </c>
      <c r="W156" s="43">
        <f t="shared" si="60"/>
        <v>617485.90257619484</v>
      </c>
      <c r="X156" s="43">
        <f t="shared" si="61"/>
        <v>0</v>
      </c>
      <c r="Y156" s="27">
        <f t="shared" si="62"/>
        <v>4727.2566160783308</v>
      </c>
      <c r="Z156" s="27">
        <f t="shared" si="63"/>
        <v>612758.64596011653</v>
      </c>
      <c r="AA156">
        <f t="shared" si="64"/>
        <v>0</v>
      </c>
      <c r="AB156" s="27">
        <f t="shared" si="65"/>
        <v>612758.64596011653</v>
      </c>
      <c r="AD156" s="27">
        <f t="shared" si="66"/>
        <v>0</v>
      </c>
      <c r="AE156" s="27">
        <f t="shared" si="67"/>
        <v>612758.64596011653</v>
      </c>
      <c r="AF156" s="50"/>
      <c r="AG156" t="str">
        <f t="shared" si="68"/>
        <v>5305310</v>
      </c>
    </row>
    <row r="157" spans="1:33" x14ac:dyDescent="0.25">
      <c r="A157" s="7" t="s">
        <v>175</v>
      </c>
      <c r="B157" s="2" t="s">
        <v>958</v>
      </c>
      <c r="C157" s="4" t="s">
        <v>957</v>
      </c>
      <c r="D157">
        <f>_xlfn.IFNA(VLOOKUP(A157,'Prior Year data'!$A$1:$T$318,12,FALSE),0)</f>
        <v>0</v>
      </c>
      <c r="E157">
        <f>VLOOKUP(A157,'Basic HH'!$B$1:$Y$319,23,FALSE)</f>
        <v>0</v>
      </c>
      <c r="F157">
        <f>VLOOKUP(A157,'Conc. HH'!$B$1:$Y$319,23,FALSE)</f>
        <v>0</v>
      </c>
      <c r="G157">
        <f>VLOOKUP(A157,'Targeted HH'!$B$1:$Y$319,23,FALSE)</f>
        <v>0</v>
      </c>
      <c r="H157">
        <f>VLOOKUP(A157,'EFIG HH'!$B$1:$Y$319,23,FALSE)</f>
        <v>0</v>
      </c>
      <c r="I157">
        <f t="shared" si="46"/>
        <v>0</v>
      </c>
      <c r="J157">
        <f t="shared" si="47"/>
        <v>0</v>
      </c>
      <c r="K157" s="43">
        <f t="shared" si="48"/>
        <v>0</v>
      </c>
      <c r="L157">
        <f t="shared" si="49"/>
        <v>0</v>
      </c>
      <c r="M157">
        <f t="shared" si="50"/>
        <v>0</v>
      </c>
      <c r="N157" s="43">
        <f t="shared" si="51"/>
        <v>0</v>
      </c>
      <c r="O157">
        <f t="shared" si="52"/>
        <v>0</v>
      </c>
      <c r="P157">
        <f t="shared" si="53"/>
        <v>0</v>
      </c>
      <c r="Q157" s="43">
        <f t="shared" si="54"/>
        <v>0</v>
      </c>
      <c r="R157">
        <f t="shared" si="55"/>
        <v>0</v>
      </c>
      <c r="S157">
        <f t="shared" si="56"/>
        <v>0</v>
      </c>
      <c r="T157" s="43">
        <f t="shared" si="57"/>
        <v>0</v>
      </c>
      <c r="U157">
        <f t="shared" si="58"/>
        <v>0</v>
      </c>
      <c r="V157">
        <f t="shared" si="59"/>
        <v>0</v>
      </c>
      <c r="W157" s="43">
        <f t="shared" si="60"/>
        <v>0</v>
      </c>
      <c r="X157" s="43">
        <f t="shared" si="61"/>
        <v>0</v>
      </c>
      <c r="Y157" s="27">
        <f t="shared" si="62"/>
        <v>0</v>
      </c>
      <c r="Z157" s="27">
        <f t="shared" si="63"/>
        <v>0</v>
      </c>
      <c r="AA157">
        <f t="shared" si="64"/>
        <v>0</v>
      </c>
      <c r="AB157" s="27">
        <f t="shared" si="65"/>
        <v>0</v>
      </c>
      <c r="AD157" s="27">
        <f t="shared" si="66"/>
        <v>0</v>
      </c>
      <c r="AE157" s="27">
        <f t="shared" si="67"/>
        <v>0</v>
      </c>
      <c r="AF157" s="50"/>
      <c r="AG157" t="str">
        <f t="shared" si="68"/>
        <v>5305340</v>
      </c>
    </row>
    <row r="158" spans="1:33" x14ac:dyDescent="0.25">
      <c r="A158" s="7" t="s">
        <v>483</v>
      </c>
      <c r="B158" s="9" t="s">
        <v>960</v>
      </c>
      <c r="C158" s="4" t="s">
        <v>959</v>
      </c>
      <c r="D158">
        <f>_xlfn.IFNA(VLOOKUP(A158,'Prior Year data'!$A$1:$T$318,12,FALSE),0)</f>
        <v>1939210.1381857819</v>
      </c>
      <c r="E158">
        <f>VLOOKUP(A158,'Basic HH'!$B$1:$Y$319,23,FALSE)</f>
        <v>786896.92045764101</v>
      </c>
      <c r="F158">
        <f>VLOOKUP(A158,'Conc. HH'!$B$1:$Y$319,23,FALSE)</f>
        <v>132193.6411546595</v>
      </c>
      <c r="G158">
        <f>VLOOKUP(A158,'Targeted HH'!$B$1:$Y$319,23,FALSE)</f>
        <v>424747.25100089971</v>
      </c>
      <c r="H158">
        <f>VLOOKUP(A158,'EFIG HH'!$B$1:$Y$319,23,FALSE)</f>
        <v>577884.3066937204</v>
      </c>
      <c r="I158">
        <f t="shared" si="46"/>
        <v>1921722.1193069208</v>
      </c>
      <c r="J158">
        <f t="shared" si="47"/>
        <v>0</v>
      </c>
      <c r="K158" s="43">
        <f t="shared" si="48"/>
        <v>1921722.1193069208</v>
      </c>
      <c r="L158">
        <f t="shared" si="49"/>
        <v>0</v>
      </c>
      <c r="M158">
        <f t="shared" si="50"/>
        <v>0</v>
      </c>
      <c r="N158" s="43">
        <f t="shared" si="51"/>
        <v>1921722.1193069208</v>
      </c>
      <c r="O158">
        <f t="shared" si="52"/>
        <v>0</v>
      </c>
      <c r="P158">
        <f t="shared" si="53"/>
        <v>0</v>
      </c>
      <c r="Q158" s="43">
        <f t="shared" si="54"/>
        <v>1921722.1193069208</v>
      </c>
      <c r="R158">
        <f t="shared" si="55"/>
        <v>0</v>
      </c>
      <c r="S158">
        <f t="shared" si="56"/>
        <v>0</v>
      </c>
      <c r="T158" s="43">
        <f t="shared" si="57"/>
        <v>1921722.1193069208</v>
      </c>
      <c r="U158">
        <f t="shared" si="58"/>
        <v>0</v>
      </c>
      <c r="V158">
        <f t="shared" si="59"/>
        <v>0</v>
      </c>
      <c r="W158" s="43">
        <f t="shared" si="60"/>
        <v>1921722.1193069208</v>
      </c>
      <c r="X158" s="43">
        <f t="shared" si="61"/>
        <v>0</v>
      </c>
      <c r="Y158" s="27">
        <f t="shared" si="62"/>
        <v>14712.034015443343</v>
      </c>
      <c r="Z158" s="27">
        <f t="shared" si="63"/>
        <v>1907010.0852914774</v>
      </c>
      <c r="AA158">
        <f t="shared" si="64"/>
        <v>0</v>
      </c>
      <c r="AB158" s="27">
        <f t="shared" si="65"/>
        <v>1907010.0852914774</v>
      </c>
      <c r="AD158" s="27">
        <f t="shared" si="66"/>
        <v>0</v>
      </c>
      <c r="AE158" s="27">
        <f t="shared" si="67"/>
        <v>1907010.0852914774</v>
      </c>
      <c r="AF158" s="50"/>
      <c r="AG158" t="str">
        <f t="shared" si="68"/>
        <v>5305400</v>
      </c>
    </row>
    <row r="159" spans="1:33" x14ac:dyDescent="0.25">
      <c r="A159" s="7" t="s">
        <v>286</v>
      </c>
      <c r="B159" s="2" t="s">
        <v>962</v>
      </c>
      <c r="C159" s="4" t="s">
        <v>961</v>
      </c>
      <c r="D159">
        <f>_xlfn.IFNA(VLOOKUP(A159,'Prior Year data'!$A$1:$T$318,12,FALSE),0)</f>
        <v>4248215.2973200297</v>
      </c>
      <c r="E159">
        <f>VLOOKUP(A159,'Basic HH'!$B$1:$Y$319,23,FALSE)</f>
        <v>2135738.992721125</v>
      </c>
      <c r="F159">
        <f>VLOOKUP(A159,'Conc. HH'!$B$1:$Y$319,23,FALSE)</f>
        <v>0</v>
      </c>
      <c r="G159">
        <f>VLOOKUP(A159,'Targeted HH'!$B$1:$Y$319,23,FALSE)</f>
        <v>1442296.6594174604</v>
      </c>
      <c r="H159">
        <f>VLOOKUP(A159,'EFIG HH'!$B$1:$Y$319,23,FALSE)</f>
        <v>1962297.8209042319</v>
      </c>
      <c r="I159">
        <f t="shared" si="46"/>
        <v>5540333.4730428169</v>
      </c>
      <c r="J159">
        <f t="shared" si="47"/>
        <v>5540333.4730428169</v>
      </c>
      <c r="K159" s="43">
        <f t="shared" si="48"/>
        <v>5035005.8712118799</v>
      </c>
      <c r="L159">
        <f t="shared" si="49"/>
        <v>0</v>
      </c>
      <c r="M159">
        <f t="shared" si="50"/>
        <v>786790.57389185019</v>
      </c>
      <c r="N159" s="43">
        <f t="shared" si="51"/>
        <v>4932165.3712326102</v>
      </c>
      <c r="O159">
        <f t="shared" si="52"/>
        <v>0</v>
      </c>
      <c r="P159">
        <f t="shared" si="53"/>
        <v>683950.0739125805</v>
      </c>
      <c r="Q159" s="43">
        <f t="shared" si="54"/>
        <v>4932165.3712326102</v>
      </c>
      <c r="R159">
        <f t="shared" si="55"/>
        <v>0</v>
      </c>
      <c r="S159">
        <f t="shared" si="56"/>
        <v>683950.0739125805</v>
      </c>
      <c r="T159" s="43">
        <f t="shared" si="57"/>
        <v>4932165.3712326102</v>
      </c>
      <c r="U159">
        <f t="shared" si="58"/>
        <v>0</v>
      </c>
      <c r="V159">
        <f t="shared" si="59"/>
        <v>683950.0739125805</v>
      </c>
      <c r="W159" s="43">
        <f t="shared" si="60"/>
        <v>4932165.3712326102</v>
      </c>
      <c r="X159" s="43">
        <f t="shared" si="61"/>
        <v>608168.10181020666</v>
      </c>
      <c r="Y159" s="27">
        <f t="shared" si="62"/>
        <v>37758.937144115218</v>
      </c>
      <c r="Z159" s="27">
        <f t="shared" si="63"/>
        <v>4894406.4340884946</v>
      </c>
      <c r="AA159">
        <f t="shared" si="64"/>
        <v>0</v>
      </c>
      <c r="AB159" s="27">
        <f t="shared" si="65"/>
        <v>4894406.4340884946</v>
      </c>
      <c r="AD159" s="27">
        <f t="shared" si="66"/>
        <v>0</v>
      </c>
      <c r="AE159" s="27">
        <f t="shared" si="67"/>
        <v>4894406.4340884946</v>
      </c>
      <c r="AF159" s="50"/>
      <c r="AG159" t="str">
        <f t="shared" si="68"/>
        <v>5305430</v>
      </c>
    </row>
    <row r="160" spans="1:33" x14ac:dyDescent="0.25">
      <c r="A160" s="7" t="s">
        <v>485</v>
      </c>
      <c r="B160" s="2" t="s">
        <v>964</v>
      </c>
      <c r="C160" s="4" t="s">
        <v>963</v>
      </c>
      <c r="D160">
        <f>_xlfn.IFNA(VLOOKUP(A160,'Prior Year data'!$A$1:$T$318,12,FALSE),0)</f>
        <v>349383.32539505127</v>
      </c>
      <c r="E160">
        <f>VLOOKUP(A160,'Basic HH'!$B$1:$Y$319,23,FALSE)</f>
        <v>160154.25181974118</v>
      </c>
      <c r="F160">
        <f>VLOOKUP(A160,'Conc. HH'!$B$1:$Y$319,23,FALSE)</f>
        <v>0</v>
      </c>
      <c r="G160">
        <f>VLOOKUP(A160,'Targeted HH'!$B$1:$Y$319,23,FALSE)</f>
        <v>76611.902577073372</v>
      </c>
      <c r="H160">
        <f>VLOOKUP(A160,'EFIG HH'!$B$1:$Y$319,23,FALSE)</f>
        <v>105304.44268549263</v>
      </c>
      <c r="I160">
        <f t="shared" si="46"/>
        <v>342070.59708230721</v>
      </c>
      <c r="J160">
        <f t="shared" si="47"/>
        <v>0</v>
      </c>
      <c r="K160" s="43">
        <f t="shared" si="48"/>
        <v>342070.59708230721</v>
      </c>
      <c r="L160">
        <f t="shared" si="49"/>
        <v>0</v>
      </c>
      <c r="M160">
        <f t="shared" si="50"/>
        <v>0</v>
      </c>
      <c r="N160" s="43">
        <f t="shared" si="51"/>
        <v>342070.59708230721</v>
      </c>
      <c r="O160">
        <f t="shared" si="52"/>
        <v>0</v>
      </c>
      <c r="P160">
        <f t="shared" si="53"/>
        <v>0</v>
      </c>
      <c r="Q160" s="43">
        <f t="shared" si="54"/>
        <v>342070.59708230721</v>
      </c>
      <c r="R160">
        <f t="shared" si="55"/>
        <v>0</v>
      </c>
      <c r="S160">
        <f t="shared" si="56"/>
        <v>0</v>
      </c>
      <c r="T160" s="43">
        <f t="shared" si="57"/>
        <v>342070.59708230721</v>
      </c>
      <c r="U160">
        <f t="shared" si="58"/>
        <v>0</v>
      </c>
      <c r="V160">
        <f t="shared" si="59"/>
        <v>0</v>
      </c>
      <c r="W160" s="43">
        <f t="shared" si="60"/>
        <v>342070.59708230721</v>
      </c>
      <c r="X160" s="43">
        <f t="shared" si="61"/>
        <v>0</v>
      </c>
      <c r="Y160" s="27">
        <f t="shared" si="62"/>
        <v>2618.7731355108385</v>
      </c>
      <c r="Z160" s="27">
        <f t="shared" si="63"/>
        <v>339451.82394679636</v>
      </c>
      <c r="AA160">
        <f t="shared" si="64"/>
        <v>0</v>
      </c>
      <c r="AB160" s="27">
        <f t="shared" si="65"/>
        <v>339451.82394679636</v>
      </c>
      <c r="AD160" s="27">
        <f t="shared" si="66"/>
        <v>0</v>
      </c>
      <c r="AE160" s="27">
        <f t="shared" si="67"/>
        <v>339451.82394679636</v>
      </c>
      <c r="AF160" s="50"/>
      <c r="AG160" t="str">
        <f t="shared" si="68"/>
        <v>5305460</v>
      </c>
    </row>
    <row r="161" spans="1:33" x14ac:dyDescent="0.25">
      <c r="A161" s="7" t="s">
        <v>487</v>
      </c>
      <c r="B161" s="2" t="s">
        <v>966</v>
      </c>
      <c r="C161" s="4" t="s">
        <v>965</v>
      </c>
      <c r="D161">
        <f>_xlfn.IFNA(VLOOKUP(A161,'Prior Year data'!$A$1:$T$318,12,FALSE),0)</f>
        <v>150169.76563392178</v>
      </c>
      <c r="E161">
        <f>VLOOKUP(A161,'Basic HH'!$B$1:$Y$319,23,FALSE)</f>
        <v>71220.251078947651</v>
      </c>
      <c r="F161">
        <f>VLOOKUP(A161,'Conc. HH'!$B$1:$Y$319,23,FALSE)</f>
        <v>14148.724854589611</v>
      </c>
      <c r="G161">
        <f>VLOOKUP(A161,'Targeted HH'!$B$1:$Y$319,23,FALSE)</f>
        <v>34365.342458878913</v>
      </c>
      <c r="H161">
        <f>VLOOKUP(A161,'EFIG HH'!$B$1:$Y$319,23,FALSE)</f>
        <v>46755.316377784999</v>
      </c>
      <c r="I161">
        <f t="shared" si="46"/>
        <v>166489.63477020117</v>
      </c>
      <c r="J161">
        <f t="shared" si="47"/>
        <v>166489.63477020117</v>
      </c>
      <c r="K161" s="43">
        <f t="shared" si="48"/>
        <v>151304.3019238142</v>
      </c>
      <c r="L161">
        <f t="shared" si="49"/>
        <v>0</v>
      </c>
      <c r="M161">
        <f t="shared" si="50"/>
        <v>1134.5362898924213</v>
      </c>
      <c r="N161" s="43">
        <f t="shared" si="51"/>
        <v>151156.00797728149</v>
      </c>
      <c r="O161">
        <f t="shared" si="52"/>
        <v>0</v>
      </c>
      <c r="P161">
        <f t="shared" si="53"/>
        <v>986.24234335971414</v>
      </c>
      <c r="Q161" s="43">
        <f t="shared" si="54"/>
        <v>151156.00797728149</v>
      </c>
      <c r="R161">
        <f t="shared" si="55"/>
        <v>0</v>
      </c>
      <c r="S161">
        <f t="shared" si="56"/>
        <v>986.24234335971414</v>
      </c>
      <c r="T161" s="43">
        <f t="shared" si="57"/>
        <v>151156.00797728149</v>
      </c>
      <c r="U161">
        <f t="shared" si="58"/>
        <v>0</v>
      </c>
      <c r="V161">
        <f t="shared" si="59"/>
        <v>986.24234335971414</v>
      </c>
      <c r="W161" s="43">
        <f t="shared" si="60"/>
        <v>151156.00797728149</v>
      </c>
      <c r="X161" s="43">
        <f t="shared" si="61"/>
        <v>15333.626792919677</v>
      </c>
      <c r="Y161" s="27">
        <f t="shared" si="62"/>
        <v>1157.1976555082897</v>
      </c>
      <c r="Z161" s="27">
        <f t="shared" si="63"/>
        <v>149998.8103217732</v>
      </c>
      <c r="AA161">
        <f t="shared" si="64"/>
        <v>0</v>
      </c>
      <c r="AB161" s="27">
        <f t="shared" si="65"/>
        <v>149998.8103217732</v>
      </c>
      <c r="AD161" s="27">
        <f t="shared" si="66"/>
        <v>0</v>
      </c>
      <c r="AE161" s="27">
        <f t="shared" si="67"/>
        <v>149998.8103217732</v>
      </c>
      <c r="AF161" s="50"/>
      <c r="AG161" t="str">
        <f t="shared" si="68"/>
        <v>5305490</v>
      </c>
    </row>
    <row r="162" spans="1:33" x14ac:dyDescent="0.25">
      <c r="A162" s="7" t="s">
        <v>489</v>
      </c>
      <c r="B162" s="2" t="s">
        <v>968</v>
      </c>
      <c r="C162" s="4" t="s">
        <v>967</v>
      </c>
      <c r="D162">
        <f>_xlfn.IFNA(VLOOKUP(A162,'Prior Year data'!$A$1:$T$318,12,FALSE),0)</f>
        <v>76457.510034737425</v>
      </c>
      <c r="E162">
        <f>VLOOKUP(A162,'Basic HH'!$B$1:$Y$319,23,FALSE)</f>
        <v>34741.585892169584</v>
      </c>
      <c r="F162">
        <f>VLOOKUP(A162,'Conc. HH'!$B$1:$Y$319,23,FALSE)</f>
        <v>0</v>
      </c>
      <c r="G162">
        <f>VLOOKUP(A162,'Targeted HH'!$B$1:$Y$319,23,FALSE)</f>
        <v>16763.581687257996</v>
      </c>
      <c r="H162">
        <f>VLOOKUP(A162,'EFIG HH'!$B$1:$Y$319,23,FALSE)</f>
        <v>22807.471403797554</v>
      </c>
      <c r="I162">
        <f t="shared" si="46"/>
        <v>74312.63898322513</v>
      </c>
      <c r="J162">
        <f t="shared" si="47"/>
        <v>0</v>
      </c>
      <c r="K162" s="43">
        <f t="shared" si="48"/>
        <v>74312.63898322513</v>
      </c>
      <c r="L162">
        <f t="shared" si="49"/>
        <v>0</v>
      </c>
      <c r="M162">
        <f t="shared" si="50"/>
        <v>0</v>
      </c>
      <c r="N162" s="43">
        <f t="shared" si="51"/>
        <v>74312.63898322513</v>
      </c>
      <c r="O162">
        <f t="shared" si="52"/>
        <v>0</v>
      </c>
      <c r="P162">
        <f t="shared" si="53"/>
        <v>0</v>
      </c>
      <c r="Q162" s="43">
        <f t="shared" si="54"/>
        <v>74312.63898322513</v>
      </c>
      <c r="R162">
        <f t="shared" si="55"/>
        <v>0</v>
      </c>
      <c r="S162">
        <f t="shared" si="56"/>
        <v>0</v>
      </c>
      <c r="T162" s="43">
        <f t="shared" si="57"/>
        <v>74312.63898322513</v>
      </c>
      <c r="U162">
        <f t="shared" si="58"/>
        <v>0</v>
      </c>
      <c r="V162">
        <f t="shared" si="59"/>
        <v>0</v>
      </c>
      <c r="W162" s="43">
        <f t="shared" si="60"/>
        <v>74312.63898322513</v>
      </c>
      <c r="X162" s="43">
        <f t="shared" si="61"/>
        <v>0</v>
      </c>
      <c r="Y162" s="27">
        <f t="shared" si="62"/>
        <v>568.91163478561089</v>
      </c>
      <c r="Z162" s="27">
        <f t="shared" si="63"/>
        <v>73743.727348439512</v>
      </c>
      <c r="AA162">
        <f t="shared" si="64"/>
        <v>0</v>
      </c>
      <c r="AB162" s="27">
        <f t="shared" si="65"/>
        <v>73743.727348439512</v>
      </c>
      <c r="AD162" s="27">
        <f t="shared" si="66"/>
        <v>0</v>
      </c>
      <c r="AE162" s="27">
        <f t="shared" si="67"/>
        <v>73743.727348439512</v>
      </c>
      <c r="AF162" s="50"/>
      <c r="AG162" t="str">
        <f t="shared" si="68"/>
        <v>5305520</v>
      </c>
    </row>
    <row r="163" spans="1:33" x14ac:dyDescent="0.25">
      <c r="A163" s="7" t="s">
        <v>491</v>
      </c>
      <c r="B163" s="2" t="s">
        <v>970</v>
      </c>
      <c r="C163" s="4" t="s">
        <v>969</v>
      </c>
      <c r="D163">
        <f>_xlfn.IFNA(VLOOKUP(A163,'Prior Year data'!$A$1:$T$318,12,FALSE),0)</f>
        <v>170499.08427740284</v>
      </c>
      <c r="E163">
        <f>VLOOKUP(A163,'Basic HH'!$B$1:$Y$319,23,FALSE)</f>
        <v>60797.77531129674</v>
      </c>
      <c r="F163">
        <f>VLOOKUP(A163,'Conc. HH'!$B$1:$Y$319,23,FALSE)</f>
        <v>16361.48724110052</v>
      </c>
      <c r="G163">
        <f>VLOOKUP(A163,'Targeted HH'!$B$1:$Y$319,23,FALSE)</f>
        <v>44198.000343062988</v>
      </c>
      <c r="H163">
        <f>VLOOKUP(A163,'EFIG HH'!$B$1:$Y$319,23,FALSE)</f>
        <v>60133.010220343174</v>
      </c>
      <c r="I163">
        <f t="shared" si="46"/>
        <v>181490.27311580343</v>
      </c>
      <c r="J163">
        <f t="shared" si="47"/>
        <v>181490.27311580343</v>
      </c>
      <c r="K163" s="43">
        <f t="shared" si="48"/>
        <v>164936.74887119123</v>
      </c>
      <c r="L163">
        <f t="shared" si="49"/>
        <v>5562.3354062116123</v>
      </c>
      <c r="M163">
        <f t="shared" si="50"/>
        <v>0</v>
      </c>
      <c r="N163" s="43">
        <f t="shared" si="51"/>
        <v>170499.08427740284</v>
      </c>
      <c r="O163">
        <f t="shared" si="52"/>
        <v>0</v>
      </c>
      <c r="P163">
        <f t="shared" si="53"/>
        <v>0</v>
      </c>
      <c r="Q163" s="43">
        <f t="shared" si="54"/>
        <v>170499.08427740284</v>
      </c>
      <c r="R163">
        <f t="shared" si="55"/>
        <v>0</v>
      </c>
      <c r="S163">
        <f t="shared" si="56"/>
        <v>0</v>
      </c>
      <c r="T163" s="43">
        <f t="shared" si="57"/>
        <v>170499.08427740284</v>
      </c>
      <c r="U163">
        <f t="shared" si="58"/>
        <v>0</v>
      </c>
      <c r="V163">
        <f t="shared" si="59"/>
        <v>0</v>
      </c>
      <c r="W163" s="43">
        <f t="shared" si="60"/>
        <v>170499.08427740284</v>
      </c>
      <c r="X163" s="43">
        <f t="shared" si="61"/>
        <v>10991.188838400587</v>
      </c>
      <c r="Y163" s="27">
        <f t="shared" si="62"/>
        <v>1305.2814984487743</v>
      </c>
      <c r="Z163" s="27">
        <f t="shared" si="63"/>
        <v>169193.80277895406</v>
      </c>
      <c r="AA163">
        <f t="shared" si="64"/>
        <v>0</v>
      </c>
      <c r="AB163" s="27">
        <f t="shared" si="65"/>
        <v>169193.80277895406</v>
      </c>
      <c r="AD163" s="27">
        <f t="shared" si="66"/>
        <v>0</v>
      </c>
      <c r="AE163" s="27">
        <f t="shared" si="67"/>
        <v>169193.80277895406</v>
      </c>
      <c r="AF163" s="50"/>
      <c r="AG163" t="str">
        <f t="shared" si="68"/>
        <v>5305550</v>
      </c>
    </row>
    <row r="164" spans="1:33" x14ac:dyDescent="0.25">
      <c r="A164" s="7" t="s">
        <v>493</v>
      </c>
      <c r="B164" s="2" t="s">
        <v>972</v>
      </c>
      <c r="C164" s="4" t="s">
        <v>971</v>
      </c>
      <c r="D164">
        <f>_xlfn.IFNA(VLOOKUP(A164,'Prior Year data'!$A$1:$T$318,12,FALSE),0)</f>
        <v>612795.34356031683</v>
      </c>
      <c r="E164">
        <f>VLOOKUP(A164,'Basic HH'!$B$1:$Y$319,23,FALSE)</f>
        <v>237111.32371405736</v>
      </c>
      <c r="F164">
        <f>VLOOKUP(A164,'Conc. HH'!$B$1:$Y$319,23,FALSE)</f>
        <v>63809.800240292061</v>
      </c>
      <c r="G164">
        <f>VLOOKUP(A164,'Targeted HH'!$B$1:$Y$319,23,FALSE)</f>
        <v>130192.05218160737</v>
      </c>
      <c r="H164">
        <f>VLOOKUP(A164,'EFIG HH'!$B$1:$Y$319,23,FALSE)</f>
        <v>177937.70050181588</v>
      </c>
      <c r="I164">
        <f t="shared" si="46"/>
        <v>609050.87663777266</v>
      </c>
      <c r="J164">
        <f t="shared" si="47"/>
        <v>0</v>
      </c>
      <c r="K164" s="43">
        <f t="shared" si="48"/>
        <v>609050.87663777266</v>
      </c>
      <c r="L164">
        <f t="shared" si="49"/>
        <v>0</v>
      </c>
      <c r="M164">
        <f t="shared" si="50"/>
        <v>0</v>
      </c>
      <c r="N164" s="43">
        <f t="shared" si="51"/>
        <v>609050.87663777266</v>
      </c>
      <c r="O164">
        <f t="shared" si="52"/>
        <v>0</v>
      </c>
      <c r="P164">
        <f t="shared" si="53"/>
        <v>0</v>
      </c>
      <c r="Q164" s="43">
        <f t="shared" si="54"/>
        <v>609050.87663777266</v>
      </c>
      <c r="R164">
        <f t="shared" si="55"/>
        <v>0</v>
      </c>
      <c r="S164">
        <f t="shared" si="56"/>
        <v>0</v>
      </c>
      <c r="T164" s="43">
        <f t="shared" si="57"/>
        <v>609050.87663777266</v>
      </c>
      <c r="U164">
        <f t="shared" si="58"/>
        <v>0</v>
      </c>
      <c r="V164">
        <f t="shared" si="59"/>
        <v>0</v>
      </c>
      <c r="W164" s="43">
        <f t="shared" si="60"/>
        <v>609050.87663777266</v>
      </c>
      <c r="X164" s="43">
        <f t="shared" si="61"/>
        <v>0</v>
      </c>
      <c r="Y164" s="27">
        <f t="shared" si="62"/>
        <v>4662.6810006548221</v>
      </c>
      <c r="Z164" s="27">
        <f t="shared" si="63"/>
        <v>604388.19563711784</v>
      </c>
      <c r="AA164">
        <f t="shared" si="64"/>
        <v>0</v>
      </c>
      <c r="AB164" s="27">
        <f t="shared" si="65"/>
        <v>604388.19563711784</v>
      </c>
      <c r="AD164" s="27">
        <f t="shared" si="66"/>
        <v>0</v>
      </c>
      <c r="AE164" s="27">
        <f t="shared" si="67"/>
        <v>604388.19563711784</v>
      </c>
      <c r="AF164" s="50"/>
      <c r="AG164" t="str">
        <f t="shared" si="68"/>
        <v>5305610</v>
      </c>
    </row>
    <row r="165" spans="1:33" x14ac:dyDescent="0.25">
      <c r="A165" s="7" t="s">
        <v>495</v>
      </c>
      <c r="B165" s="2" t="s">
        <v>974</v>
      </c>
      <c r="C165" s="4" t="s">
        <v>973</v>
      </c>
      <c r="D165">
        <f>_xlfn.IFNA(VLOOKUP(A165,'Prior Year data'!$A$1:$T$318,12,FALSE),0)</f>
        <v>428848.84699808084</v>
      </c>
      <c r="E165">
        <f>VLOOKUP(A165,'Basic HH'!$B$1:$Y$319,23,FALSE)</f>
        <v>155911.9256559964</v>
      </c>
      <c r="F165">
        <f>VLOOKUP(A165,'Conc. HH'!$B$1:$Y$319,23,FALSE)</f>
        <v>40538.350659732583</v>
      </c>
      <c r="G165">
        <f>VLOOKUP(A165,'Targeted HH'!$B$1:$Y$319,23,FALSE)</f>
        <v>72591.647621933953</v>
      </c>
      <c r="H165">
        <f>VLOOKUP(A165,'EFIG HH'!$B$1:$Y$319,23,FALSE)</f>
        <v>98314.269542001392</v>
      </c>
      <c r="I165">
        <f t="shared" si="46"/>
        <v>367356.19347966439</v>
      </c>
      <c r="J165">
        <f t="shared" si="47"/>
        <v>0</v>
      </c>
      <c r="K165" s="43">
        <f t="shared" si="48"/>
        <v>367356.19347966439</v>
      </c>
      <c r="L165">
        <f t="shared" si="49"/>
        <v>0</v>
      </c>
      <c r="M165">
        <f t="shared" si="50"/>
        <v>0</v>
      </c>
      <c r="N165" s="43">
        <f t="shared" si="51"/>
        <v>367356.19347966439</v>
      </c>
      <c r="O165">
        <f t="shared" si="52"/>
        <v>0</v>
      </c>
      <c r="P165">
        <f t="shared" si="53"/>
        <v>0</v>
      </c>
      <c r="Q165" s="43">
        <f t="shared" si="54"/>
        <v>367356.19347966439</v>
      </c>
      <c r="R165">
        <f t="shared" si="55"/>
        <v>0</v>
      </c>
      <c r="S165">
        <f t="shared" si="56"/>
        <v>0</v>
      </c>
      <c r="T165" s="43">
        <f t="shared" si="57"/>
        <v>367356.19347966439</v>
      </c>
      <c r="U165">
        <f t="shared" si="58"/>
        <v>0</v>
      </c>
      <c r="V165">
        <f t="shared" si="59"/>
        <v>0</v>
      </c>
      <c r="W165" s="43">
        <f t="shared" si="60"/>
        <v>367356.19347966439</v>
      </c>
      <c r="X165" s="43">
        <f t="shared" si="61"/>
        <v>0</v>
      </c>
      <c r="Y165" s="27">
        <f t="shared" si="62"/>
        <v>2812.3508388433343</v>
      </c>
      <c r="Z165" s="27">
        <f t="shared" si="63"/>
        <v>364543.84264082107</v>
      </c>
      <c r="AA165">
        <f t="shared" si="64"/>
        <v>0</v>
      </c>
      <c r="AB165" s="27">
        <f t="shared" si="65"/>
        <v>364543.84264082107</v>
      </c>
      <c r="AD165" s="27">
        <f t="shared" si="66"/>
        <v>0</v>
      </c>
      <c r="AE165" s="27">
        <f t="shared" si="67"/>
        <v>364543.84264082107</v>
      </c>
      <c r="AF165" s="50"/>
      <c r="AG165" t="str">
        <f t="shared" si="68"/>
        <v>5305640</v>
      </c>
    </row>
    <row r="166" spans="1:33" x14ac:dyDescent="0.25">
      <c r="A166" s="7" t="s">
        <v>177</v>
      </c>
      <c r="B166" s="2" t="s">
        <v>976</v>
      </c>
      <c r="C166" s="4" t="s">
        <v>975</v>
      </c>
      <c r="D166">
        <f>_xlfn.IFNA(VLOOKUP(A166,'Prior Year data'!$A$1:$T$318,12,FALSE),0)</f>
        <v>443767.57668132451</v>
      </c>
      <c r="E166">
        <f>VLOOKUP(A166,'Basic HH'!$B$1:$Y$319,23,FALSE)</f>
        <v>217134.91182605983</v>
      </c>
      <c r="F166">
        <f>VLOOKUP(A166,'Conc. HH'!$B$1:$Y$319,23,FALSE)</f>
        <v>0</v>
      </c>
      <c r="G166">
        <f>VLOOKUP(A166,'Targeted HH'!$B$1:$Y$319,23,FALSE)</f>
        <v>104772.38554536254</v>
      </c>
      <c r="H166">
        <f>VLOOKUP(A166,'EFIG HH'!$B$1:$Y$319,23,FALSE)</f>
        <v>142546.69627373471</v>
      </c>
      <c r="I166">
        <f t="shared" si="46"/>
        <v>464453.99364515708</v>
      </c>
      <c r="J166">
        <f t="shared" si="47"/>
        <v>464453.99364515708</v>
      </c>
      <c r="K166" s="43">
        <f t="shared" si="48"/>
        <v>422091.66583375772</v>
      </c>
      <c r="L166">
        <f t="shared" si="49"/>
        <v>21675.910847566789</v>
      </c>
      <c r="M166">
        <f t="shared" si="50"/>
        <v>0</v>
      </c>
      <c r="N166" s="43">
        <f t="shared" si="51"/>
        <v>443767.57668132451</v>
      </c>
      <c r="O166">
        <f t="shared" si="52"/>
        <v>0</v>
      </c>
      <c r="P166">
        <f t="shared" si="53"/>
        <v>0</v>
      </c>
      <c r="Q166" s="43">
        <f t="shared" si="54"/>
        <v>443767.57668132451</v>
      </c>
      <c r="R166">
        <f t="shared" si="55"/>
        <v>0</v>
      </c>
      <c r="S166">
        <f t="shared" si="56"/>
        <v>0</v>
      </c>
      <c r="T166" s="43">
        <f t="shared" si="57"/>
        <v>443767.57668132451</v>
      </c>
      <c r="U166">
        <f t="shared" si="58"/>
        <v>0</v>
      </c>
      <c r="V166">
        <f t="shared" si="59"/>
        <v>0</v>
      </c>
      <c r="W166" s="43">
        <f t="shared" si="60"/>
        <v>443767.57668132451</v>
      </c>
      <c r="X166" s="43">
        <f t="shared" si="61"/>
        <v>20686.416963832569</v>
      </c>
      <c r="Y166" s="27">
        <f t="shared" si="62"/>
        <v>3397.3297270685148</v>
      </c>
      <c r="Z166" s="27">
        <f t="shared" si="63"/>
        <v>440370.24695425597</v>
      </c>
      <c r="AA166">
        <f t="shared" si="64"/>
        <v>0</v>
      </c>
      <c r="AB166" s="27">
        <f t="shared" si="65"/>
        <v>440370.24695425597</v>
      </c>
      <c r="AD166" s="27">
        <f t="shared" si="66"/>
        <v>0</v>
      </c>
      <c r="AE166" s="27">
        <f t="shared" si="67"/>
        <v>440370.24695425597</v>
      </c>
      <c r="AF166" s="50"/>
      <c r="AG166" t="str">
        <f t="shared" si="68"/>
        <v>5305670</v>
      </c>
    </row>
    <row r="167" spans="1:33" x14ac:dyDescent="0.25">
      <c r="A167" s="7" t="s">
        <v>497</v>
      </c>
      <c r="B167" s="2" t="s">
        <v>978</v>
      </c>
      <c r="C167" s="4" t="s">
        <v>977</v>
      </c>
      <c r="D167">
        <f>_xlfn.IFNA(VLOOKUP(A167,'Prior Year data'!$A$1:$T$318,12,FALSE),0)</f>
        <v>334907.74500064616</v>
      </c>
      <c r="E167">
        <f>VLOOKUP(A167,'Basic HH'!$B$1:$Y$319,23,FALSE)</f>
        <v>123890.47683074261</v>
      </c>
      <c r="F167">
        <f>VLOOKUP(A167,'Conc. HH'!$B$1:$Y$319,23,FALSE)</f>
        <v>32643.098825551195</v>
      </c>
      <c r="G167">
        <f>VLOOKUP(A167,'Targeted HH'!$B$1:$Y$319,23,FALSE)</f>
        <v>74554.731004663045</v>
      </c>
      <c r="H167">
        <f>VLOOKUP(A167,'EFIG HH'!$B$1:$Y$319,23,FALSE)</f>
        <v>102476.823234022</v>
      </c>
      <c r="I167">
        <f t="shared" si="46"/>
        <v>333565.12989497883</v>
      </c>
      <c r="J167">
        <f t="shared" si="47"/>
        <v>0</v>
      </c>
      <c r="K167" s="43">
        <f t="shared" si="48"/>
        <v>333565.12989497883</v>
      </c>
      <c r="L167">
        <f t="shared" si="49"/>
        <v>0</v>
      </c>
      <c r="M167">
        <f t="shared" si="50"/>
        <v>0</v>
      </c>
      <c r="N167" s="43">
        <f t="shared" si="51"/>
        <v>333565.12989497883</v>
      </c>
      <c r="O167">
        <f t="shared" si="52"/>
        <v>0</v>
      </c>
      <c r="P167">
        <f t="shared" si="53"/>
        <v>0</v>
      </c>
      <c r="Q167" s="43">
        <f t="shared" si="54"/>
        <v>333565.12989497883</v>
      </c>
      <c r="R167">
        <f t="shared" si="55"/>
        <v>0</v>
      </c>
      <c r="S167">
        <f t="shared" si="56"/>
        <v>0</v>
      </c>
      <c r="T167" s="43">
        <f t="shared" si="57"/>
        <v>333565.12989497883</v>
      </c>
      <c r="U167">
        <f t="shared" si="58"/>
        <v>0</v>
      </c>
      <c r="V167">
        <f t="shared" si="59"/>
        <v>0</v>
      </c>
      <c r="W167" s="43">
        <f t="shared" si="60"/>
        <v>333565.12989497883</v>
      </c>
      <c r="X167" s="43">
        <f t="shared" si="61"/>
        <v>0</v>
      </c>
      <c r="Y167" s="27">
        <f t="shared" si="62"/>
        <v>2553.6582464641629</v>
      </c>
      <c r="Z167" s="27">
        <f t="shared" si="63"/>
        <v>331011.47164851468</v>
      </c>
      <c r="AA167">
        <f t="shared" si="64"/>
        <v>0</v>
      </c>
      <c r="AB167" s="27">
        <f t="shared" si="65"/>
        <v>331011.47164851468</v>
      </c>
      <c r="AD167" s="27">
        <f t="shared" si="66"/>
        <v>0</v>
      </c>
      <c r="AE167" s="27">
        <f t="shared" si="67"/>
        <v>331011.47164851468</v>
      </c>
      <c r="AF167" s="50"/>
      <c r="AG167" t="str">
        <f t="shared" si="68"/>
        <v>5305700</v>
      </c>
    </row>
    <row r="168" spans="1:33" x14ac:dyDescent="0.25">
      <c r="A168" s="7" t="s">
        <v>499</v>
      </c>
      <c r="B168" s="2" t="s">
        <v>980</v>
      </c>
      <c r="C168" s="4" t="s">
        <v>979</v>
      </c>
      <c r="D168">
        <f>_xlfn.IFNA(VLOOKUP(A168,'Prior Year data'!$A$1:$T$318,12,FALSE),0)</f>
        <v>778185.74808868789</v>
      </c>
      <c r="E168">
        <f>VLOOKUP(A168,'Basic HH'!$B$1:$Y$319,23,FALSE)</f>
        <v>302757.35275512718</v>
      </c>
      <c r="F168">
        <f>VLOOKUP(A168,'Conc. HH'!$B$1:$Y$319,23,FALSE)</f>
        <v>79771.572754940731</v>
      </c>
      <c r="G168">
        <f>VLOOKUP(A168,'Targeted HH'!$B$1:$Y$319,23,FALSE)</f>
        <v>163069.53658732405</v>
      </c>
      <c r="H168">
        <f>VLOOKUP(A168,'EFIG HH'!$B$1:$Y$319,23,FALSE)</f>
        <v>224142.02090901378</v>
      </c>
      <c r="I168">
        <f t="shared" si="46"/>
        <v>769740.48300640576</v>
      </c>
      <c r="J168">
        <f t="shared" si="47"/>
        <v>0</v>
      </c>
      <c r="K168" s="43">
        <f t="shared" si="48"/>
        <v>769740.48300640576</v>
      </c>
      <c r="L168">
        <f t="shared" si="49"/>
        <v>0</v>
      </c>
      <c r="M168">
        <f t="shared" si="50"/>
        <v>0</v>
      </c>
      <c r="N168" s="43">
        <f t="shared" si="51"/>
        <v>769740.48300640576</v>
      </c>
      <c r="O168">
        <f t="shared" si="52"/>
        <v>0</v>
      </c>
      <c r="P168">
        <f t="shared" si="53"/>
        <v>0</v>
      </c>
      <c r="Q168" s="43">
        <f t="shared" si="54"/>
        <v>769740.48300640576</v>
      </c>
      <c r="R168">
        <f t="shared" si="55"/>
        <v>0</v>
      </c>
      <c r="S168">
        <f t="shared" si="56"/>
        <v>0</v>
      </c>
      <c r="T168" s="43">
        <f t="shared" si="57"/>
        <v>769740.48300640576</v>
      </c>
      <c r="U168">
        <f t="shared" si="58"/>
        <v>0</v>
      </c>
      <c r="V168">
        <f t="shared" si="59"/>
        <v>0</v>
      </c>
      <c r="W168" s="43">
        <f t="shared" si="60"/>
        <v>769740.48300640576</v>
      </c>
      <c r="X168" s="43">
        <f t="shared" si="61"/>
        <v>0</v>
      </c>
      <c r="Y168" s="27">
        <f t="shared" si="62"/>
        <v>5892.8645589708112</v>
      </c>
      <c r="Z168" s="27">
        <f t="shared" si="63"/>
        <v>763847.61844743497</v>
      </c>
      <c r="AA168">
        <f t="shared" si="64"/>
        <v>0</v>
      </c>
      <c r="AB168" s="27">
        <f t="shared" si="65"/>
        <v>763847.61844743497</v>
      </c>
      <c r="AD168" s="27">
        <f t="shared" si="66"/>
        <v>0</v>
      </c>
      <c r="AE168" s="27">
        <f t="shared" si="67"/>
        <v>763847.61844743497</v>
      </c>
      <c r="AF168" s="50"/>
      <c r="AG168" t="str">
        <f t="shared" si="68"/>
        <v>5305730</v>
      </c>
    </row>
    <row r="169" spans="1:33" x14ac:dyDescent="0.25">
      <c r="A169" s="7" t="s">
        <v>179</v>
      </c>
      <c r="B169" s="2" t="s">
        <v>982</v>
      </c>
      <c r="C169" s="4" t="s">
        <v>981</v>
      </c>
      <c r="D169">
        <f>_xlfn.IFNA(VLOOKUP(A169,'Prior Year data'!$A$1:$T$318,12,FALSE),0)</f>
        <v>962167.55765167763</v>
      </c>
      <c r="E169">
        <f>VLOOKUP(A169,'Basic HH'!$B$1:$Y$319,23,FALSE)</f>
        <v>433401.28400481568</v>
      </c>
      <c r="F169">
        <f>VLOOKUP(A169,'Conc. HH'!$B$1:$Y$319,23,FALSE)</f>
        <v>0</v>
      </c>
      <c r="G169">
        <f>VLOOKUP(A169,'Targeted HH'!$B$1:$Y$319,23,FALSE)</f>
        <v>209125.68154854365</v>
      </c>
      <c r="H169">
        <f>VLOOKUP(A169,'EFIG HH'!$B$1:$Y$319,23,FALSE)</f>
        <v>284523.20576237451</v>
      </c>
      <c r="I169">
        <f t="shared" si="46"/>
        <v>927050.17131573381</v>
      </c>
      <c r="J169">
        <f t="shared" si="47"/>
        <v>0</v>
      </c>
      <c r="K169" s="43">
        <f t="shared" si="48"/>
        <v>927050.17131573381</v>
      </c>
      <c r="L169">
        <f t="shared" si="49"/>
        <v>0</v>
      </c>
      <c r="M169">
        <f t="shared" si="50"/>
        <v>0</v>
      </c>
      <c r="N169" s="43">
        <f t="shared" si="51"/>
        <v>927050.17131573381</v>
      </c>
      <c r="O169">
        <f t="shared" si="52"/>
        <v>0</v>
      </c>
      <c r="P169">
        <f t="shared" si="53"/>
        <v>0</v>
      </c>
      <c r="Q169" s="43">
        <f t="shared" si="54"/>
        <v>927050.17131573381</v>
      </c>
      <c r="R169">
        <f t="shared" si="55"/>
        <v>0</v>
      </c>
      <c r="S169">
        <f t="shared" si="56"/>
        <v>0</v>
      </c>
      <c r="T169" s="43">
        <f t="shared" si="57"/>
        <v>927050.17131573381</v>
      </c>
      <c r="U169">
        <f t="shared" si="58"/>
        <v>0</v>
      </c>
      <c r="V169">
        <f t="shared" si="59"/>
        <v>0</v>
      </c>
      <c r="W169" s="43">
        <f t="shared" si="60"/>
        <v>927050.17131573381</v>
      </c>
      <c r="X169" s="43">
        <f t="shared" si="61"/>
        <v>0</v>
      </c>
      <c r="Y169" s="27">
        <f t="shared" si="62"/>
        <v>7097.1726439504992</v>
      </c>
      <c r="Z169" s="27">
        <f t="shared" si="63"/>
        <v>919952.99867178337</v>
      </c>
      <c r="AA169">
        <f t="shared" si="64"/>
        <v>0</v>
      </c>
      <c r="AB169" s="27">
        <f t="shared" si="65"/>
        <v>919952.99867178337</v>
      </c>
      <c r="AD169" s="27">
        <f t="shared" si="66"/>
        <v>0</v>
      </c>
      <c r="AE169" s="27">
        <f t="shared" si="67"/>
        <v>919952.99867178337</v>
      </c>
      <c r="AF169" s="50"/>
      <c r="AG169" t="str">
        <f t="shared" si="68"/>
        <v>5305760</v>
      </c>
    </row>
    <row r="170" spans="1:33" x14ac:dyDescent="0.25">
      <c r="A170" s="7" t="s">
        <v>501</v>
      </c>
      <c r="B170" s="2" t="s">
        <v>984</v>
      </c>
      <c r="C170" s="4" t="s">
        <v>983</v>
      </c>
      <c r="D170">
        <f>_xlfn.IFNA(VLOOKUP(A170,'Prior Year data'!$A$1:$T$318,12,FALSE),0)</f>
        <v>697012.46868708974</v>
      </c>
      <c r="E170">
        <f>VLOOKUP(A170,'Basic HH'!$B$1:$Y$319,23,FALSE)</f>
        <v>323096.7487971771</v>
      </c>
      <c r="F170">
        <f>VLOOKUP(A170,'Conc. HH'!$B$1:$Y$319,23,FALSE)</f>
        <v>86949.61790984853</v>
      </c>
      <c r="G170">
        <f>VLOOKUP(A170,'Targeted HH'!$B$1:$Y$319,23,FALSE)</f>
        <v>155901.30969149948</v>
      </c>
      <c r="H170">
        <f>VLOOKUP(A170,'EFIG HH'!$B$1:$Y$319,23,FALSE)</f>
        <v>212109.48405531727</v>
      </c>
      <c r="I170">
        <f t="shared" si="46"/>
        <v>778057.16045384237</v>
      </c>
      <c r="J170">
        <f t="shared" si="47"/>
        <v>778057.16045384237</v>
      </c>
      <c r="K170" s="43">
        <f t="shared" si="48"/>
        <v>707091.43954686727</v>
      </c>
      <c r="L170">
        <f t="shared" si="49"/>
        <v>0</v>
      </c>
      <c r="M170">
        <f t="shared" si="50"/>
        <v>10078.970859777532</v>
      </c>
      <c r="N170" s="43">
        <f t="shared" si="51"/>
        <v>705774.02874291106</v>
      </c>
      <c r="O170">
        <f t="shared" si="52"/>
        <v>0</v>
      </c>
      <c r="P170">
        <f t="shared" si="53"/>
        <v>8761.5600558213191</v>
      </c>
      <c r="Q170" s="43">
        <f t="shared" si="54"/>
        <v>705774.02874291106</v>
      </c>
      <c r="R170">
        <f t="shared" si="55"/>
        <v>0</v>
      </c>
      <c r="S170">
        <f t="shared" si="56"/>
        <v>8761.5600558213191</v>
      </c>
      <c r="T170" s="43">
        <f t="shared" si="57"/>
        <v>705774.02874291106</v>
      </c>
      <c r="U170">
        <f t="shared" si="58"/>
        <v>0</v>
      </c>
      <c r="V170">
        <f t="shared" si="59"/>
        <v>8761.5600558213191</v>
      </c>
      <c r="W170" s="43">
        <f t="shared" si="60"/>
        <v>705774.02874291106</v>
      </c>
      <c r="X170" s="43">
        <f t="shared" si="61"/>
        <v>72283.131710931309</v>
      </c>
      <c r="Y170" s="27">
        <f t="shared" si="62"/>
        <v>5403.1597043942102</v>
      </c>
      <c r="Z170" s="27">
        <f t="shared" si="63"/>
        <v>700370.86903851689</v>
      </c>
      <c r="AA170">
        <f t="shared" si="64"/>
        <v>0</v>
      </c>
      <c r="AB170" s="27">
        <f t="shared" si="65"/>
        <v>700370.86903851689</v>
      </c>
      <c r="AD170" s="27">
        <f t="shared" si="66"/>
        <v>0</v>
      </c>
      <c r="AE170" s="27">
        <f t="shared" si="67"/>
        <v>700370.86903851689</v>
      </c>
      <c r="AF170" s="50"/>
      <c r="AG170" t="str">
        <f t="shared" si="68"/>
        <v>5305790</v>
      </c>
    </row>
    <row r="171" spans="1:33" x14ac:dyDescent="0.25">
      <c r="A171" s="7" t="s">
        <v>503</v>
      </c>
      <c r="B171" s="2" t="s">
        <v>986</v>
      </c>
      <c r="C171" s="4" t="s">
        <v>985</v>
      </c>
      <c r="D171">
        <f>_xlfn.IFNA(VLOOKUP(A171,'Prior Year data'!$A$1:$T$318,12,FALSE),0)</f>
        <v>1170.4490371409206</v>
      </c>
      <c r="E171">
        <f>VLOOKUP(A171,'Basic HH'!$B$1:$Y$319,23,FALSE)</f>
        <v>8685.3964730423959</v>
      </c>
      <c r="F171">
        <f>VLOOKUP(A171,'Conc. HH'!$B$1:$Y$319,23,FALSE)</f>
        <v>2337.3553201572181</v>
      </c>
      <c r="G171">
        <f>VLOOKUP(A171,'Targeted HH'!$B$1:$Y$319,23,FALSE)</f>
        <v>4836.5657249763544</v>
      </c>
      <c r="H171">
        <f>VLOOKUP(A171,'EFIG HH'!$B$1:$Y$319,23,FALSE)</f>
        <v>6580.3261214059094</v>
      </c>
      <c r="I171">
        <f t="shared" si="46"/>
        <v>22439.643639581878</v>
      </c>
      <c r="J171">
        <f t="shared" si="47"/>
        <v>22439.643639581878</v>
      </c>
      <c r="K171" s="43">
        <f t="shared" si="48"/>
        <v>20392.948912359432</v>
      </c>
      <c r="L171">
        <f t="shared" si="49"/>
        <v>0</v>
      </c>
      <c r="M171">
        <f t="shared" si="50"/>
        <v>19222.499875218513</v>
      </c>
      <c r="N171" s="43">
        <f t="shared" si="51"/>
        <v>17880.397842713995</v>
      </c>
      <c r="O171">
        <f t="shared" si="52"/>
        <v>0</v>
      </c>
      <c r="P171">
        <f t="shared" si="53"/>
        <v>16709.948805573076</v>
      </c>
      <c r="Q171" s="43">
        <f t="shared" si="54"/>
        <v>17880.397842713995</v>
      </c>
      <c r="R171">
        <f t="shared" si="55"/>
        <v>0</v>
      </c>
      <c r="S171">
        <f t="shared" si="56"/>
        <v>16709.948805573076</v>
      </c>
      <c r="T171" s="43">
        <f t="shared" si="57"/>
        <v>17880.397842713995</v>
      </c>
      <c r="U171">
        <f t="shared" si="58"/>
        <v>0</v>
      </c>
      <c r="V171">
        <f t="shared" si="59"/>
        <v>16709.948805573076</v>
      </c>
      <c r="W171" s="43">
        <f t="shared" si="60"/>
        <v>17880.397842713995</v>
      </c>
      <c r="X171" s="43">
        <f t="shared" si="61"/>
        <v>4559.2457968678827</v>
      </c>
      <c r="Y171" s="27">
        <f t="shared" si="62"/>
        <v>136.88608703038761</v>
      </c>
      <c r="Z171" s="27">
        <f t="shared" si="63"/>
        <v>17743.511755683608</v>
      </c>
      <c r="AA171">
        <f t="shared" si="64"/>
        <v>0</v>
      </c>
      <c r="AB171" s="27">
        <f t="shared" si="65"/>
        <v>17743.511755683608</v>
      </c>
      <c r="AD171" s="27">
        <f t="shared" si="66"/>
        <v>0</v>
      </c>
      <c r="AE171" s="27">
        <f t="shared" si="67"/>
        <v>17743.511755683608</v>
      </c>
      <c r="AF171" s="50"/>
      <c r="AG171" t="str">
        <f t="shared" si="68"/>
        <v>5305820</v>
      </c>
    </row>
    <row r="172" spans="1:33" x14ac:dyDescent="0.25">
      <c r="A172" s="7" t="s">
        <v>181</v>
      </c>
      <c r="B172" s="2" t="s">
        <v>988</v>
      </c>
      <c r="C172" s="4" t="s">
        <v>987</v>
      </c>
      <c r="D172">
        <f>_xlfn.IFNA(VLOOKUP(A172,'Prior Year data'!$A$1:$T$318,12,FALSE),0)</f>
        <v>3172332.6334171779</v>
      </c>
      <c r="E172">
        <f>VLOOKUP(A172,'Basic HH'!$B$1:$Y$319,23,FALSE)</f>
        <v>1409639.84757478</v>
      </c>
      <c r="F172">
        <f>VLOOKUP(A172,'Conc. HH'!$B$1:$Y$319,23,FALSE)</f>
        <v>0</v>
      </c>
      <c r="G172">
        <f>VLOOKUP(A172,'Targeted HH'!$B$1:$Y$319,23,FALSE)</f>
        <v>875478.05361704959</v>
      </c>
      <c r="H172">
        <f>VLOOKUP(A172,'EFIG HH'!$B$1:$Y$319,23,FALSE)</f>
        <v>1191120.1940633273</v>
      </c>
      <c r="I172">
        <f t="shared" si="46"/>
        <v>3476238.095255157</v>
      </c>
      <c r="J172">
        <f t="shared" si="47"/>
        <v>3476238.095255157</v>
      </c>
      <c r="K172" s="43">
        <f t="shared" si="48"/>
        <v>3159174.3176656347</v>
      </c>
      <c r="L172">
        <f t="shared" si="49"/>
        <v>13158.315751543269</v>
      </c>
      <c r="M172">
        <f t="shared" si="50"/>
        <v>0</v>
      </c>
      <c r="N172" s="43">
        <f t="shared" si="51"/>
        <v>3172332.6334171779</v>
      </c>
      <c r="O172">
        <f t="shared" si="52"/>
        <v>0</v>
      </c>
      <c r="P172">
        <f t="shared" si="53"/>
        <v>0</v>
      </c>
      <c r="Q172" s="43">
        <f t="shared" si="54"/>
        <v>3172332.6334171779</v>
      </c>
      <c r="R172">
        <f t="shared" si="55"/>
        <v>0</v>
      </c>
      <c r="S172">
        <f t="shared" si="56"/>
        <v>0</v>
      </c>
      <c r="T172" s="43">
        <f t="shared" si="57"/>
        <v>3172332.6334171779</v>
      </c>
      <c r="U172">
        <f t="shared" si="58"/>
        <v>0</v>
      </c>
      <c r="V172">
        <f t="shared" si="59"/>
        <v>0</v>
      </c>
      <c r="W172" s="43">
        <f t="shared" si="60"/>
        <v>3172332.6334171779</v>
      </c>
      <c r="X172" s="43">
        <f t="shared" si="61"/>
        <v>303905.46183797903</v>
      </c>
      <c r="Y172" s="27">
        <f t="shared" si="62"/>
        <v>24286.27174670123</v>
      </c>
      <c r="Z172" s="27">
        <f t="shared" si="63"/>
        <v>3148046.3616704769</v>
      </c>
      <c r="AA172">
        <f t="shared" si="64"/>
        <v>0</v>
      </c>
      <c r="AB172" s="27">
        <f t="shared" si="65"/>
        <v>3148046.3616704769</v>
      </c>
      <c r="AD172" s="27">
        <f t="shared" si="66"/>
        <v>0</v>
      </c>
      <c r="AE172" s="27">
        <f t="shared" si="67"/>
        <v>3148046.3616704769</v>
      </c>
      <c r="AF172" s="50"/>
      <c r="AG172" t="str">
        <f t="shared" si="68"/>
        <v>5305850</v>
      </c>
    </row>
    <row r="173" spans="1:33" x14ac:dyDescent="0.25">
      <c r="A173" s="7" t="s">
        <v>505</v>
      </c>
      <c r="B173" s="2" t="s">
        <v>990</v>
      </c>
      <c r="C173" s="4" t="s">
        <v>989</v>
      </c>
      <c r="D173">
        <f>_xlfn.IFNA(VLOOKUP(A173,'Prior Year data'!$A$1:$T$318,12,FALSE),0)</f>
        <v>157996.33895430632</v>
      </c>
      <c r="E173">
        <f>VLOOKUP(A173,'Basic HH'!$B$1:$Y$319,23,FALSE)</f>
        <v>54202.083613449875</v>
      </c>
      <c r="F173">
        <f>VLOOKUP(A173,'Conc. HH'!$B$1:$Y$319,23,FALSE)</f>
        <v>14281.355736178652</v>
      </c>
      <c r="G173">
        <f>VLOOKUP(A173,'Targeted HH'!$B$1:$Y$319,23,FALSE)</f>
        <v>41856.814198572982</v>
      </c>
      <c r="H173">
        <f>VLOOKUP(A173,'EFIG HH'!$B$1:$Y$319,23,FALSE)</f>
        <v>57532.946494008349</v>
      </c>
      <c r="I173">
        <f t="shared" si="46"/>
        <v>167873.20004220985</v>
      </c>
      <c r="J173">
        <f t="shared" si="47"/>
        <v>167873.20004220985</v>
      </c>
      <c r="K173" s="43">
        <f t="shared" si="48"/>
        <v>152561.67375922154</v>
      </c>
      <c r="L173">
        <f t="shared" si="49"/>
        <v>5434.6651950847881</v>
      </c>
      <c r="M173">
        <f t="shared" si="50"/>
        <v>0</v>
      </c>
      <c r="N173" s="43">
        <f t="shared" si="51"/>
        <v>157996.33895430632</v>
      </c>
      <c r="O173">
        <f t="shared" si="52"/>
        <v>0</v>
      </c>
      <c r="P173">
        <f t="shared" si="53"/>
        <v>0</v>
      </c>
      <c r="Q173" s="43">
        <f t="shared" si="54"/>
        <v>157996.33895430632</v>
      </c>
      <c r="R173">
        <f t="shared" si="55"/>
        <v>0</v>
      </c>
      <c r="S173">
        <f t="shared" si="56"/>
        <v>0</v>
      </c>
      <c r="T173" s="43">
        <f t="shared" si="57"/>
        <v>157996.33895430632</v>
      </c>
      <c r="U173">
        <f t="shared" si="58"/>
        <v>0</v>
      </c>
      <c r="V173">
        <f t="shared" si="59"/>
        <v>0</v>
      </c>
      <c r="W173" s="43">
        <f t="shared" si="60"/>
        <v>157996.33895430632</v>
      </c>
      <c r="X173" s="43">
        <f t="shared" si="61"/>
        <v>9876.8610879035259</v>
      </c>
      <c r="Y173" s="27">
        <f t="shared" si="62"/>
        <v>1209.5648427305375</v>
      </c>
      <c r="Z173" s="27">
        <f t="shared" si="63"/>
        <v>156786.7741115758</v>
      </c>
      <c r="AA173">
        <f t="shared" si="64"/>
        <v>0</v>
      </c>
      <c r="AB173" s="27">
        <f t="shared" si="65"/>
        <v>156786.7741115758</v>
      </c>
      <c r="AD173" s="27">
        <f t="shared" si="66"/>
        <v>0</v>
      </c>
      <c r="AE173" s="27">
        <f t="shared" si="67"/>
        <v>156786.7741115758</v>
      </c>
      <c r="AF173" s="50"/>
      <c r="AG173" t="str">
        <f t="shared" si="68"/>
        <v>5305880</v>
      </c>
    </row>
    <row r="174" spans="1:33" x14ac:dyDescent="0.25">
      <c r="A174" s="7" t="s">
        <v>183</v>
      </c>
      <c r="B174" s="2" t="s">
        <v>992</v>
      </c>
      <c r="C174" s="4" t="s">
        <v>991</v>
      </c>
      <c r="D174">
        <f>_xlfn.IFNA(VLOOKUP(A174,'Prior Year data'!$A$1:$T$318,12,FALSE),0)</f>
        <v>772977.15888624312</v>
      </c>
      <c r="E174">
        <f>VLOOKUP(A174,'Basic HH'!$B$1:$Y$319,23,FALSE)</f>
        <v>931943.0415574488</v>
      </c>
      <c r="F174">
        <f>VLOOKUP(A174,'Conc. HH'!$B$1:$Y$319,23,FALSE)</f>
        <v>0</v>
      </c>
      <c r="G174">
        <f>VLOOKUP(A174,'Targeted HH'!$B$1:$Y$319,23,FALSE)</f>
        <v>0</v>
      </c>
      <c r="H174">
        <f>VLOOKUP(A174,'EFIG HH'!$B$1:$Y$319,23,FALSE)</f>
        <v>0</v>
      </c>
      <c r="I174">
        <f t="shared" si="46"/>
        <v>931943.0415574488</v>
      </c>
      <c r="J174">
        <f t="shared" si="47"/>
        <v>931943.0415574488</v>
      </c>
      <c r="K174" s="43">
        <f t="shared" si="48"/>
        <v>846941.56203917519</v>
      </c>
      <c r="L174">
        <f t="shared" si="49"/>
        <v>0</v>
      </c>
      <c r="M174">
        <f t="shared" si="50"/>
        <v>73964.403152932064</v>
      </c>
      <c r="N174" s="43">
        <f t="shared" si="51"/>
        <v>837273.75912779802</v>
      </c>
      <c r="O174">
        <f t="shared" si="52"/>
        <v>0</v>
      </c>
      <c r="P174">
        <f t="shared" si="53"/>
        <v>64296.600241554901</v>
      </c>
      <c r="Q174" s="43">
        <f t="shared" si="54"/>
        <v>837273.75912779802</v>
      </c>
      <c r="R174">
        <f t="shared" si="55"/>
        <v>0</v>
      </c>
      <c r="S174">
        <f t="shared" si="56"/>
        <v>64296.600241554901</v>
      </c>
      <c r="T174" s="43">
        <f t="shared" si="57"/>
        <v>837273.75912779802</v>
      </c>
      <c r="U174">
        <f t="shared" si="58"/>
        <v>0</v>
      </c>
      <c r="V174">
        <f t="shared" si="59"/>
        <v>64296.600241554901</v>
      </c>
      <c r="W174" s="43">
        <f t="shared" si="60"/>
        <v>837273.75912779802</v>
      </c>
      <c r="X174" s="43">
        <f t="shared" si="61"/>
        <v>94669.282429650775</v>
      </c>
      <c r="Y174" s="27">
        <f t="shared" si="62"/>
        <v>6409.8757571510041</v>
      </c>
      <c r="Z174" s="27">
        <f t="shared" si="63"/>
        <v>830863.88337064697</v>
      </c>
      <c r="AA174">
        <f t="shared" si="64"/>
        <v>0</v>
      </c>
      <c r="AB174" s="27">
        <f t="shared" si="65"/>
        <v>830863.88337064697</v>
      </c>
      <c r="AD174" s="27">
        <f t="shared" si="66"/>
        <v>0</v>
      </c>
      <c r="AE174" s="27">
        <f t="shared" si="67"/>
        <v>830863.88337064697</v>
      </c>
      <c r="AF174" s="50"/>
      <c r="AG174" t="str">
        <f t="shared" si="68"/>
        <v>5305910</v>
      </c>
    </row>
    <row r="175" spans="1:33" x14ac:dyDescent="0.25">
      <c r="A175" s="7" t="s">
        <v>185</v>
      </c>
      <c r="B175" s="2" t="s">
        <v>994</v>
      </c>
      <c r="C175" s="4" t="s">
        <v>993</v>
      </c>
      <c r="D175">
        <f>_xlfn.IFNA(VLOOKUP(A175,'Prior Year data'!$A$1:$T$318,12,FALSE),0)</f>
        <v>822880.27464086679</v>
      </c>
      <c r="E175">
        <f>VLOOKUP(A175,'Basic HH'!$B$1:$Y$319,23,FALSE)</f>
        <v>498541.75755263341</v>
      </c>
      <c r="F175">
        <f>VLOOKUP(A175,'Conc. HH'!$B$1:$Y$319,23,FALSE)</f>
        <v>0</v>
      </c>
      <c r="G175">
        <f>VLOOKUP(A175,'Targeted HH'!$B$1:$Y$319,23,FALSE)</f>
        <v>240557.39721215243</v>
      </c>
      <c r="H175">
        <f>VLOOKUP(A175,'EFIG HH'!$B$1:$Y$319,23,FALSE)</f>
        <v>327287.21464449499</v>
      </c>
      <c r="I175">
        <f t="shared" si="46"/>
        <v>1066386.3694092808</v>
      </c>
      <c r="J175">
        <f t="shared" si="47"/>
        <v>1066386.3694092808</v>
      </c>
      <c r="K175" s="43">
        <f t="shared" si="48"/>
        <v>969122.46475430788</v>
      </c>
      <c r="L175">
        <f t="shared" si="49"/>
        <v>0</v>
      </c>
      <c r="M175">
        <f t="shared" si="50"/>
        <v>146242.19011344109</v>
      </c>
      <c r="N175" s="43">
        <f t="shared" si="51"/>
        <v>950007.31461348152</v>
      </c>
      <c r="O175">
        <f t="shared" si="52"/>
        <v>0</v>
      </c>
      <c r="P175">
        <f t="shared" si="53"/>
        <v>127127.03997261473</v>
      </c>
      <c r="Q175" s="43">
        <f t="shared" si="54"/>
        <v>950007.31461348152</v>
      </c>
      <c r="R175">
        <f t="shared" si="55"/>
        <v>0</v>
      </c>
      <c r="S175">
        <f t="shared" si="56"/>
        <v>127127.03997261473</v>
      </c>
      <c r="T175" s="43">
        <f t="shared" si="57"/>
        <v>950007.31461348152</v>
      </c>
      <c r="U175">
        <f t="shared" si="58"/>
        <v>0</v>
      </c>
      <c r="V175">
        <f t="shared" si="59"/>
        <v>127127.03997261473</v>
      </c>
      <c r="W175" s="43">
        <f t="shared" si="60"/>
        <v>950007.31461348152</v>
      </c>
      <c r="X175" s="43">
        <f t="shared" si="61"/>
        <v>116379.05479579931</v>
      </c>
      <c r="Y175" s="27">
        <f t="shared" si="62"/>
        <v>7272.9245227994979</v>
      </c>
      <c r="Z175" s="27">
        <f t="shared" si="63"/>
        <v>942734.39009068208</v>
      </c>
      <c r="AA175">
        <f t="shared" si="64"/>
        <v>0</v>
      </c>
      <c r="AB175" s="27">
        <f t="shared" si="65"/>
        <v>942734.39009068208</v>
      </c>
      <c r="AD175" s="27">
        <f t="shared" si="66"/>
        <v>0</v>
      </c>
      <c r="AE175" s="27">
        <f t="shared" si="67"/>
        <v>942734.39009068208</v>
      </c>
      <c r="AF175" s="50"/>
      <c r="AG175" t="str">
        <f t="shared" si="68"/>
        <v>5305940</v>
      </c>
    </row>
    <row r="176" spans="1:33" x14ac:dyDescent="0.25">
      <c r="A176" s="7" t="s">
        <v>187</v>
      </c>
      <c r="B176" s="2" t="s">
        <v>996</v>
      </c>
      <c r="C176" s="4" t="s">
        <v>995</v>
      </c>
      <c r="D176">
        <f>_xlfn.IFNA(VLOOKUP(A176,'Prior Year data'!$A$1:$T$318,12,FALSE),0)</f>
        <v>25994.820597646387</v>
      </c>
      <c r="E176">
        <f>VLOOKUP(A176,'Basic HH'!$B$1:$Y$319,23,FALSE)</f>
        <v>0</v>
      </c>
      <c r="F176">
        <f>VLOOKUP(A176,'Conc. HH'!$B$1:$Y$319,23,FALSE)</f>
        <v>0</v>
      </c>
      <c r="G176">
        <f>VLOOKUP(A176,'Targeted HH'!$B$1:$Y$319,23,FALSE)</f>
        <v>0</v>
      </c>
      <c r="H176">
        <f>VLOOKUP(A176,'EFIG HH'!$B$1:$Y$319,23,FALSE)</f>
        <v>0</v>
      </c>
      <c r="I176">
        <f t="shared" si="46"/>
        <v>0</v>
      </c>
      <c r="J176">
        <f t="shared" si="47"/>
        <v>0</v>
      </c>
      <c r="K176" s="43">
        <f t="shared" si="48"/>
        <v>0</v>
      </c>
      <c r="L176">
        <f t="shared" si="49"/>
        <v>0</v>
      </c>
      <c r="M176">
        <f t="shared" si="50"/>
        <v>0</v>
      </c>
      <c r="N176" s="43">
        <f t="shared" si="51"/>
        <v>0</v>
      </c>
      <c r="O176">
        <f t="shared" si="52"/>
        <v>0</v>
      </c>
      <c r="P176">
        <f t="shared" si="53"/>
        <v>0</v>
      </c>
      <c r="Q176" s="43">
        <f t="shared" si="54"/>
        <v>0</v>
      </c>
      <c r="R176">
        <f t="shared" si="55"/>
        <v>0</v>
      </c>
      <c r="S176">
        <f t="shared" si="56"/>
        <v>0</v>
      </c>
      <c r="T176" s="43">
        <f t="shared" si="57"/>
        <v>0</v>
      </c>
      <c r="U176">
        <f t="shared" si="58"/>
        <v>0</v>
      </c>
      <c r="V176">
        <f t="shared" si="59"/>
        <v>0</v>
      </c>
      <c r="W176" s="43">
        <f t="shared" si="60"/>
        <v>0</v>
      </c>
      <c r="X176" s="43">
        <f t="shared" si="61"/>
        <v>0</v>
      </c>
      <c r="Y176" s="27">
        <f t="shared" si="62"/>
        <v>0</v>
      </c>
      <c r="Z176" s="27">
        <f t="shared" si="63"/>
        <v>0</v>
      </c>
      <c r="AA176">
        <f t="shared" si="64"/>
        <v>0</v>
      </c>
      <c r="AB176" s="27">
        <f t="shared" si="65"/>
        <v>0</v>
      </c>
      <c r="AD176" s="27">
        <f t="shared" si="66"/>
        <v>0</v>
      </c>
      <c r="AE176" s="27">
        <f t="shared" si="67"/>
        <v>0</v>
      </c>
      <c r="AF176" s="50"/>
      <c r="AG176" t="str">
        <f t="shared" si="68"/>
        <v>5305970</v>
      </c>
    </row>
    <row r="177" spans="1:33" x14ac:dyDescent="0.25">
      <c r="A177" s="7" t="s">
        <v>507</v>
      </c>
      <c r="B177" s="2" t="s">
        <v>998</v>
      </c>
      <c r="C177" s="4" t="s">
        <v>997</v>
      </c>
      <c r="D177">
        <f>_xlfn.IFNA(VLOOKUP(A177,'Prior Year data'!$A$1:$T$318,12,FALSE),0)</f>
        <v>220159.244725086</v>
      </c>
      <c r="E177">
        <f>VLOOKUP(A177,'Basic HH'!$B$1:$Y$319,23,FALSE)</f>
        <v>81905.370793657581</v>
      </c>
      <c r="F177">
        <f>VLOOKUP(A177,'Conc. HH'!$B$1:$Y$319,23,FALSE)</f>
        <v>21580.715334669967</v>
      </c>
      <c r="G177">
        <f>VLOOKUP(A177,'Targeted HH'!$B$1:$Y$319,23,FALSE)</f>
        <v>53452.106936722121</v>
      </c>
      <c r="H177">
        <f>VLOOKUP(A177,'EFIG HH'!$B$1:$Y$319,23,FALSE)</f>
        <v>73470.885619558016</v>
      </c>
      <c r="I177">
        <f t="shared" si="46"/>
        <v>230409.07868460767</v>
      </c>
      <c r="J177">
        <f t="shared" si="47"/>
        <v>230409.07868460767</v>
      </c>
      <c r="K177" s="43">
        <f t="shared" si="48"/>
        <v>209393.72505322733</v>
      </c>
      <c r="L177">
        <f t="shared" si="49"/>
        <v>10765.519671858667</v>
      </c>
      <c r="M177">
        <f t="shared" si="50"/>
        <v>0</v>
      </c>
      <c r="N177" s="43">
        <f t="shared" si="51"/>
        <v>220159.244725086</v>
      </c>
      <c r="O177">
        <f t="shared" si="52"/>
        <v>0</v>
      </c>
      <c r="P177">
        <f t="shared" si="53"/>
        <v>0</v>
      </c>
      <c r="Q177" s="43">
        <f t="shared" si="54"/>
        <v>220159.244725086</v>
      </c>
      <c r="R177">
        <f t="shared" si="55"/>
        <v>0</v>
      </c>
      <c r="S177">
        <f t="shared" si="56"/>
        <v>0</v>
      </c>
      <c r="T177" s="43">
        <f t="shared" si="57"/>
        <v>220159.244725086</v>
      </c>
      <c r="U177">
        <f t="shared" si="58"/>
        <v>0</v>
      </c>
      <c r="V177">
        <f t="shared" si="59"/>
        <v>0</v>
      </c>
      <c r="W177" s="43">
        <f t="shared" si="60"/>
        <v>220159.244725086</v>
      </c>
      <c r="X177" s="43">
        <f t="shared" si="61"/>
        <v>10249.833959521668</v>
      </c>
      <c r="Y177" s="27">
        <f t="shared" si="62"/>
        <v>1685.4623593435765</v>
      </c>
      <c r="Z177" s="27">
        <f t="shared" si="63"/>
        <v>218473.78236574243</v>
      </c>
      <c r="AA177">
        <f t="shared" si="64"/>
        <v>0</v>
      </c>
      <c r="AB177" s="27">
        <f t="shared" si="65"/>
        <v>218473.78236574243</v>
      </c>
      <c r="AD177" s="27">
        <f t="shared" si="66"/>
        <v>0</v>
      </c>
      <c r="AE177" s="27">
        <f t="shared" si="67"/>
        <v>218473.78236574243</v>
      </c>
      <c r="AF177" s="50"/>
      <c r="AG177" t="str">
        <f t="shared" si="68"/>
        <v>5306000</v>
      </c>
    </row>
    <row r="178" spans="1:33" x14ac:dyDescent="0.25">
      <c r="A178" s="7" t="s">
        <v>509</v>
      </c>
      <c r="B178" s="2" t="s">
        <v>1000</v>
      </c>
      <c r="C178" s="4" t="s">
        <v>999</v>
      </c>
      <c r="D178">
        <f>_xlfn.IFNA(VLOOKUP(A178,'Prior Year data'!$A$1:$T$318,12,FALSE),0)</f>
        <v>391259.47948324907</v>
      </c>
      <c r="E178">
        <f>VLOOKUP(A178,'Basic HH'!$B$1:$Y$319,23,FALSE)</f>
        <v>167628.15192971815</v>
      </c>
      <c r="F178">
        <f>VLOOKUP(A178,'Conc. HH'!$B$1:$Y$319,23,FALSE)</f>
        <v>45110.957679034291</v>
      </c>
      <c r="G178">
        <f>VLOOKUP(A178,'Targeted HH'!$B$1:$Y$319,23,FALSE)</f>
        <v>91450.555768792605</v>
      </c>
      <c r="H178">
        <f>VLOOKUP(A178,'EFIG HH'!$B$1:$Y$319,23,FALSE)</f>
        <v>124421.85533319009</v>
      </c>
      <c r="I178">
        <f t="shared" si="46"/>
        <v>428611.52071073512</v>
      </c>
      <c r="J178">
        <f t="shared" si="47"/>
        <v>428611.52071073512</v>
      </c>
      <c r="K178" s="43">
        <f t="shared" si="48"/>
        <v>389518.3446534258</v>
      </c>
      <c r="L178">
        <f t="shared" si="49"/>
        <v>1741.134829823277</v>
      </c>
      <c r="M178">
        <f t="shared" si="50"/>
        <v>0</v>
      </c>
      <c r="N178" s="43">
        <f t="shared" si="51"/>
        <v>391259.47948324907</v>
      </c>
      <c r="O178">
        <f t="shared" si="52"/>
        <v>0</v>
      </c>
      <c r="P178">
        <f t="shared" si="53"/>
        <v>0</v>
      </c>
      <c r="Q178" s="43">
        <f t="shared" si="54"/>
        <v>391259.47948324907</v>
      </c>
      <c r="R178">
        <f t="shared" si="55"/>
        <v>0</v>
      </c>
      <c r="S178">
        <f t="shared" si="56"/>
        <v>0</v>
      </c>
      <c r="T178" s="43">
        <f t="shared" si="57"/>
        <v>391259.47948324907</v>
      </c>
      <c r="U178">
        <f t="shared" si="58"/>
        <v>0</v>
      </c>
      <c r="V178">
        <f t="shared" si="59"/>
        <v>0</v>
      </c>
      <c r="W178" s="43">
        <f t="shared" si="60"/>
        <v>391259.47948324907</v>
      </c>
      <c r="X178" s="43">
        <f t="shared" si="61"/>
        <v>37352.041227486043</v>
      </c>
      <c r="Y178" s="27">
        <f t="shared" si="62"/>
        <v>2995.3460561187844</v>
      </c>
      <c r="Z178" s="27">
        <f t="shared" si="63"/>
        <v>388264.13342713029</v>
      </c>
      <c r="AA178">
        <f t="shared" si="64"/>
        <v>0</v>
      </c>
      <c r="AB178" s="27">
        <f t="shared" si="65"/>
        <v>388264.13342713029</v>
      </c>
      <c r="AD178" s="27">
        <f t="shared" si="66"/>
        <v>0</v>
      </c>
      <c r="AE178" s="27">
        <f t="shared" si="67"/>
        <v>388264.13342713029</v>
      </c>
      <c r="AF178" s="50"/>
      <c r="AG178" t="str">
        <f t="shared" si="68"/>
        <v>5306060</v>
      </c>
    </row>
    <row r="179" spans="1:33" x14ac:dyDescent="0.25">
      <c r="A179" s="7" t="s">
        <v>511</v>
      </c>
      <c r="B179" s="2" t="s">
        <v>1002</v>
      </c>
      <c r="C179" s="4" t="s">
        <v>1001</v>
      </c>
      <c r="D179">
        <f>_xlfn.IFNA(VLOOKUP(A179,'Prior Year data'!$A$1:$T$318,12,FALSE),0)</f>
        <v>450675.32637327287</v>
      </c>
      <c r="E179">
        <f>VLOOKUP(A179,'Basic HH'!$B$1:$Y$319,23,FALSE)</f>
        <v>152540.14959785176</v>
      </c>
      <c r="F179">
        <f>VLOOKUP(A179,'Conc. HH'!$B$1:$Y$319,23,FALSE)</f>
        <v>40191.815428959919</v>
      </c>
      <c r="G179">
        <f>VLOOKUP(A179,'Targeted HH'!$B$1:$Y$319,23,FALSE)</f>
        <v>113319.37522465261</v>
      </c>
      <c r="H179">
        <f>VLOOKUP(A179,'EFIG HH'!$B$1:$Y$319,23,FALSE)</f>
        <v>155759.52628895175</v>
      </c>
      <c r="I179">
        <f t="shared" si="46"/>
        <v>461810.86654041603</v>
      </c>
      <c r="J179">
        <f t="shared" si="47"/>
        <v>461810.86654041603</v>
      </c>
      <c r="K179" s="43">
        <f t="shared" si="48"/>
        <v>419689.61538760987</v>
      </c>
      <c r="L179">
        <f t="shared" si="49"/>
        <v>30985.710985662998</v>
      </c>
      <c r="M179">
        <f t="shared" si="50"/>
        <v>0</v>
      </c>
      <c r="N179" s="43">
        <f t="shared" si="51"/>
        <v>450675.32637327287</v>
      </c>
      <c r="O179">
        <f t="shared" si="52"/>
        <v>0</v>
      </c>
      <c r="P179">
        <f t="shared" si="53"/>
        <v>0</v>
      </c>
      <c r="Q179" s="43">
        <f t="shared" si="54"/>
        <v>450675.32637327287</v>
      </c>
      <c r="R179">
        <f t="shared" si="55"/>
        <v>0</v>
      </c>
      <c r="S179">
        <f t="shared" si="56"/>
        <v>0</v>
      </c>
      <c r="T179" s="43">
        <f t="shared" si="57"/>
        <v>450675.32637327287</v>
      </c>
      <c r="U179">
        <f t="shared" si="58"/>
        <v>0</v>
      </c>
      <c r="V179">
        <f t="shared" si="59"/>
        <v>0</v>
      </c>
      <c r="W179" s="43">
        <f t="shared" si="60"/>
        <v>450675.32637327287</v>
      </c>
      <c r="X179" s="43">
        <f t="shared" si="61"/>
        <v>11135.540167143161</v>
      </c>
      <c r="Y179" s="27">
        <f t="shared" si="62"/>
        <v>3450.2130484483846</v>
      </c>
      <c r="Z179" s="27">
        <f t="shared" si="63"/>
        <v>447225.11332482449</v>
      </c>
      <c r="AA179">
        <f t="shared" si="64"/>
        <v>0</v>
      </c>
      <c r="AB179" s="27">
        <f t="shared" si="65"/>
        <v>447225.11332482449</v>
      </c>
      <c r="AD179" s="27">
        <f t="shared" si="66"/>
        <v>0</v>
      </c>
      <c r="AE179" s="27">
        <f t="shared" si="67"/>
        <v>447225.11332482449</v>
      </c>
      <c r="AF179" s="50"/>
      <c r="AG179" t="str">
        <f t="shared" si="68"/>
        <v>5306090</v>
      </c>
    </row>
    <row r="180" spans="1:33" x14ac:dyDescent="0.25">
      <c r="A180" s="7" t="s">
        <v>288</v>
      </c>
      <c r="B180" s="2" t="s">
        <v>1004</v>
      </c>
      <c r="C180" s="4" t="s">
        <v>1003</v>
      </c>
      <c r="D180">
        <f>_xlfn.IFNA(VLOOKUP(A180,'Prior Year data'!$A$1:$T$318,12,FALSE),0)</f>
        <v>60246.591536206324</v>
      </c>
      <c r="E180">
        <f>VLOOKUP(A180,'Basic HH'!$B$1:$Y$319,23,FALSE)</f>
        <v>39084.284128690793</v>
      </c>
      <c r="F180">
        <f>VLOOKUP(A180,'Conc. HH'!$B$1:$Y$319,23,FALSE)</f>
        <v>0</v>
      </c>
      <c r="G180">
        <f>VLOOKUP(A180,'Targeted HH'!$B$1:$Y$319,23,FALSE)</f>
        <v>18859.029398165254</v>
      </c>
      <c r="H180">
        <f>VLOOKUP(A180,'EFIG HH'!$B$1:$Y$319,23,FALSE)</f>
        <v>25658.405329272249</v>
      </c>
      <c r="I180">
        <f t="shared" si="46"/>
        <v>83601.718856128296</v>
      </c>
      <c r="J180">
        <f t="shared" si="47"/>
        <v>83601.718856128296</v>
      </c>
      <c r="K180" s="43">
        <f t="shared" si="48"/>
        <v>75976.49985007642</v>
      </c>
      <c r="L180">
        <f t="shared" si="49"/>
        <v>0</v>
      </c>
      <c r="M180">
        <f t="shared" si="50"/>
        <v>15729.908313870095</v>
      </c>
      <c r="N180" s="43">
        <f t="shared" si="51"/>
        <v>73920.461446331101</v>
      </c>
      <c r="O180">
        <f t="shared" si="52"/>
        <v>0</v>
      </c>
      <c r="P180">
        <f t="shared" si="53"/>
        <v>13673.869910124777</v>
      </c>
      <c r="Q180" s="43">
        <f t="shared" si="54"/>
        <v>73920.461446331101</v>
      </c>
      <c r="R180">
        <f t="shared" si="55"/>
        <v>0</v>
      </c>
      <c r="S180">
        <f t="shared" si="56"/>
        <v>13673.869910124777</v>
      </c>
      <c r="T180" s="43">
        <f t="shared" si="57"/>
        <v>73920.461446331101</v>
      </c>
      <c r="U180">
        <f t="shared" si="58"/>
        <v>0</v>
      </c>
      <c r="V180">
        <f t="shared" si="59"/>
        <v>13673.869910124777</v>
      </c>
      <c r="W180" s="43">
        <f t="shared" si="60"/>
        <v>73920.461446331101</v>
      </c>
      <c r="X180" s="43">
        <f t="shared" si="61"/>
        <v>9681.2574097971956</v>
      </c>
      <c r="Y180" s="27">
        <f t="shared" si="62"/>
        <v>565.9092604022851</v>
      </c>
      <c r="Z180" s="27">
        <f t="shared" si="63"/>
        <v>73354.552185928813</v>
      </c>
      <c r="AA180">
        <f t="shared" si="64"/>
        <v>0</v>
      </c>
      <c r="AB180" s="27">
        <f t="shared" si="65"/>
        <v>73354.552185928813</v>
      </c>
      <c r="AD180" s="27">
        <f t="shared" si="66"/>
        <v>0</v>
      </c>
      <c r="AE180" s="27">
        <f t="shared" si="67"/>
        <v>73354.552185928813</v>
      </c>
      <c r="AF180" s="50"/>
      <c r="AG180" t="str">
        <f t="shared" si="68"/>
        <v>5306120</v>
      </c>
    </row>
    <row r="181" spans="1:33" x14ac:dyDescent="0.25">
      <c r="A181" s="7" t="s">
        <v>513</v>
      </c>
      <c r="B181" s="2" t="s">
        <v>1006</v>
      </c>
      <c r="C181" s="4" t="s">
        <v>1005</v>
      </c>
      <c r="D181">
        <f>_xlfn.IFNA(VLOOKUP(A181,'Prior Year data'!$A$1:$T$318,12,FALSE),0)</f>
        <v>516519.65364696243</v>
      </c>
      <c r="E181">
        <f>VLOOKUP(A181,'Basic HH'!$B$1:$Y$319,23,FALSE)</f>
        <v>170586.05700778941</v>
      </c>
      <c r="F181">
        <f>VLOOKUP(A181,'Conc. HH'!$B$1:$Y$319,23,FALSE)</f>
        <v>44353.742457781889</v>
      </c>
      <c r="G181">
        <f>VLOOKUP(A181,'Targeted HH'!$B$1:$Y$319,23,FALSE)</f>
        <v>107691.39484693202</v>
      </c>
      <c r="H181">
        <f>VLOOKUP(A181,'EFIG HH'!$B$1:$Y$319,23,FALSE)</f>
        <v>145851.50175233488</v>
      </c>
      <c r="I181">
        <f t="shared" si="46"/>
        <v>468482.69606483821</v>
      </c>
      <c r="J181">
        <f t="shared" si="47"/>
        <v>0</v>
      </c>
      <c r="K181" s="43">
        <f t="shared" si="48"/>
        <v>468482.69606483821</v>
      </c>
      <c r="L181">
        <f t="shared" si="49"/>
        <v>0</v>
      </c>
      <c r="M181">
        <f t="shared" si="50"/>
        <v>0</v>
      </c>
      <c r="N181" s="43">
        <f t="shared" si="51"/>
        <v>468482.69606483821</v>
      </c>
      <c r="O181">
        <f t="shared" si="52"/>
        <v>0</v>
      </c>
      <c r="P181">
        <f t="shared" si="53"/>
        <v>0</v>
      </c>
      <c r="Q181" s="43">
        <f t="shared" si="54"/>
        <v>468482.69606483821</v>
      </c>
      <c r="R181">
        <f t="shared" si="55"/>
        <v>0</v>
      </c>
      <c r="S181">
        <f t="shared" si="56"/>
        <v>0</v>
      </c>
      <c r="T181" s="43">
        <f t="shared" si="57"/>
        <v>468482.69606483821</v>
      </c>
      <c r="U181">
        <f t="shared" si="58"/>
        <v>0</v>
      </c>
      <c r="V181">
        <f t="shared" si="59"/>
        <v>0</v>
      </c>
      <c r="W181" s="43">
        <f t="shared" si="60"/>
        <v>468482.69606483821</v>
      </c>
      <c r="X181" s="43">
        <f t="shared" si="61"/>
        <v>0</v>
      </c>
      <c r="Y181" s="27">
        <f t="shared" si="62"/>
        <v>3586.5400574346627</v>
      </c>
      <c r="Z181" s="27">
        <f t="shared" si="63"/>
        <v>464896.15600740357</v>
      </c>
      <c r="AA181">
        <f t="shared" si="64"/>
        <v>0</v>
      </c>
      <c r="AB181" s="27">
        <f t="shared" si="65"/>
        <v>464896.15600740357</v>
      </c>
      <c r="AD181" s="27">
        <f t="shared" si="66"/>
        <v>0</v>
      </c>
      <c r="AE181" s="27">
        <f t="shared" si="67"/>
        <v>464896.15600740357</v>
      </c>
      <c r="AF181" s="50"/>
      <c r="AG181" t="str">
        <f t="shared" si="68"/>
        <v>5306150</v>
      </c>
    </row>
    <row r="182" spans="1:33" x14ac:dyDescent="0.25">
      <c r="A182" s="7" t="s">
        <v>189</v>
      </c>
      <c r="B182" s="2" t="s">
        <v>1008</v>
      </c>
      <c r="C182" s="4" t="s">
        <v>1007</v>
      </c>
      <c r="D182">
        <f>_xlfn.IFNA(VLOOKUP(A182,'Prior Year data'!$A$1:$T$318,12,FALSE),0)</f>
        <v>2021778.5629467361</v>
      </c>
      <c r="E182">
        <f>VLOOKUP(A182,'Basic HH'!$B$1:$Y$319,23,FALSE)</f>
        <v>797846.06728464679</v>
      </c>
      <c r="F182">
        <f>VLOOKUP(A182,'Conc. HH'!$B$1:$Y$319,23,FALSE)</f>
        <v>0</v>
      </c>
      <c r="G182">
        <f>VLOOKUP(A182,'Targeted HH'!$B$1:$Y$319,23,FALSE)</f>
        <v>451625.41656165157</v>
      </c>
      <c r="H182">
        <f>VLOOKUP(A182,'EFIG HH'!$B$1:$Y$319,23,FALSE)</f>
        <v>620767.28541995888</v>
      </c>
      <c r="I182">
        <f t="shared" si="46"/>
        <v>1870238.7692662573</v>
      </c>
      <c r="J182">
        <f t="shared" si="47"/>
        <v>0</v>
      </c>
      <c r="K182" s="43">
        <f t="shared" si="48"/>
        <v>1870238.7692662573</v>
      </c>
      <c r="L182">
        <f t="shared" si="49"/>
        <v>0</v>
      </c>
      <c r="M182">
        <f t="shared" si="50"/>
        <v>0</v>
      </c>
      <c r="N182" s="43">
        <f t="shared" si="51"/>
        <v>1870238.7692662573</v>
      </c>
      <c r="O182">
        <f t="shared" si="52"/>
        <v>0</v>
      </c>
      <c r="P182">
        <f t="shared" si="53"/>
        <v>0</v>
      </c>
      <c r="Q182" s="43">
        <f t="shared" si="54"/>
        <v>1870238.7692662573</v>
      </c>
      <c r="R182">
        <f t="shared" si="55"/>
        <v>0</v>
      </c>
      <c r="S182">
        <f t="shared" si="56"/>
        <v>0</v>
      </c>
      <c r="T182" s="43">
        <f t="shared" si="57"/>
        <v>1870238.7692662573</v>
      </c>
      <c r="U182">
        <f t="shared" si="58"/>
        <v>0</v>
      </c>
      <c r="V182">
        <f t="shared" si="59"/>
        <v>0</v>
      </c>
      <c r="W182" s="43">
        <f t="shared" si="60"/>
        <v>1870238.7692662573</v>
      </c>
      <c r="X182" s="43">
        <f t="shared" si="61"/>
        <v>0</v>
      </c>
      <c r="Y182" s="27">
        <f t="shared" si="62"/>
        <v>14317.895451174549</v>
      </c>
      <c r="Z182" s="27">
        <f t="shared" si="63"/>
        <v>1855920.8738150827</v>
      </c>
      <c r="AA182">
        <f t="shared" si="64"/>
        <v>0</v>
      </c>
      <c r="AB182" s="27">
        <f t="shared" si="65"/>
        <v>1855920.8738150827</v>
      </c>
      <c r="AD182" s="27">
        <f t="shared" si="66"/>
        <v>0</v>
      </c>
      <c r="AE182" s="27">
        <f t="shared" si="67"/>
        <v>1855920.8738150827</v>
      </c>
      <c r="AF182" s="50"/>
      <c r="AG182" t="str">
        <f t="shared" si="68"/>
        <v>5306180</v>
      </c>
    </row>
    <row r="183" spans="1:33" x14ac:dyDescent="0.25">
      <c r="A183" s="7" t="s">
        <v>515</v>
      </c>
      <c r="B183" s="2" t="s">
        <v>1010</v>
      </c>
      <c r="C183" s="4" t="s">
        <v>1009</v>
      </c>
      <c r="D183">
        <f>_xlfn.IFNA(VLOOKUP(A183,'Prior Year data'!$A$1:$T$318,12,FALSE),0)</f>
        <v>1001579.9985773241</v>
      </c>
      <c r="E183">
        <f>VLOOKUP(A183,'Basic HH'!$B$1:$Y$319,23,FALSE)</f>
        <v>343941.70033247879</v>
      </c>
      <c r="F183">
        <f>VLOOKUP(A183,'Conc. HH'!$B$1:$Y$319,23,FALSE)</f>
        <v>92559.270678225832</v>
      </c>
      <c r="G183">
        <f>VLOOKUP(A183,'Targeted HH'!$B$1:$Y$319,23,FALSE)</f>
        <v>211370.53613208703</v>
      </c>
      <c r="H183">
        <f>VLOOKUP(A183,'EFIG HH'!$B$1:$Y$319,23,FALSE)</f>
        <v>286269.02051811712</v>
      </c>
      <c r="I183">
        <f t="shared" si="46"/>
        <v>934140.52766090876</v>
      </c>
      <c r="J183">
        <f t="shared" si="47"/>
        <v>0</v>
      </c>
      <c r="K183" s="43">
        <f t="shared" si="48"/>
        <v>934140.52766090876</v>
      </c>
      <c r="L183">
        <f t="shared" si="49"/>
        <v>0</v>
      </c>
      <c r="M183">
        <f t="shared" si="50"/>
        <v>0</v>
      </c>
      <c r="N183" s="43">
        <f t="shared" si="51"/>
        <v>934140.52766090876</v>
      </c>
      <c r="O183">
        <f t="shared" si="52"/>
        <v>0</v>
      </c>
      <c r="P183">
        <f t="shared" si="53"/>
        <v>0</v>
      </c>
      <c r="Q183" s="43">
        <f t="shared" si="54"/>
        <v>934140.52766090876</v>
      </c>
      <c r="R183">
        <f t="shared" si="55"/>
        <v>0</v>
      </c>
      <c r="S183">
        <f t="shared" si="56"/>
        <v>0</v>
      </c>
      <c r="T183" s="43">
        <f t="shared" si="57"/>
        <v>934140.52766090876</v>
      </c>
      <c r="U183">
        <f t="shared" si="58"/>
        <v>0</v>
      </c>
      <c r="V183">
        <f t="shared" si="59"/>
        <v>0</v>
      </c>
      <c r="W183" s="43">
        <f t="shared" si="60"/>
        <v>934140.52766090876</v>
      </c>
      <c r="X183" s="43">
        <f t="shared" si="61"/>
        <v>0</v>
      </c>
      <c r="Y183" s="27">
        <f t="shared" si="62"/>
        <v>7151.4539381521026</v>
      </c>
      <c r="Z183" s="27">
        <f t="shared" si="63"/>
        <v>926989.0737227567</v>
      </c>
      <c r="AA183">
        <f t="shared" si="64"/>
        <v>0</v>
      </c>
      <c r="AB183" s="27">
        <f t="shared" si="65"/>
        <v>926989.0737227567</v>
      </c>
      <c r="AD183" s="27">
        <f t="shared" si="66"/>
        <v>0</v>
      </c>
      <c r="AE183" s="27">
        <f t="shared" si="67"/>
        <v>926989.0737227567</v>
      </c>
      <c r="AF183" s="50"/>
      <c r="AG183" t="str">
        <f t="shared" si="68"/>
        <v>5306220</v>
      </c>
    </row>
    <row r="184" spans="1:33" x14ac:dyDescent="0.25">
      <c r="A184" s="7" t="s">
        <v>517</v>
      </c>
      <c r="B184" s="2" t="s">
        <v>1012</v>
      </c>
      <c r="C184" s="4" t="s">
        <v>1011</v>
      </c>
      <c r="D184">
        <f>_xlfn.IFNA(VLOOKUP(A184,'Prior Year data'!$A$1:$T$318,12,FALSE),0)</f>
        <v>250515.32421855844</v>
      </c>
      <c r="E184">
        <f>VLOOKUP(A184,'Basic HH'!$B$1:$Y$319,23,FALSE)</f>
        <v>94337.436003409181</v>
      </c>
      <c r="F184">
        <f>VLOOKUP(A184,'Conc. HH'!$B$1:$Y$319,23,FALSE)</f>
        <v>22320.43764243984</v>
      </c>
      <c r="G184">
        <f>VLOOKUP(A184,'Targeted HH'!$B$1:$Y$319,23,FALSE)</f>
        <v>45127.559052248689</v>
      </c>
      <c r="H184">
        <f>VLOOKUP(A184,'EFIG HH'!$B$1:$Y$319,23,FALSE)</f>
        <v>62028.644321591564</v>
      </c>
      <c r="I184">
        <f t="shared" si="46"/>
        <v>223814.07701968928</v>
      </c>
      <c r="J184">
        <f t="shared" si="47"/>
        <v>0</v>
      </c>
      <c r="K184" s="43">
        <f t="shared" si="48"/>
        <v>223814.07701968928</v>
      </c>
      <c r="L184">
        <f t="shared" si="49"/>
        <v>0</v>
      </c>
      <c r="M184">
        <f t="shared" si="50"/>
        <v>0</v>
      </c>
      <c r="N184" s="43">
        <f t="shared" si="51"/>
        <v>223814.07701968928</v>
      </c>
      <c r="O184">
        <f t="shared" si="52"/>
        <v>0</v>
      </c>
      <c r="P184">
        <f t="shared" si="53"/>
        <v>0</v>
      </c>
      <c r="Q184" s="43">
        <f t="shared" si="54"/>
        <v>223814.07701968928</v>
      </c>
      <c r="R184">
        <f t="shared" si="55"/>
        <v>0</v>
      </c>
      <c r="S184">
        <f t="shared" si="56"/>
        <v>0</v>
      </c>
      <c r="T184" s="43">
        <f t="shared" si="57"/>
        <v>223814.07701968928</v>
      </c>
      <c r="U184">
        <f t="shared" si="58"/>
        <v>0</v>
      </c>
      <c r="V184">
        <f t="shared" si="59"/>
        <v>0</v>
      </c>
      <c r="W184" s="43">
        <f t="shared" si="60"/>
        <v>223814.07701968928</v>
      </c>
      <c r="X184" s="43">
        <f t="shared" si="61"/>
        <v>0</v>
      </c>
      <c r="Y184" s="27">
        <f t="shared" si="62"/>
        <v>1713.4424801418618</v>
      </c>
      <c r="Z184" s="27">
        <f t="shared" si="63"/>
        <v>222100.63453954743</v>
      </c>
      <c r="AA184">
        <f t="shared" si="64"/>
        <v>0</v>
      </c>
      <c r="AB184" s="27">
        <f t="shared" si="65"/>
        <v>222100.63453954743</v>
      </c>
      <c r="AD184" s="27">
        <f t="shared" si="66"/>
        <v>0</v>
      </c>
      <c r="AE184" s="27">
        <f t="shared" si="67"/>
        <v>222100.63453954743</v>
      </c>
      <c r="AF184" s="50"/>
      <c r="AG184" t="str">
        <f t="shared" si="68"/>
        <v>5306240</v>
      </c>
    </row>
    <row r="185" spans="1:33" x14ac:dyDescent="0.25">
      <c r="A185" s="7" t="s">
        <v>519</v>
      </c>
      <c r="B185" s="2" t="s">
        <v>1014</v>
      </c>
      <c r="C185" s="4" t="s">
        <v>1013</v>
      </c>
      <c r="D185">
        <f>_xlfn.IFNA(VLOOKUP(A185,'Prior Year data'!$A$1:$T$318,12,FALSE),0)</f>
        <v>45027.589960064994</v>
      </c>
      <c r="E185">
        <f>VLOOKUP(A185,'Basic HH'!$B$1:$Y$319,23,FALSE)</f>
        <v>20844.951535301749</v>
      </c>
      <c r="F185">
        <f>VLOOKUP(A185,'Conc. HH'!$B$1:$Y$319,23,FALSE)</f>
        <v>5609.6527683773238</v>
      </c>
      <c r="G185">
        <f>VLOOKUP(A185,'Targeted HH'!$B$1:$Y$319,23,FALSE)</f>
        <v>19253.340271165223</v>
      </c>
      <c r="H185">
        <f>VLOOKUP(A185,'EFIG HH'!$B$1:$Y$319,23,FALSE)</f>
        <v>26194.879820698436</v>
      </c>
      <c r="I185">
        <f t="shared" si="46"/>
        <v>71902.824395542732</v>
      </c>
      <c r="J185">
        <f t="shared" si="47"/>
        <v>71902.824395542732</v>
      </c>
      <c r="K185" s="43">
        <f t="shared" si="48"/>
        <v>65344.648431323149</v>
      </c>
      <c r="L185">
        <f t="shared" si="49"/>
        <v>0</v>
      </c>
      <c r="M185">
        <f t="shared" si="50"/>
        <v>20317.058471258155</v>
      </c>
      <c r="N185" s="43">
        <f t="shared" si="51"/>
        <v>62689.028853985095</v>
      </c>
      <c r="O185">
        <f t="shared" si="52"/>
        <v>0</v>
      </c>
      <c r="P185">
        <f t="shared" si="53"/>
        <v>17661.438893920102</v>
      </c>
      <c r="Q185" s="43">
        <f t="shared" si="54"/>
        <v>62689.028853985095</v>
      </c>
      <c r="R185">
        <f t="shared" si="55"/>
        <v>0</v>
      </c>
      <c r="S185">
        <f t="shared" si="56"/>
        <v>17661.438893920102</v>
      </c>
      <c r="T185" s="43">
        <f t="shared" si="57"/>
        <v>62689.028853985095</v>
      </c>
      <c r="U185">
        <f t="shared" si="58"/>
        <v>0</v>
      </c>
      <c r="V185">
        <f t="shared" si="59"/>
        <v>17661.438893920102</v>
      </c>
      <c r="W185" s="43">
        <f t="shared" si="60"/>
        <v>62689.028853985095</v>
      </c>
      <c r="X185" s="43">
        <f t="shared" si="61"/>
        <v>9213.7955415576362</v>
      </c>
      <c r="Y185" s="27">
        <f t="shared" si="62"/>
        <v>479.92533136245743</v>
      </c>
      <c r="Z185" s="27">
        <f t="shared" si="63"/>
        <v>62209.103522622638</v>
      </c>
      <c r="AA185">
        <f t="shared" si="64"/>
        <v>0</v>
      </c>
      <c r="AB185" s="27">
        <f t="shared" si="65"/>
        <v>62209.103522622638</v>
      </c>
      <c r="AD185" s="27">
        <f t="shared" si="66"/>
        <v>0</v>
      </c>
      <c r="AE185" s="27">
        <f t="shared" si="67"/>
        <v>62209.103522622638</v>
      </c>
      <c r="AF185" s="50"/>
      <c r="AG185" t="str">
        <f t="shared" si="68"/>
        <v>5306270</v>
      </c>
    </row>
    <row r="186" spans="1:33" x14ac:dyDescent="0.25">
      <c r="A186" s="7" t="s">
        <v>521</v>
      </c>
      <c r="B186" s="2" t="s">
        <v>1016</v>
      </c>
      <c r="C186" s="4" t="s">
        <v>1015</v>
      </c>
      <c r="D186">
        <f>_xlfn.IFNA(VLOOKUP(A186,'Prior Year data'!$A$1:$T$318,12,FALSE),0)</f>
        <v>136781.21189503328</v>
      </c>
      <c r="E186">
        <f>VLOOKUP(A186,'Basic HH'!$B$1:$Y$319,23,FALSE)</f>
        <v>72957.330373556106</v>
      </c>
      <c r="F186">
        <f>VLOOKUP(A186,'Conc. HH'!$B$1:$Y$319,23,FALSE)</f>
        <v>0</v>
      </c>
      <c r="G186">
        <f>VLOOKUP(A186,'Targeted HH'!$B$1:$Y$319,23,FALSE)</f>
        <v>35203.521543241812</v>
      </c>
      <c r="H186">
        <f>VLOOKUP(A186,'EFIG HH'!$B$1:$Y$319,23,FALSE)</f>
        <v>47895.689947974861</v>
      </c>
      <c r="I186">
        <f t="shared" si="46"/>
        <v>156056.54186477279</v>
      </c>
      <c r="J186">
        <f t="shared" si="47"/>
        <v>156056.54186477279</v>
      </c>
      <c r="K186" s="43">
        <f t="shared" si="48"/>
        <v>141822.79972014262</v>
      </c>
      <c r="L186">
        <f t="shared" si="49"/>
        <v>0</v>
      </c>
      <c r="M186">
        <f t="shared" si="50"/>
        <v>5041.5878251093382</v>
      </c>
      <c r="N186" s="43">
        <f t="shared" si="51"/>
        <v>141163.8195164793</v>
      </c>
      <c r="O186">
        <f t="shared" si="52"/>
        <v>0</v>
      </c>
      <c r="P186">
        <f t="shared" si="53"/>
        <v>4382.607621446019</v>
      </c>
      <c r="Q186" s="43">
        <f t="shared" si="54"/>
        <v>141163.8195164793</v>
      </c>
      <c r="R186">
        <f t="shared" si="55"/>
        <v>0</v>
      </c>
      <c r="S186">
        <f t="shared" si="56"/>
        <v>4382.607621446019</v>
      </c>
      <c r="T186" s="43">
        <f t="shared" si="57"/>
        <v>141163.8195164793</v>
      </c>
      <c r="U186">
        <f t="shared" si="58"/>
        <v>0</v>
      </c>
      <c r="V186">
        <f t="shared" si="59"/>
        <v>4382.607621446019</v>
      </c>
      <c r="W186" s="43">
        <f t="shared" si="60"/>
        <v>141163.8195164793</v>
      </c>
      <c r="X186" s="43">
        <f t="shared" si="61"/>
        <v>14892.722348293493</v>
      </c>
      <c r="Y186" s="27">
        <f t="shared" si="62"/>
        <v>1080.7009471407655</v>
      </c>
      <c r="Z186" s="27">
        <f t="shared" si="63"/>
        <v>140083.11856933852</v>
      </c>
      <c r="AA186">
        <f t="shared" si="64"/>
        <v>0</v>
      </c>
      <c r="AB186" s="27">
        <f t="shared" si="65"/>
        <v>140083.11856933852</v>
      </c>
      <c r="AD186" s="27">
        <f t="shared" si="66"/>
        <v>0</v>
      </c>
      <c r="AE186" s="27">
        <f t="shared" si="67"/>
        <v>140083.11856933852</v>
      </c>
      <c r="AF186" s="50"/>
      <c r="AG186" t="str">
        <f t="shared" si="68"/>
        <v>5306300</v>
      </c>
    </row>
    <row r="187" spans="1:33" x14ac:dyDescent="0.25">
      <c r="A187" s="7" t="s">
        <v>290</v>
      </c>
      <c r="B187" s="2" t="s">
        <v>1018</v>
      </c>
      <c r="C187" s="4" t="s">
        <v>1017</v>
      </c>
      <c r="D187">
        <f>_xlfn.IFNA(VLOOKUP(A187,'Prior Year data'!$A$1:$T$318,12,FALSE),0)</f>
        <v>40104.606866047856</v>
      </c>
      <c r="E187">
        <f>VLOOKUP(A187,'Basic HH'!$B$1:$Y$319,23,FALSE)</f>
        <v>16088.554977325603</v>
      </c>
      <c r="F187">
        <f>VLOOKUP(A187,'Conc. HH'!$B$1:$Y$319,23,FALSE)</f>
        <v>0</v>
      </c>
      <c r="G187">
        <f>VLOOKUP(A187,'Targeted HH'!$B$1:$Y$319,23,FALSE)</f>
        <v>7696.1728616238088</v>
      </c>
      <c r="H187">
        <f>VLOOKUP(A187,'EFIG HH'!$B$1:$Y$319,23,FALSE)</f>
        <v>10578.5284889536</v>
      </c>
      <c r="I187">
        <f t="shared" si="46"/>
        <v>34363.256327903007</v>
      </c>
      <c r="J187">
        <f t="shared" si="47"/>
        <v>0</v>
      </c>
      <c r="K187" s="43">
        <f t="shared" si="48"/>
        <v>34363.256327903007</v>
      </c>
      <c r="L187">
        <f t="shared" si="49"/>
        <v>0</v>
      </c>
      <c r="M187">
        <f t="shared" si="50"/>
        <v>0</v>
      </c>
      <c r="N187" s="43">
        <f t="shared" si="51"/>
        <v>34363.256327903007</v>
      </c>
      <c r="O187">
        <f t="shared" si="52"/>
        <v>0</v>
      </c>
      <c r="P187">
        <f t="shared" si="53"/>
        <v>0</v>
      </c>
      <c r="Q187" s="43">
        <f t="shared" si="54"/>
        <v>34363.256327903007</v>
      </c>
      <c r="R187">
        <f t="shared" si="55"/>
        <v>0</v>
      </c>
      <c r="S187">
        <f t="shared" si="56"/>
        <v>0</v>
      </c>
      <c r="T187" s="43">
        <f t="shared" si="57"/>
        <v>34363.256327903007</v>
      </c>
      <c r="U187">
        <f t="shared" si="58"/>
        <v>0</v>
      </c>
      <c r="V187">
        <f t="shared" si="59"/>
        <v>0</v>
      </c>
      <c r="W187" s="43">
        <f t="shared" si="60"/>
        <v>34363.256327903007</v>
      </c>
      <c r="X187" s="43">
        <f t="shared" si="61"/>
        <v>0</v>
      </c>
      <c r="Y187" s="27">
        <f t="shared" si="62"/>
        <v>263.07310037095181</v>
      </c>
      <c r="Z187" s="27">
        <f t="shared" si="63"/>
        <v>34100.183227532056</v>
      </c>
      <c r="AA187">
        <f t="shared" si="64"/>
        <v>0</v>
      </c>
      <c r="AB187" s="27">
        <f t="shared" si="65"/>
        <v>34100.183227532056</v>
      </c>
      <c r="AD187" s="27">
        <f t="shared" si="66"/>
        <v>0</v>
      </c>
      <c r="AE187" s="27">
        <f t="shared" si="67"/>
        <v>34100.183227532056</v>
      </c>
      <c r="AF187" s="50"/>
      <c r="AG187" t="str">
        <f t="shared" si="68"/>
        <v>5306330</v>
      </c>
    </row>
    <row r="188" spans="1:33" x14ac:dyDescent="0.25">
      <c r="A188" s="7" t="s">
        <v>523</v>
      </c>
      <c r="B188" s="2" t="s">
        <v>1020</v>
      </c>
      <c r="C188" s="4" t="s">
        <v>1019</v>
      </c>
      <c r="D188">
        <f>_xlfn.IFNA(VLOOKUP(A188,'Prior Year data'!$A$1:$T$318,12,FALSE),0)</f>
        <v>76701.251602323202</v>
      </c>
      <c r="E188">
        <f>VLOOKUP(A188,'Basic HH'!$B$1:$Y$319,23,FALSE)</f>
        <v>39084.284128690793</v>
      </c>
      <c r="F188">
        <f>VLOOKUP(A188,'Conc. HH'!$B$1:$Y$319,23,FALSE)</f>
        <v>10518.098940707483</v>
      </c>
      <c r="G188">
        <f>VLOOKUP(A188,'Targeted HH'!$B$1:$Y$319,23,FALSE)</f>
        <v>33567.500742950964</v>
      </c>
      <c r="H188">
        <f>VLOOKUP(A188,'EFIG HH'!$B$1:$Y$319,23,FALSE)</f>
        <v>45669.823285660488</v>
      </c>
      <c r="I188">
        <f t="shared" si="46"/>
        <v>128839.70709800972</v>
      </c>
      <c r="J188">
        <f t="shared" si="47"/>
        <v>128839.70709800972</v>
      </c>
      <c r="K188" s="43">
        <f t="shared" si="48"/>
        <v>117088.38192503589</v>
      </c>
      <c r="L188">
        <f t="shared" si="49"/>
        <v>0</v>
      </c>
      <c r="M188">
        <f t="shared" si="50"/>
        <v>40387.130322712692</v>
      </c>
      <c r="N188" s="43">
        <f t="shared" si="51"/>
        <v>111809.42611018573</v>
      </c>
      <c r="O188">
        <f t="shared" si="52"/>
        <v>0</v>
      </c>
      <c r="P188">
        <f t="shared" si="53"/>
        <v>35108.174507862524</v>
      </c>
      <c r="Q188" s="43">
        <f t="shared" si="54"/>
        <v>111809.42611018573</v>
      </c>
      <c r="R188">
        <f t="shared" si="55"/>
        <v>0</v>
      </c>
      <c r="S188">
        <f t="shared" si="56"/>
        <v>35108.174507862524</v>
      </c>
      <c r="T188" s="43">
        <f t="shared" si="57"/>
        <v>111809.42611018573</v>
      </c>
      <c r="U188">
        <f t="shared" si="58"/>
        <v>0</v>
      </c>
      <c r="V188">
        <f t="shared" si="59"/>
        <v>35108.174507862524</v>
      </c>
      <c r="W188" s="43">
        <f t="shared" si="60"/>
        <v>111809.42611018573</v>
      </c>
      <c r="X188" s="43">
        <f t="shared" si="61"/>
        <v>17030.280987823993</v>
      </c>
      <c r="Y188" s="27">
        <f t="shared" si="62"/>
        <v>855.97395359819723</v>
      </c>
      <c r="Z188" s="27">
        <f t="shared" si="63"/>
        <v>110953.45215658753</v>
      </c>
      <c r="AA188">
        <f t="shared" si="64"/>
        <v>0</v>
      </c>
      <c r="AB188" s="27">
        <f t="shared" si="65"/>
        <v>110953.45215658753</v>
      </c>
      <c r="AD188" s="27">
        <f t="shared" si="66"/>
        <v>0</v>
      </c>
      <c r="AE188" s="27">
        <f t="shared" si="67"/>
        <v>110953.45215658753</v>
      </c>
      <c r="AF188" s="50"/>
      <c r="AG188" t="str">
        <f t="shared" si="68"/>
        <v>5306360</v>
      </c>
    </row>
    <row r="189" spans="1:33" x14ac:dyDescent="0.25">
      <c r="A189" s="7" t="s">
        <v>525</v>
      </c>
      <c r="B189" s="2" t="s">
        <v>1022</v>
      </c>
      <c r="C189" s="4" t="s">
        <v>1021</v>
      </c>
      <c r="D189">
        <f>_xlfn.IFNA(VLOOKUP(A189,'Prior Year data'!$A$1:$T$318,12,FALSE),0)</f>
        <v>124083.93443589075</v>
      </c>
      <c r="E189">
        <f>VLOOKUP(A189,'Basic HH'!$B$1:$Y$319,23,FALSE)</f>
        <v>43473.871671297296</v>
      </c>
      <c r="F189">
        <f>VLOOKUP(A189,'Conc. HH'!$B$1:$Y$319,23,FALSE)</f>
        <v>11303.555176630483</v>
      </c>
      <c r="G189">
        <f>VLOOKUP(A189,'Targeted HH'!$B$1:$Y$319,23,FALSE)</f>
        <v>21880.423920906869</v>
      </c>
      <c r="H189">
        <f>VLOOKUP(A189,'EFIG HH'!$B$1:$Y$319,23,FALSE)</f>
        <v>29633.683288975371</v>
      </c>
      <c r="I189">
        <f t="shared" si="46"/>
        <v>106291.53405781001</v>
      </c>
      <c r="J189">
        <f t="shared" si="47"/>
        <v>0</v>
      </c>
      <c r="K189" s="43">
        <f t="shared" si="48"/>
        <v>106291.53405781001</v>
      </c>
      <c r="L189">
        <f t="shared" si="49"/>
        <v>0</v>
      </c>
      <c r="M189">
        <f t="shared" si="50"/>
        <v>0</v>
      </c>
      <c r="N189" s="43">
        <f t="shared" si="51"/>
        <v>106291.53405781001</v>
      </c>
      <c r="O189">
        <f t="shared" si="52"/>
        <v>0</v>
      </c>
      <c r="P189">
        <f t="shared" si="53"/>
        <v>0</v>
      </c>
      <c r="Q189" s="43">
        <f t="shared" si="54"/>
        <v>106291.53405781001</v>
      </c>
      <c r="R189">
        <f t="shared" si="55"/>
        <v>0</v>
      </c>
      <c r="S189">
        <f t="shared" si="56"/>
        <v>0</v>
      </c>
      <c r="T189" s="43">
        <f t="shared" si="57"/>
        <v>106291.53405781001</v>
      </c>
      <c r="U189">
        <f t="shared" si="58"/>
        <v>0</v>
      </c>
      <c r="V189">
        <f t="shared" si="59"/>
        <v>0</v>
      </c>
      <c r="W189" s="43">
        <f t="shared" si="60"/>
        <v>106291.53405781001</v>
      </c>
      <c r="X189" s="43">
        <f t="shared" si="61"/>
        <v>0</v>
      </c>
      <c r="Y189" s="27">
        <f t="shared" si="62"/>
        <v>813.73089735582357</v>
      </c>
      <c r="Z189" s="27">
        <f t="shared" si="63"/>
        <v>105477.80316045419</v>
      </c>
      <c r="AA189">
        <f t="shared" si="64"/>
        <v>0</v>
      </c>
      <c r="AB189" s="27">
        <f t="shared" si="65"/>
        <v>105477.80316045419</v>
      </c>
      <c r="AD189" s="27">
        <f t="shared" si="66"/>
        <v>0</v>
      </c>
      <c r="AE189" s="27">
        <f t="shared" si="67"/>
        <v>105477.80316045419</v>
      </c>
      <c r="AF189" s="50"/>
      <c r="AG189" t="str">
        <f t="shared" si="68"/>
        <v>5306390</v>
      </c>
    </row>
    <row r="190" spans="1:33" x14ac:dyDescent="0.25">
      <c r="A190" s="7" t="s">
        <v>527</v>
      </c>
      <c r="B190" s="2" t="s">
        <v>1024</v>
      </c>
      <c r="C190" s="4" t="s">
        <v>1023</v>
      </c>
      <c r="D190">
        <f>_xlfn.IFNA(VLOOKUP(A190,'Prior Year data'!$A$1:$T$318,12,FALSE),0)</f>
        <v>733255.33035609988</v>
      </c>
      <c r="E190">
        <f>VLOOKUP(A190,'Basic HH'!$B$1:$Y$319,23,FALSE)</f>
        <v>199529.33695055248</v>
      </c>
      <c r="F190">
        <f>VLOOKUP(A190,'Conc. HH'!$B$1:$Y$319,23,FALSE)</f>
        <v>51879.227289207352</v>
      </c>
      <c r="G190">
        <f>VLOOKUP(A190,'Targeted HH'!$B$1:$Y$319,23,FALSE)</f>
        <v>175697.61470436701</v>
      </c>
      <c r="H190">
        <f>VLOOKUP(A190,'EFIG HH'!$B$1:$Y$319,23,FALSE)</f>
        <v>237955.51162986047</v>
      </c>
      <c r="I190">
        <f t="shared" si="46"/>
        <v>665061.69057398732</v>
      </c>
      <c r="J190">
        <f t="shared" si="47"/>
        <v>0</v>
      </c>
      <c r="K190" s="43">
        <f t="shared" si="48"/>
        <v>665061.69057398732</v>
      </c>
      <c r="L190">
        <f t="shared" si="49"/>
        <v>0</v>
      </c>
      <c r="M190">
        <f t="shared" si="50"/>
        <v>0</v>
      </c>
      <c r="N190" s="43">
        <f t="shared" si="51"/>
        <v>665061.69057398732</v>
      </c>
      <c r="O190">
        <f t="shared" si="52"/>
        <v>0</v>
      </c>
      <c r="P190">
        <f t="shared" si="53"/>
        <v>0</v>
      </c>
      <c r="Q190" s="43">
        <f t="shared" si="54"/>
        <v>665061.69057398732</v>
      </c>
      <c r="R190">
        <f t="shared" si="55"/>
        <v>0</v>
      </c>
      <c r="S190">
        <f t="shared" si="56"/>
        <v>0</v>
      </c>
      <c r="T190" s="43">
        <f t="shared" si="57"/>
        <v>665061.69057398732</v>
      </c>
      <c r="U190">
        <f t="shared" si="58"/>
        <v>0</v>
      </c>
      <c r="V190">
        <f t="shared" si="59"/>
        <v>0</v>
      </c>
      <c r="W190" s="43">
        <f t="shared" si="60"/>
        <v>665061.69057398732</v>
      </c>
      <c r="X190" s="43">
        <f t="shared" si="61"/>
        <v>0</v>
      </c>
      <c r="Y190" s="27">
        <f t="shared" si="62"/>
        <v>5091.480248778922</v>
      </c>
      <c r="Z190" s="27">
        <f t="shared" si="63"/>
        <v>659970.21032520838</v>
      </c>
      <c r="AA190">
        <f t="shared" si="64"/>
        <v>0</v>
      </c>
      <c r="AB190" s="27">
        <f t="shared" si="65"/>
        <v>659970.21032520838</v>
      </c>
      <c r="AD190" s="27">
        <f t="shared" si="66"/>
        <v>0</v>
      </c>
      <c r="AE190" s="27">
        <f t="shared" si="67"/>
        <v>659970.21032520838</v>
      </c>
      <c r="AF190" s="50"/>
      <c r="AG190" t="str">
        <f t="shared" si="68"/>
        <v>5306420</v>
      </c>
    </row>
    <row r="191" spans="1:33" x14ac:dyDescent="0.25">
      <c r="A191" s="7" t="s">
        <v>292</v>
      </c>
      <c r="B191" s="2" t="s">
        <v>1026</v>
      </c>
      <c r="C191" s="4" t="s">
        <v>1025</v>
      </c>
      <c r="D191">
        <f>_xlfn.IFNA(VLOOKUP(A191,'Prior Year data'!$A$1:$T$318,12,FALSE),0)</f>
        <v>315368.0449011944</v>
      </c>
      <c r="E191">
        <f>VLOOKUP(A191,'Basic HH'!$B$1:$Y$319,23,FALSE)</f>
        <v>142440.5021578953</v>
      </c>
      <c r="F191">
        <f>VLOOKUP(A191,'Conc. HH'!$B$1:$Y$319,23,FALSE)</f>
        <v>0</v>
      </c>
      <c r="G191">
        <f>VLOOKUP(A191,'Targeted HH'!$B$1:$Y$319,23,FALSE)</f>
        <v>68730.684917757826</v>
      </c>
      <c r="H191">
        <f>VLOOKUP(A191,'EFIG HH'!$B$1:$Y$319,23,FALSE)</f>
        <v>93510.632755569968</v>
      </c>
      <c r="I191">
        <f t="shared" si="46"/>
        <v>304681.81983122311</v>
      </c>
      <c r="J191">
        <f t="shared" si="47"/>
        <v>0</v>
      </c>
      <c r="K191" s="43">
        <f t="shared" si="48"/>
        <v>304681.81983122311</v>
      </c>
      <c r="L191">
        <f t="shared" si="49"/>
        <v>0</v>
      </c>
      <c r="M191">
        <f t="shared" si="50"/>
        <v>0</v>
      </c>
      <c r="N191" s="43">
        <f t="shared" si="51"/>
        <v>304681.81983122311</v>
      </c>
      <c r="O191">
        <f t="shared" si="52"/>
        <v>0</v>
      </c>
      <c r="P191">
        <f t="shared" si="53"/>
        <v>0</v>
      </c>
      <c r="Q191" s="43">
        <f t="shared" si="54"/>
        <v>304681.81983122311</v>
      </c>
      <c r="R191">
        <f t="shared" si="55"/>
        <v>0</v>
      </c>
      <c r="S191">
        <f t="shared" si="56"/>
        <v>0</v>
      </c>
      <c r="T191" s="43">
        <f t="shared" si="57"/>
        <v>304681.81983122311</v>
      </c>
      <c r="U191">
        <f t="shared" si="58"/>
        <v>0</v>
      </c>
      <c r="V191">
        <f t="shared" si="59"/>
        <v>0</v>
      </c>
      <c r="W191" s="43">
        <f t="shared" si="60"/>
        <v>304681.81983122311</v>
      </c>
      <c r="X191" s="43">
        <f t="shared" si="61"/>
        <v>0</v>
      </c>
      <c r="Y191" s="27">
        <f t="shared" si="62"/>
        <v>2332.5377026210053</v>
      </c>
      <c r="Z191" s="27">
        <f t="shared" si="63"/>
        <v>302349.28212860209</v>
      </c>
      <c r="AA191">
        <f t="shared" si="64"/>
        <v>0</v>
      </c>
      <c r="AB191" s="27">
        <f t="shared" si="65"/>
        <v>302349.28212860209</v>
      </c>
      <c r="AD191" s="27">
        <f t="shared" si="66"/>
        <v>0</v>
      </c>
      <c r="AE191" s="27">
        <f t="shared" si="67"/>
        <v>302349.28212860209</v>
      </c>
      <c r="AF191" s="50"/>
      <c r="AG191" t="str">
        <f t="shared" si="68"/>
        <v>5306450</v>
      </c>
    </row>
    <row r="192" spans="1:33" x14ac:dyDescent="0.25">
      <c r="A192" s="7" t="s">
        <v>529</v>
      </c>
      <c r="B192" s="2" t="s">
        <v>1028</v>
      </c>
      <c r="C192" s="4" t="s">
        <v>1027</v>
      </c>
      <c r="D192">
        <f>_xlfn.IFNA(VLOOKUP(A192,'Prior Year data'!$A$1:$T$318,12,FALSE),0)</f>
        <v>1674378.0042818442</v>
      </c>
      <c r="E192">
        <f>VLOOKUP(A192,'Basic HH'!$B$1:$Y$319,23,FALSE)</f>
        <v>786028.38081033679</v>
      </c>
      <c r="F192">
        <f>VLOOKUP(A192,'Conc. HH'!$B$1:$Y$319,23,FALSE)</f>
        <v>211530.65647422819</v>
      </c>
      <c r="G192">
        <f>VLOOKUP(A192,'Targeted HH'!$B$1:$Y$319,23,FALSE)</f>
        <v>441602.3618441702</v>
      </c>
      <c r="H192">
        <f>VLOOKUP(A192,'EFIG HH'!$B$1:$Y$319,23,FALSE)</f>
        <v>600816.30689138279</v>
      </c>
      <c r="I192">
        <f t="shared" si="46"/>
        <v>2039977.7060201177</v>
      </c>
      <c r="J192">
        <f t="shared" si="47"/>
        <v>2039977.7060201177</v>
      </c>
      <c r="K192" s="43">
        <f t="shared" si="48"/>
        <v>1853913.6275693376</v>
      </c>
      <c r="L192">
        <f t="shared" si="49"/>
        <v>0</v>
      </c>
      <c r="M192">
        <f t="shared" si="50"/>
        <v>179535.62328749336</v>
      </c>
      <c r="N192" s="43">
        <f t="shared" si="51"/>
        <v>1830446.7306902278</v>
      </c>
      <c r="O192">
        <f t="shared" si="52"/>
        <v>0</v>
      </c>
      <c r="P192">
        <f t="shared" si="53"/>
        <v>156068.72640838358</v>
      </c>
      <c r="Q192" s="43">
        <f t="shared" si="54"/>
        <v>1830446.7306902278</v>
      </c>
      <c r="R192">
        <f t="shared" si="55"/>
        <v>0</v>
      </c>
      <c r="S192">
        <f t="shared" si="56"/>
        <v>156068.72640838358</v>
      </c>
      <c r="T192" s="43">
        <f t="shared" si="57"/>
        <v>1830446.7306902278</v>
      </c>
      <c r="U192">
        <f t="shared" si="58"/>
        <v>0</v>
      </c>
      <c r="V192">
        <f t="shared" si="59"/>
        <v>156068.72640838358</v>
      </c>
      <c r="W192" s="43">
        <f t="shared" si="60"/>
        <v>1830446.7306902278</v>
      </c>
      <c r="X192" s="43">
        <f t="shared" si="61"/>
        <v>209530.97532988992</v>
      </c>
      <c r="Y192" s="27">
        <f t="shared" si="62"/>
        <v>14013.261488130238</v>
      </c>
      <c r="Z192" s="27">
        <f t="shared" si="63"/>
        <v>1816433.4692020975</v>
      </c>
      <c r="AA192">
        <f t="shared" si="64"/>
        <v>0</v>
      </c>
      <c r="AB192" s="27">
        <f t="shared" si="65"/>
        <v>1816433.4692020975</v>
      </c>
      <c r="AD192" s="27">
        <f t="shared" si="66"/>
        <v>0</v>
      </c>
      <c r="AE192" s="27">
        <f t="shared" si="67"/>
        <v>1816433.4692020975</v>
      </c>
      <c r="AF192" s="50"/>
      <c r="AG192" t="str">
        <f t="shared" si="68"/>
        <v>5306480</v>
      </c>
    </row>
    <row r="193" spans="1:33" x14ac:dyDescent="0.25">
      <c r="A193" s="7" t="s">
        <v>531</v>
      </c>
      <c r="B193" s="2" t="s">
        <v>1030</v>
      </c>
      <c r="C193" s="4" t="s">
        <v>1029</v>
      </c>
      <c r="D193">
        <f>_xlfn.IFNA(VLOOKUP(A193,'Prior Year data'!$A$1:$T$318,12,FALSE),0)</f>
        <v>23761.799646043146</v>
      </c>
      <c r="E193">
        <f>VLOOKUP(A193,'Basic HH'!$B$1:$Y$319,23,FALSE)</f>
        <v>0</v>
      </c>
      <c r="F193">
        <f>VLOOKUP(A193,'Conc. HH'!$B$1:$Y$319,23,FALSE)</f>
        <v>2102.5690869090085</v>
      </c>
      <c r="G193">
        <f>VLOOKUP(A193,'Targeted HH'!$B$1:$Y$319,23,FALSE)</f>
        <v>0</v>
      </c>
      <c r="H193">
        <f>VLOOKUP(A193,'EFIG HH'!$B$1:$Y$319,23,FALSE)</f>
        <v>0</v>
      </c>
      <c r="I193">
        <f t="shared" si="46"/>
        <v>2102.5690869090085</v>
      </c>
      <c r="J193">
        <f t="shared" si="47"/>
        <v>0</v>
      </c>
      <c r="K193" s="43">
        <f t="shared" si="48"/>
        <v>2102.5690869090085</v>
      </c>
      <c r="L193">
        <f t="shared" si="49"/>
        <v>0</v>
      </c>
      <c r="M193">
        <f t="shared" si="50"/>
        <v>0</v>
      </c>
      <c r="N193" s="43">
        <f t="shared" si="51"/>
        <v>2102.5690869090085</v>
      </c>
      <c r="O193">
        <f t="shared" si="52"/>
        <v>0</v>
      </c>
      <c r="P193">
        <f t="shared" si="53"/>
        <v>0</v>
      </c>
      <c r="Q193" s="43">
        <f t="shared" si="54"/>
        <v>2102.5690869090085</v>
      </c>
      <c r="R193">
        <f t="shared" si="55"/>
        <v>0</v>
      </c>
      <c r="S193">
        <f t="shared" si="56"/>
        <v>0</v>
      </c>
      <c r="T193" s="43">
        <f t="shared" si="57"/>
        <v>2102.5690869090085</v>
      </c>
      <c r="U193">
        <f t="shared" si="58"/>
        <v>0</v>
      </c>
      <c r="V193">
        <f t="shared" si="59"/>
        <v>0</v>
      </c>
      <c r="W193" s="43">
        <f t="shared" si="60"/>
        <v>2102.5690869090085</v>
      </c>
      <c r="X193" s="43">
        <f t="shared" si="61"/>
        <v>0</v>
      </c>
      <c r="Y193" s="27">
        <f t="shared" si="62"/>
        <v>16.096535298027977</v>
      </c>
      <c r="Z193" s="27">
        <f t="shared" si="63"/>
        <v>2086.4725516109806</v>
      </c>
      <c r="AA193">
        <f t="shared" si="64"/>
        <v>0</v>
      </c>
      <c r="AB193" s="27">
        <f t="shared" si="65"/>
        <v>2086.4725516109806</v>
      </c>
      <c r="AD193" s="27">
        <f t="shared" si="66"/>
        <v>0</v>
      </c>
      <c r="AE193" s="27">
        <f t="shared" si="67"/>
        <v>2086.4725516109806</v>
      </c>
      <c r="AF193" s="50"/>
      <c r="AG193" t="str">
        <f t="shared" si="68"/>
        <v>5306510</v>
      </c>
    </row>
    <row r="194" spans="1:33" x14ac:dyDescent="0.25">
      <c r="A194" s="7" t="s">
        <v>533</v>
      </c>
      <c r="B194" s="2" t="s">
        <v>1032</v>
      </c>
      <c r="C194" s="4" t="s">
        <v>1031</v>
      </c>
      <c r="D194">
        <f>_xlfn.IFNA(VLOOKUP(A194,'Prior Year data'!$A$1:$T$318,12,FALSE),0)</f>
        <v>15672.919064777241</v>
      </c>
      <c r="E194">
        <f>VLOOKUP(A194,'Basic HH'!$B$1:$Y$319,23,FALSE)</f>
        <v>13425.578566093693</v>
      </c>
      <c r="F194">
        <f>VLOOKUP(A194,'Conc. HH'!$B$1:$Y$319,23,FALSE)</f>
        <v>0</v>
      </c>
      <c r="G194">
        <f>VLOOKUP(A194,'Targeted HH'!$B$1:$Y$319,23,FALSE)</f>
        <v>0</v>
      </c>
      <c r="H194">
        <f>VLOOKUP(A194,'EFIG HH'!$B$1:$Y$319,23,FALSE)</f>
        <v>0</v>
      </c>
      <c r="I194">
        <f t="shared" si="46"/>
        <v>13425.578566093693</v>
      </c>
      <c r="J194">
        <f t="shared" si="47"/>
        <v>0</v>
      </c>
      <c r="K194" s="43">
        <f t="shared" si="48"/>
        <v>13425.578566093693</v>
      </c>
      <c r="L194">
        <f t="shared" si="49"/>
        <v>0</v>
      </c>
      <c r="M194">
        <f t="shared" si="50"/>
        <v>0</v>
      </c>
      <c r="N194" s="43">
        <f t="shared" si="51"/>
        <v>13425.578566093693</v>
      </c>
      <c r="O194">
        <f t="shared" si="52"/>
        <v>0</v>
      </c>
      <c r="P194">
        <f t="shared" si="53"/>
        <v>0</v>
      </c>
      <c r="Q194" s="43">
        <f t="shared" si="54"/>
        <v>13425.578566093693</v>
      </c>
      <c r="R194">
        <f t="shared" si="55"/>
        <v>0</v>
      </c>
      <c r="S194">
        <f t="shared" si="56"/>
        <v>0</v>
      </c>
      <c r="T194" s="43">
        <f t="shared" si="57"/>
        <v>13425.578566093693</v>
      </c>
      <c r="U194">
        <f t="shared" si="58"/>
        <v>0</v>
      </c>
      <c r="V194">
        <f t="shared" si="59"/>
        <v>0</v>
      </c>
      <c r="W194" s="43">
        <f t="shared" si="60"/>
        <v>13425.578566093693</v>
      </c>
      <c r="X194" s="43">
        <f t="shared" si="61"/>
        <v>0</v>
      </c>
      <c r="Y194" s="27">
        <f t="shared" si="62"/>
        <v>102.78154503035705</v>
      </c>
      <c r="Z194" s="27">
        <f t="shared" si="63"/>
        <v>13322.797021063336</v>
      </c>
      <c r="AA194">
        <f t="shared" si="64"/>
        <v>0</v>
      </c>
      <c r="AB194" s="27">
        <f t="shared" si="65"/>
        <v>13322.797021063336</v>
      </c>
      <c r="AD194" s="27">
        <f t="shared" si="66"/>
        <v>0</v>
      </c>
      <c r="AE194" s="27">
        <f t="shared" si="67"/>
        <v>13322.797021063336</v>
      </c>
      <c r="AF194" s="50"/>
      <c r="AG194" t="str">
        <f t="shared" si="68"/>
        <v>5306540</v>
      </c>
    </row>
    <row r="195" spans="1:33" x14ac:dyDescent="0.25">
      <c r="A195" s="7" t="s">
        <v>651</v>
      </c>
      <c r="B195" s="2" t="s">
        <v>652</v>
      </c>
      <c r="C195" s="1"/>
      <c r="D195">
        <f>_xlfn.IFNA(VLOOKUP(A195,'Prior Year data'!$A$1:$T$318,12,FALSE),0)</f>
        <v>2026586.0053553237</v>
      </c>
      <c r="E195">
        <f>VLOOKUP(A195,'Basic HH'!$B$1:$Y$319,23,FALSE)</f>
        <v>823555.38067352574</v>
      </c>
      <c r="F195">
        <f>VLOOKUP(A195,'Conc. HH'!$B$1:$Y$319,23,FALSE)</f>
        <v>203598.04963984294</v>
      </c>
      <c r="G195">
        <f>VLOOKUP(A195,'Targeted HH'!$B$1:$Y$319,23,FALSE)</f>
        <v>392116.44266631908</v>
      </c>
      <c r="H195">
        <f>VLOOKUP(A195,'EFIG HH'!$B$1:$Y$319,23,FALSE)</f>
        <v>520958.44262796786</v>
      </c>
      <c r="I195">
        <f t="shared" si="46"/>
        <v>1940228.3156076556</v>
      </c>
      <c r="J195">
        <f t="shared" si="47"/>
        <v>0</v>
      </c>
      <c r="K195" s="43">
        <f t="shared" si="48"/>
        <v>1940228.3156076556</v>
      </c>
      <c r="L195">
        <f t="shared" si="49"/>
        <v>0</v>
      </c>
      <c r="M195">
        <f t="shared" si="50"/>
        <v>0</v>
      </c>
      <c r="N195" s="43">
        <f t="shared" si="51"/>
        <v>1940228.3156076556</v>
      </c>
      <c r="O195">
        <f t="shared" si="52"/>
        <v>0</v>
      </c>
      <c r="P195">
        <f t="shared" si="53"/>
        <v>0</v>
      </c>
      <c r="Q195" s="43">
        <f t="shared" si="54"/>
        <v>1940228.3156076556</v>
      </c>
      <c r="R195">
        <f t="shared" si="55"/>
        <v>0</v>
      </c>
      <c r="S195">
        <f t="shared" si="56"/>
        <v>0</v>
      </c>
      <c r="T195" s="43">
        <f t="shared" si="57"/>
        <v>1940228.3156076556</v>
      </c>
      <c r="U195">
        <f t="shared" si="58"/>
        <v>0</v>
      </c>
      <c r="V195">
        <f t="shared" si="59"/>
        <v>0</v>
      </c>
      <c r="W195" s="43">
        <f t="shared" si="60"/>
        <v>1940228.3156076556</v>
      </c>
      <c r="X195" s="43">
        <f t="shared" si="61"/>
        <v>0</v>
      </c>
      <c r="Y195" s="27">
        <f t="shared" si="62"/>
        <v>14853.710997113865</v>
      </c>
      <c r="Z195" s="27">
        <f t="shared" si="63"/>
        <v>1925374.6046105416</v>
      </c>
      <c r="AA195">
        <f t="shared" si="64"/>
        <v>0</v>
      </c>
      <c r="AB195" s="27">
        <f t="shared" si="65"/>
        <v>1925374.6046105416</v>
      </c>
      <c r="AD195" s="27">
        <f t="shared" si="66"/>
        <v>0</v>
      </c>
      <c r="AE195" s="27">
        <f t="shared" si="67"/>
        <v>1925374.6046105416</v>
      </c>
      <c r="AF195" s="50"/>
      <c r="AG195" t="str">
        <f t="shared" si="68"/>
        <v>5399999</v>
      </c>
    </row>
    <row r="196" spans="1:33" x14ac:dyDescent="0.25">
      <c r="A196" s="7" t="s">
        <v>535</v>
      </c>
      <c r="B196" s="2" t="s">
        <v>1034</v>
      </c>
      <c r="C196" s="4" t="s">
        <v>1033</v>
      </c>
      <c r="D196">
        <f>_xlfn.IFNA(VLOOKUP(A196,'Prior Year data'!$A$1:$T$318,12,FALSE),0)</f>
        <v>5756812.3639370287</v>
      </c>
      <c r="E196">
        <f>VLOOKUP(A196,'Basic HH'!$B$1:$Y$319,23,FALSE)</f>
        <v>2769772.9352532197</v>
      </c>
      <c r="F196">
        <f>VLOOKUP(A196,'Conc. HH'!$B$1:$Y$319,23,FALSE)</f>
        <v>745382.6115981366</v>
      </c>
      <c r="G196">
        <f>VLOOKUP(A196,'Targeted HH'!$B$1:$Y$319,23,FALSE)</f>
        <v>2054167.3910023777</v>
      </c>
      <c r="H196">
        <f>VLOOKUP(A196,'EFIG HH'!$B$1:$Y$319,23,FALSE)</f>
        <v>2794770.5271428432</v>
      </c>
      <c r="I196">
        <f t="shared" ref="I196:I259" si="69">SUM(E196:H196)</f>
        <v>8364093.4649965772</v>
      </c>
      <c r="J196">
        <f t="shared" ref="J196:J259" si="70">IF(I196&lt;D196,0,I196)</f>
        <v>8364093.4649965772</v>
      </c>
      <c r="K196" s="43">
        <f t="shared" ref="K196:K259" si="71">IF(J196=0,I196,I196-$K$1*J196/$J$3)</f>
        <v>7601213.8815343874</v>
      </c>
      <c r="L196">
        <f t="shared" ref="L196:L259" si="72">IF($J196=0,0,IF(K196&lt;$D196,$D196-K196,0))</f>
        <v>0</v>
      </c>
      <c r="M196">
        <f t="shared" ref="M196:M259" si="73">IF($J196=0,0,IF(L196&gt;0,0,K196-$D196))</f>
        <v>1844401.5175973587</v>
      </c>
      <c r="N196" s="43">
        <f t="shared" ref="N196:N259" si="74">IF(L196&gt;0,L196+K196,K196-$L$3*M196/$M$3)</f>
        <v>7360134.2594260676</v>
      </c>
      <c r="O196">
        <f t="shared" ref="O196:O259" si="75">IF($J196=0,0,IF(N196&lt;$D196,$D196-N196,0))</f>
        <v>0</v>
      </c>
      <c r="P196">
        <f t="shared" ref="P196:P259" si="76">IF($J196=0,0,IF(O196&gt;0,0,N196-$D196))</f>
        <v>1603321.8954890389</v>
      </c>
      <c r="Q196" s="43">
        <f t="shared" ref="Q196:Q259" si="77">IF(O196&gt;0,O196+N196,N196-$O$3*P196/$P$3)</f>
        <v>7360134.2594260676</v>
      </c>
      <c r="R196">
        <f t="shared" ref="R196:R259" si="78">IF($J196=0,0,IF(Q196&lt;$D196,$D196-Q196,0))</f>
        <v>0</v>
      </c>
      <c r="S196">
        <f t="shared" ref="S196:S259" si="79">IF($J196=0,0,IF(R196&gt;0,0,Q196-$D196))</f>
        <v>1603321.8954890389</v>
      </c>
      <c r="T196" s="43">
        <f t="shared" ref="T196:T259" si="80">IF(R196&gt;0,R196+Q196,Q196-$R$3*S196/$S$3)</f>
        <v>7360134.2594260676</v>
      </c>
      <c r="U196">
        <f t="shared" ref="U196:U259" si="81">IF($J196=0,0,IF(T196&lt;$D196,$D196-T196,0))</f>
        <v>0</v>
      </c>
      <c r="V196">
        <f t="shared" ref="V196:V259" si="82">IF($J196=0,0,IF(U196&gt;0,0,T196-$D196))</f>
        <v>1603321.8954890389</v>
      </c>
      <c r="W196" s="43">
        <f t="shared" ref="W196:W259" si="83">IF(U196&gt;0,U196+T196,T196-$U$3*V196/$V$3)</f>
        <v>7360134.2594260676</v>
      </c>
      <c r="X196" s="43">
        <f t="shared" ref="X196:X259" si="84">I196-W196</f>
        <v>1003959.2055705097</v>
      </c>
      <c r="Y196" s="27">
        <f t="shared" ref="Y196:Y259" si="85">W196/$W$3*$Y$1</f>
        <v>56346.619781823021</v>
      </c>
      <c r="Z196" s="27">
        <f t="shared" ref="Z196:Z259" si="86">W196-Y196</f>
        <v>7303787.6396442447</v>
      </c>
      <c r="AA196">
        <f t="shared" ref="AA196:AA259" si="87">Z196/$Z$3*$AA$1</f>
        <v>0</v>
      </c>
      <c r="AB196" s="27">
        <f t="shared" ref="AB196:AB259" si="88">Z196-AA196</f>
        <v>7303787.6396442447</v>
      </c>
      <c r="AD196" s="27">
        <f t="shared" ref="AD196:AD259" si="89">IF(AC196&gt;0,AC196*AB196,0)</f>
        <v>0</v>
      </c>
      <c r="AE196" s="27">
        <f t="shared" ref="AE196:AE259" si="90">AB196-AD196</f>
        <v>7303787.6396442447</v>
      </c>
      <c r="AF196" s="50"/>
      <c r="AG196" t="str">
        <f t="shared" ref="AG196:AG259" si="91">A196</f>
        <v>5306570</v>
      </c>
    </row>
    <row r="197" spans="1:33" x14ac:dyDescent="0.25">
      <c r="A197" s="7" t="s">
        <v>537</v>
      </c>
      <c r="B197" s="2" t="s">
        <v>1036</v>
      </c>
      <c r="C197" s="4" t="s">
        <v>1035</v>
      </c>
      <c r="D197">
        <f>_xlfn.IFNA(VLOOKUP(A197,'Prior Year data'!$A$1:$T$318,12,FALSE),0)</f>
        <v>120819.74557554601</v>
      </c>
      <c r="E197">
        <f>VLOOKUP(A197,'Basic HH'!$B$1:$Y$319,23,FALSE)</f>
        <v>39952.823775995013</v>
      </c>
      <c r="F197">
        <f>VLOOKUP(A197,'Conc. HH'!$B$1:$Y$319,23,FALSE)</f>
        <v>10751.834472723202</v>
      </c>
      <c r="G197">
        <f>VLOOKUP(A197,'Targeted HH'!$B$1:$Y$319,23,FALSE)</f>
        <v>25165.088982035701</v>
      </c>
      <c r="H197">
        <f>VLOOKUP(A197,'EFIG HH'!$B$1:$Y$319,23,FALSE)</f>
        <v>34082.259079083764</v>
      </c>
      <c r="I197">
        <f t="shared" si="69"/>
        <v>109952.00630983768</v>
      </c>
      <c r="J197">
        <f t="shared" si="70"/>
        <v>0</v>
      </c>
      <c r="K197" s="43">
        <f t="shared" si="71"/>
        <v>109952.00630983768</v>
      </c>
      <c r="L197">
        <f t="shared" si="72"/>
        <v>0</v>
      </c>
      <c r="M197">
        <f t="shared" si="73"/>
        <v>0</v>
      </c>
      <c r="N197" s="43">
        <f t="shared" si="74"/>
        <v>109952.00630983768</v>
      </c>
      <c r="O197">
        <f t="shared" si="75"/>
        <v>0</v>
      </c>
      <c r="P197">
        <f t="shared" si="76"/>
        <v>0</v>
      </c>
      <c r="Q197" s="43">
        <f t="shared" si="77"/>
        <v>109952.00630983768</v>
      </c>
      <c r="R197">
        <f t="shared" si="78"/>
        <v>0</v>
      </c>
      <c r="S197">
        <f t="shared" si="79"/>
        <v>0</v>
      </c>
      <c r="T197" s="43">
        <f t="shared" si="80"/>
        <v>109952.00630983768</v>
      </c>
      <c r="U197">
        <f t="shared" si="81"/>
        <v>0</v>
      </c>
      <c r="V197">
        <f t="shared" si="82"/>
        <v>0</v>
      </c>
      <c r="W197" s="43">
        <f t="shared" si="83"/>
        <v>109952.00630983768</v>
      </c>
      <c r="X197" s="43">
        <f t="shared" si="84"/>
        <v>0</v>
      </c>
      <c r="Y197" s="27">
        <f t="shared" si="85"/>
        <v>841.75419570024803</v>
      </c>
      <c r="Z197" s="27">
        <f t="shared" si="86"/>
        <v>109110.25211413743</v>
      </c>
      <c r="AA197">
        <f t="shared" si="87"/>
        <v>0</v>
      </c>
      <c r="AB197" s="27">
        <f t="shared" si="88"/>
        <v>109110.25211413743</v>
      </c>
      <c r="AD197" s="27">
        <f t="shared" si="89"/>
        <v>0</v>
      </c>
      <c r="AE197" s="27">
        <f t="shared" si="90"/>
        <v>109110.25211413743</v>
      </c>
      <c r="AF197" s="50"/>
      <c r="AG197" t="str">
        <f t="shared" si="91"/>
        <v>5306600</v>
      </c>
    </row>
    <row r="198" spans="1:33" x14ac:dyDescent="0.25">
      <c r="A198" s="7" t="s">
        <v>191</v>
      </c>
      <c r="B198" s="2" t="s">
        <v>1038</v>
      </c>
      <c r="C198" s="4" t="s">
        <v>1037</v>
      </c>
      <c r="D198">
        <f>_xlfn.IFNA(VLOOKUP(A198,'Prior Year data'!$A$1:$T$318,12,FALSE),0)</f>
        <v>0</v>
      </c>
      <c r="E198">
        <f>VLOOKUP(A198,'Basic HH'!$B$1:$Y$319,23,FALSE)</f>
        <v>0</v>
      </c>
      <c r="F198">
        <f>VLOOKUP(A198,'Conc. HH'!$B$1:$Y$319,23,FALSE)</f>
        <v>0</v>
      </c>
      <c r="G198">
        <f>VLOOKUP(A198,'Targeted HH'!$B$1:$Y$319,23,FALSE)</f>
        <v>0</v>
      </c>
      <c r="H198">
        <f>VLOOKUP(A198,'EFIG HH'!$B$1:$Y$319,23,FALSE)</f>
        <v>0</v>
      </c>
      <c r="I198">
        <f t="shared" si="69"/>
        <v>0</v>
      </c>
      <c r="J198">
        <f t="shared" si="70"/>
        <v>0</v>
      </c>
      <c r="K198" s="43">
        <f t="shared" si="71"/>
        <v>0</v>
      </c>
      <c r="L198">
        <f t="shared" si="72"/>
        <v>0</v>
      </c>
      <c r="M198">
        <f t="shared" si="73"/>
        <v>0</v>
      </c>
      <c r="N198" s="43">
        <f t="shared" si="74"/>
        <v>0</v>
      </c>
      <c r="O198">
        <f t="shared" si="75"/>
        <v>0</v>
      </c>
      <c r="P198">
        <f t="shared" si="76"/>
        <v>0</v>
      </c>
      <c r="Q198" s="43">
        <f t="shared" si="77"/>
        <v>0</v>
      </c>
      <c r="R198">
        <f t="shared" si="78"/>
        <v>0</v>
      </c>
      <c r="S198">
        <f t="shared" si="79"/>
        <v>0</v>
      </c>
      <c r="T198" s="43">
        <f t="shared" si="80"/>
        <v>0</v>
      </c>
      <c r="U198">
        <f t="shared" si="81"/>
        <v>0</v>
      </c>
      <c r="V198">
        <f t="shared" si="82"/>
        <v>0</v>
      </c>
      <c r="W198" s="43">
        <f t="shared" si="83"/>
        <v>0</v>
      </c>
      <c r="X198" s="43">
        <f t="shared" si="84"/>
        <v>0</v>
      </c>
      <c r="Y198" s="27">
        <f t="shared" si="85"/>
        <v>0</v>
      </c>
      <c r="Z198" s="27">
        <f t="shared" si="86"/>
        <v>0</v>
      </c>
      <c r="AA198">
        <f t="shared" si="87"/>
        <v>0</v>
      </c>
      <c r="AB198" s="27">
        <f t="shared" si="88"/>
        <v>0</v>
      </c>
      <c r="AD198" s="27">
        <f t="shared" si="89"/>
        <v>0</v>
      </c>
      <c r="AE198" s="27">
        <f t="shared" si="90"/>
        <v>0</v>
      </c>
      <c r="AF198" s="50"/>
      <c r="AG198" t="str">
        <f t="shared" si="91"/>
        <v>5306630</v>
      </c>
    </row>
    <row r="199" spans="1:33" x14ac:dyDescent="0.25">
      <c r="A199" s="7" t="s">
        <v>294</v>
      </c>
      <c r="B199" s="2" t="s">
        <v>1040</v>
      </c>
      <c r="C199" s="4" t="s">
        <v>1039</v>
      </c>
      <c r="D199">
        <f>_xlfn.IFNA(VLOOKUP(A199,'Prior Year data'!$A$1:$T$318,12,FALSE),0)</f>
        <v>57656.575557054799</v>
      </c>
      <c r="E199">
        <f>VLOOKUP(A199,'Basic HH'!$B$1:$Y$319,23,FALSE)</f>
        <v>23858.408552341083</v>
      </c>
      <c r="F199">
        <f>VLOOKUP(A199,'Conc. HH'!$B$1:$Y$319,23,FALSE)</f>
        <v>0</v>
      </c>
      <c r="G199">
        <f>VLOOKUP(A199,'Targeted HH'!$B$1:$Y$319,23,FALSE)</f>
        <v>10844.106621815814</v>
      </c>
      <c r="H199">
        <f>VLOOKUP(A199,'EFIG HH'!$B$1:$Y$319,23,FALSE)</f>
        <v>14686.681681506079</v>
      </c>
      <c r="I199">
        <f t="shared" si="69"/>
        <v>49389.19685566298</v>
      </c>
      <c r="J199">
        <f t="shared" si="70"/>
        <v>0</v>
      </c>
      <c r="K199" s="43">
        <f t="shared" si="71"/>
        <v>49389.19685566298</v>
      </c>
      <c r="L199">
        <f t="shared" si="72"/>
        <v>0</v>
      </c>
      <c r="M199">
        <f t="shared" si="73"/>
        <v>0</v>
      </c>
      <c r="N199" s="43">
        <f t="shared" si="74"/>
        <v>49389.19685566298</v>
      </c>
      <c r="O199">
        <f t="shared" si="75"/>
        <v>0</v>
      </c>
      <c r="P199">
        <f t="shared" si="76"/>
        <v>0</v>
      </c>
      <c r="Q199" s="43">
        <f t="shared" si="77"/>
        <v>49389.19685566298</v>
      </c>
      <c r="R199">
        <f t="shared" si="78"/>
        <v>0</v>
      </c>
      <c r="S199">
        <f t="shared" si="79"/>
        <v>0</v>
      </c>
      <c r="T199" s="43">
        <f t="shared" si="80"/>
        <v>49389.19685566298</v>
      </c>
      <c r="U199">
        <f t="shared" si="81"/>
        <v>0</v>
      </c>
      <c r="V199">
        <f t="shared" si="82"/>
        <v>0</v>
      </c>
      <c r="W199" s="43">
        <f t="shared" si="83"/>
        <v>49389.19685566298</v>
      </c>
      <c r="X199" s="43">
        <f t="shared" si="84"/>
        <v>0</v>
      </c>
      <c r="Y199" s="27">
        <f t="shared" si="85"/>
        <v>378.10645817929128</v>
      </c>
      <c r="Z199" s="27">
        <f t="shared" si="86"/>
        <v>49011.090397483691</v>
      </c>
      <c r="AA199">
        <f t="shared" si="87"/>
        <v>0</v>
      </c>
      <c r="AB199" s="27">
        <f t="shared" si="88"/>
        <v>49011.090397483691</v>
      </c>
      <c r="AD199" s="27">
        <f t="shared" si="89"/>
        <v>0</v>
      </c>
      <c r="AE199" s="27">
        <f t="shared" si="90"/>
        <v>49011.090397483691</v>
      </c>
      <c r="AF199" s="50"/>
      <c r="AG199" t="str">
        <f t="shared" si="91"/>
        <v>5306660</v>
      </c>
    </row>
    <row r="200" spans="1:33" x14ac:dyDescent="0.25">
      <c r="A200" s="7" t="s">
        <v>193</v>
      </c>
      <c r="B200" s="2" t="s">
        <v>1042</v>
      </c>
      <c r="C200" s="4" t="s">
        <v>1041</v>
      </c>
      <c r="D200">
        <f>_xlfn.IFNA(VLOOKUP(A200,'Prior Year data'!$A$1:$T$318,12,FALSE),0)</f>
        <v>455781.54509891698</v>
      </c>
      <c r="E200">
        <f>VLOOKUP(A200,'Basic HH'!$B$1:$Y$319,23,FALSE)</f>
        <v>452509.15624550893</v>
      </c>
      <c r="F200">
        <f>VLOOKUP(A200,'Conc. HH'!$B$1:$Y$319,23,FALSE)</f>
        <v>0</v>
      </c>
      <c r="G200">
        <f>VLOOKUP(A200,'Targeted HH'!$B$1:$Y$319,23,FALSE)</f>
        <v>0</v>
      </c>
      <c r="H200">
        <f>VLOOKUP(A200,'EFIG HH'!$B$1:$Y$319,23,FALSE)</f>
        <v>0</v>
      </c>
      <c r="I200">
        <f t="shared" si="69"/>
        <v>452509.15624550893</v>
      </c>
      <c r="J200">
        <f t="shared" si="70"/>
        <v>0</v>
      </c>
      <c r="K200" s="43">
        <f t="shared" si="71"/>
        <v>452509.15624550893</v>
      </c>
      <c r="L200">
        <f t="shared" si="72"/>
        <v>0</v>
      </c>
      <c r="M200">
        <f t="shared" si="73"/>
        <v>0</v>
      </c>
      <c r="N200" s="43">
        <f t="shared" si="74"/>
        <v>452509.15624550893</v>
      </c>
      <c r="O200">
        <f t="shared" si="75"/>
        <v>0</v>
      </c>
      <c r="P200">
        <f t="shared" si="76"/>
        <v>0</v>
      </c>
      <c r="Q200" s="43">
        <f t="shared" si="77"/>
        <v>452509.15624550893</v>
      </c>
      <c r="R200">
        <f t="shared" si="78"/>
        <v>0</v>
      </c>
      <c r="S200">
        <f t="shared" si="79"/>
        <v>0</v>
      </c>
      <c r="T200" s="43">
        <f t="shared" si="80"/>
        <v>452509.15624550893</v>
      </c>
      <c r="U200">
        <f t="shared" si="81"/>
        <v>0</v>
      </c>
      <c r="V200">
        <f t="shared" si="82"/>
        <v>0</v>
      </c>
      <c r="W200" s="43">
        <f t="shared" si="83"/>
        <v>452509.15624550893</v>
      </c>
      <c r="X200" s="43">
        <f t="shared" si="84"/>
        <v>0</v>
      </c>
      <c r="Y200" s="27">
        <f t="shared" si="85"/>
        <v>3464.2522100877391</v>
      </c>
      <c r="Z200" s="27">
        <f t="shared" si="86"/>
        <v>449044.9040354212</v>
      </c>
      <c r="AA200">
        <f t="shared" si="87"/>
        <v>0</v>
      </c>
      <c r="AB200" s="27">
        <f t="shared" si="88"/>
        <v>449044.9040354212</v>
      </c>
      <c r="AD200" s="27">
        <f t="shared" si="89"/>
        <v>0</v>
      </c>
      <c r="AE200" s="27">
        <f t="shared" si="90"/>
        <v>449044.9040354212</v>
      </c>
      <c r="AF200" s="50"/>
      <c r="AG200" t="str">
        <f t="shared" si="91"/>
        <v>5306690</v>
      </c>
    </row>
    <row r="201" spans="1:33" x14ac:dyDescent="0.25">
      <c r="A201" s="7" t="s">
        <v>83</v>
      </c>
      <c r="B201" s="2" t="s">
        <v>1043</v>
      </c>
      <c r="C201" s="4" t="s">
        <v>52</v>
      </c>
      <c r="D201">
        <f>_xlfn.IFNA(VLOOKUP(A201,'Prior Year data'!$A$1:$T$318,12,FALSE),0)</f>
        <v>52359.013407534097</v>
      </c>
      <c r="E201">
        <f>VLOOKUP(A201,'Basic HH'!$B$1:$Y$319,23,FALSE)</f>
        <v>20455.549006720295</v>
      </c>
      <c r="F201">
        <f>VLOOKUP(A201,'Conc. HH'!$B$1:$Y$319,23,FALSE)</f>
        <v>0</v>
      </c>
      <c r="G201">
        <f>VLOOKUP(A201,'Targeted HH'!$B$1:$Y$319,23,FALSE)</f>
        <v>11662.364280849253</v>
      </c>
      <c r="H201">
        <f>VLOOKUP(A201,'EFIG HH'!$B$1:$Y$319,23,FALSE)</f>
        <v>15867.07690506962</v>
      </c>
      <c r="I201">
        <f t="shared" si="69"/>
        <v>47984.990192639169</v>
      </c>
      <c r="J201">
        <f t="shared" si="70"/>
        <v>0</v>
      </c>
      <c r="K201" s="43">
        <f t="shared" si="71"/>
        <v>47984.990192639169</v>
      </c>
      <c r="L201">
        <f t="shared" si="72"/>
        <v>0</v>
      </c>
      <c r="M201">
        <f t="shared" si="73"/>
        <v>0</v>
      </c>
      <c r="N201" s="43">
        <f t="shared" si="74"/>
        <v>47984.990192639169</v>
      </c>
      <c r="O201">
        <f t="shared" si="75"/>
        <v>0</v>
      </c>
      <c r="P201">
        <f t="shared" si="76"/>
        <v>0</v>
      </c>
      <c r="Q201" s="43">
        <f t="shared" si="77"/>
        <v>47984.990192639169</v>
      </c>
      <c r="R201">
        <f t="shared" si="78"/>
        <v>0</v>
      </c>
      <c r="S201">
        <f t="shared" si="79"/>
        <v>0</v>
      </c>
      <c r="T201" s="43">
        <f t="shared" si="80"/>
        <v>47984.990192639169</v>
      </c>
      <c r="U201">
        <f t="shared" si="81"/>
        <v>0</v>
      </c>
      <c r="V201">
        <f t="shared" si="82"/>
        <v>0</v>
      </c>
      <c r="W201" s="43">
        <f t="shared" si="83"/>
        <v>47984.990192639169</v>
      </c>
      <c r="X201" s="43">
        <f t="shared" si="84"/>
        <v>0</v>
      </c>
      <c r="Y201" s="27">
        <f t="shared" si="85"/>
        <v>367.35634192493438</v>
      </c>
      <c r="Z201" s="27">
        <f t="shared" si="86"/>
        <v>47617.633850714235</v>
      </c>
      <c r="AA201">
        <f t="shared" si="87"/>
        <v>0</v>
      </c>
      <c r="AB201" s="27">
        <f t="shared" si="88"/>
        <v>47617.633850714235</v>
      </c>
      <c r="AD201" s="27">
        <f t="shared" si="89"/>
        <v>0</v>
      </c>
      <c r="AE201" s="27">
        <f t="shared" si="90"/>
        <v>47617.633850714235</v>
      </c>
      <c r="AF201" s="50"/>
      <c r="AG201" t="str">
        <f t="shared" si="91"/>
        <v>5306770</v>
      </c>
    </row>
    <row r="202" spans="1:33" x14ac:dyDescent="0.25">
      <c r="A202" s="7" t="s">
        <v>539</v>
      </c>
      <c r="B202" s="2" t="s">
        <v>1045</v>
      </c>
      <c r="C202" s="4" t="s">
        <v>1044</v>
      </c>
      <c r="D202">
        <f>_xlfn.IFNA(VLOOKUP(A202,'Prior Year data'!$A$1:$T$318,12,FALSE),0)</f>
        <v>419000.98514274723</v>
      </c>
      <c r="E202">
        <f>VLOOKUP(A202,'Basic HH'!$B$1:$Y$319,23,FALSE)</f>
        <v>150257.3589836334</v>
      </c>
      <c r="F202">
        <f>VLOOKUP(A202,'Conc. HH'!$B$1:$Y$319,23,FALSE)</f>
        <v>38067.047760051493</v>
      </c>
      <c r="G202">
        <f>VLOOKUP(A202,'Targeted HH'!$B$1:$Y$319,23,FALSE)</f>
        <v>73775.444403139627</v>
      </c>
      <c r="H202">
        <f>VLOOKUP(A202,'EFIG HH'!$B$1:$Y$319,23,FALSE)</f>
        <v>101731.44377278694</v>
      </c>
      <c r="I202">
        <f t="shared" si="69"/>
        <v>363831.29491961148</v>
      </c>
      <c r="J202">
        <f t="shared" si="70"/>
        <v>0</v>
      </c>
      <c r="K202" s="43">
        <f t="shared" si="71"/>
        <v>363831.29491961148</v>
      </c>
      <c r="L202">
        <f t="shared" si="72"/>
        <v>0</v>
      </c>
      <c r="M202">
        <f t="shared" si="73"/>
        <v>0</v>
      </c>
      <c r="N202" s="43">
        <f t="shared" si="74"/>
        <v>363831.29491961148</v>
      </c>
      <c r="O202">
        <f t="shared" si="75"/>
        <v>0</v>
      </c>
      <c r="P202">
        <f t="shared" si="76"/>
        <v>0</v>
      </c>
      <c r="Q202" s="43">
        <f t="shared" si="77"/>
        <v>363831.29491961148</v>
      </c>
      <c r="R202">
        <f t="shared" si="78"/>
        <v>0</v>
      </c>
      <c r="S202">
        <f t="shared" si="79"/>
        <v>0</v>
      </c>
      <c r="T202" s="43">
        <f t="shared" si="80"/>
        <v>363831.29491961148</v>
      </c>
      <c r="U202">
        <f t="shared" si="81"/>
        <v>0</v>
      </c>
      <c r="V202">
        <f t="shared" si="82"/>
        <v>0</v>
      </c>
      <c r="W202" s="43">
        <f t="shared" si="83"/>
        <v>363831.29491961148</v>
      </c>
      <c r="X202" s="43">
        <f t="shared" si="84"/>
        <v>0</v>
      </c>
      <c r="Y202" s="27">
        <f t="shared" si="85"/>
        <v>2785.3654453801064</v>
      </c>
      <c r="Z202" s="27">
        <f t="shared" si="86"/>
        <v>361045.92947423138</v>
      </c>
      <c r="AA202">
        <f t="shared" si="87"/>
        <v>0</v>
      </c>
      <c r="AB202" s="27">
        <f t="shared" si="88"/>
        <v>361045.92947423138</v>
      </c>
      <c r="AD202" s="27">
        <f t="shared" si="89"/>
        <v>0</v>
      </c>
      <c r="AE202" s="27">
        <f t="shared" si="90"/>
        <v>361045.92947423138</v>
      </c>
      <c r="AF202" s="50"/>
      <c r="AG202" t="str">
        <f t="shared" si="91"/>
        <v>5306750</v>
      </c>
    </row>
    <row r="203" spans="1:33" x14ac:dyDescent="0.25">
      <c r="A203" s="7" t="s">
        <v>541</v>
      </c>
      <c r="B203" s="2" t="s">
        <v>1047</v>
      </c>
      <c r="C203" s="4" t="s">
        <v>1046</v>
      </c>
      <c r="D203">
        <f>_xlfn.IFNA(VLOOKUP(A203,'Prior Year data'!$A$1:$T$318,12,FALSE),0)</f>
        <v>118619.74656570303</v>
      </c>
      <c r="E203">
        <f>VLOOKUP(A203,'Basic HH'!$B$1:$Y$319,23,FALSE)</f>
        <v>51243.839190950115</v>
      </c>
      <c r="F203">
        <f>VLOOKUP(A203,'Conc. HH'!$B$1:$Y$319,23,FALSE)</f>
        <v>13790.396388927584</v>
      </c>
      <c r="G203">
        <f>VLOOKUP(A203,'Targeted HH'!$B$1:$Y$319,23,FALSE)</f>
        <v>25816.25420045463</v>
      </c>
      <c r="H203">
        <f>VLOOKUP(A203,'EFIG HH'!$B$1:$Y$319,23,FALSE)</f>
        <v>35484.907297151942</v>
      </c>
      <c r="I203">
        <f t="shared" si="69"/>
        <v>126335.39707748426</v>
      </c>
      <c r="J203">
        <f t="shared" si="70"/>
        <v>126335.39707748426</v>
      </c>
      <c r="K203" s="43">
        <f t="shared" si="71"/>
        <v>114812.48721255474</v>
      </c>
      <c r="L203">
        <f t="shared" si="72"/>
        <v>3807.2593531482853</v>
      </c>
      <c r="M203">
        <f t="shared" si="73"/>
        <v>0</v>
      </c>
      <c r="N203" s="43">
        <f t="shared" si="74"/>
        <v>118619.74656570303</v>
      </c>
      <c r="O203">
        <f t="shared" si="75"/>
        <v>0</v>
      </c>
      <c r="P203">
        <f t="shared" si="76"/>
        <v>0</v>
      </c>
      <c r="Q203" s="43">
        <f t="shared" si="77"/>
        <v>118619.74656570303</v>
      </c>
      <c r="R203">
        <f t="shared" si="78"/>
        <v>0</v>
      </c>
      <c r="S203">
        <f t="shared" si="79"/>
        <v>0</v>
      </c>
      <c r="T203" s="43">
        <f t="shared" si="80"/>
        <v>118619.74656570303</v>
      </c>
      <c r="U203">
        <f t="shared" si="81"/>
        <v>0</v>
      </c>
      <c r="V203">
        <f t="shared" si="82"/>
        <v>0</v>
      </c>
      <c r="W203" s="43">
        <f t="shared" si="83"/>
        <v>118619.74656570303</v>
      </c>
      <c r="X203" s="43">
        <f t="shared" si="84"/>
        <v>7715.6505117812339</v>
      </c>
      <c r="Y203" s="27">
        <f t="shared" si="85"/>
        <v>908.11139073909646</v>
      </c>
      <c r="Z203" s="27">
        <f t="shared" si="86"/>
        <v>117711.63517496393</v>
      </c>
      <c r="AA203">
        <f t="shared" si="87"/>
        <v>0</v>
      </c>
      <c r="AB203" s="27">
        <f t="shared" si="88"/>
        <v>117711.63517496393</v>
      </c>
      <c r="AD203" s="27">
        <f t="shared" si="89"/>
        <v>0</v>
      </c>
      <c r="AE203" s="27">
        <f t="shared" si="90"/>
        <v>117711.63517496393</v>
      </c>
      <c r="AF203" s="50"/>
      <c r="AG203" t="str">
        <f t="shared" si="91"/>
        <v>5306780</v>
      </c>
    </row>
    <row r="204" spans="1:33" x14ac:dyDescent="0.25">
      <c r="A204" s="7" t="s">
        <v>543</v>
      </c>
      <c r="B204" s="2" t="s">
        <v>1049</v>
      </c>
      <c r="C204" s="4" t="s">
        <v>1048</v>
      </c>
      <c r="D204">
        <f>_xlfn.IFNA(VLOOKUP(A204,'Prior Year data'!$A$1:$T$318,12,FALSE),0)</f>
        <v>1211432.8899039363</v>
      </c>
      <c r="E204">
        <f>VLOOKUP(A204,'Basic HH'!$B$1:$Y$319,23,FALSE)</f>
        <v>525466.48661906458</v>
      </c>
      <c r="F204">
        <f>VLOOKUP(A204,'Conc. HH'!$B$1:$Y$319,23,FALSE)</f>
        <v>108605.78014303076</v>
      </c>
      <c r="G204">
        <f>VLOOKUP(A204,'Targeted HH'!$B$1:$Y$319,23,FALSE)</f>
        <v>253549.17301977734</v>
      </c>
      <c r="H204">
        <f>VLOOKUP(A204,'EFIG HH'!$B$1:$Y$319,23,FALSE)</f>
        <v>344963.00498243805</v>
      </c>
      <c r="I204">
        <f t="shared" si="69"/>
        <v>1232584.444764311</v>
      </c>
      <c r="J204">
        <f t="shared" si="70"/>
        <v>1232584.444764311</v>
      </c>
      <c r="K204" s="43">
        <f t="shared" si="71"/>
        <v>1120161.800070185</v>
      </c>
      <c r="L204">
        <f t="shared" si="72"/>
        <v>91271.089833751321</v>
      </c>
      <c r="M204">
        <f t="shared" si="73"/>
        <v>0</v>
      </c>
      <c r="N204" s="43">
        <f t="shared" si="74"/>
        <v>1211432.8899039363</v>
      </c>
      <c r="O204">
        <f t="shared" si="75"/>
        <v>0</v>
      </c>
      <c r="P204">
        <f t="shared" si="76"/>
        <v>0</v>
      </c>
      <c r="Q204" s="43">
        <f t="shared" si="77"/>
        <v>1211432.8899039363</v>
      </c>
      <c r="R204">
        <f t="shared" si="78"/>
        <v>0</v>
      </c>
      <c r="S204">
        <f t="shared" si="79"/>
        <v>0</v>
      </c>
      <c r="T204" s="43">
        <f t="shared" si="80"/>
        <v>1211432.8899039363</v>
      </c>
      <c r="U204">
        <f t="shared" si="81"/>
        <v>0</v>
      </c>
      <c r="V204">
        <f t="shared" si="82"/>
        <v>0</v>
      </c>
      <c r="W204" s="43">
        <f t="shared" si="83"/>
        <v>1211432.8899039363</v>
      </c>
      <c r="X204" s="43">
        <f t="shared" si="84"/>
        <v>21151.554860374657</v>
      </c>
      <c r="Y204" s="27">
        <f t="shared" si="85"/>
        <v>9274.3075102457442</v>
      </c>
      <c r="Z204" s="27">
        <f t="shared" si="86"/>
        <v>1202158.5823936905</v>
      </c>
      <c r="AA204">
        <f t="shared" si="87"/>
        <v>0</v>
      </c>
      <c r="AB204" s="27">
        <f t="shared" si="88"/>
        <v>1202158.5823936905</v>
      </c>
      <c r="AD204" s="27">
        <f t="shared" si="89"/>
        <v>0</v>
      </c>
      <c r="AE204" s="27">
        <f t="shared" si="90"/>
        <v>1202158.5823936905</v>
      </c>
      <c r="AF204" s="50"/>
      <c r="AG204" t="str">
        <f t="shared" si="91"/>
        <v>5306820</v>
      </c>
    </row>
    <row r="205" spans="1:33" x14ac:dyDescent="0.25">
      <c r="A205" s="7" t="s">
        <v>545</v>
      </c>
      <c r="B205" s="2" t="s">
        <v>1051</v>
      </c>
      <c r="C205" s="4" t="s">
        <v>1050</v>
      </c>
      <c r="D205">
        <f>_xlfn.IFNA(VLOOKUP(A205,'Prior Year data'!$A$1:$T$318,12,FALSE),0)</f>
        <v>475472.79366118135</v>
      </c>
      <c r="E205">
        <f>VLOOKUP(A205,'Basic HH'!$B$1:$Y$319,23,FALSE)</f>
        <v>196289.96029075808</v>
      </c>
      <c r="F205">
        <f>VLOOKUP(A205,'Conc. HH'!$B$1:$Y$319,23,FALSE)</f>
        <v>52824.230235553136</v>
      </c>
      <c r="G205">
        <f>VLOOKUP(A205,'Targeted HH'!$B$1:$Y$319,23,FALSE)</f>
        <v>101843.2639626708</v>
      </c>
      <c r="H205">
        <f>VLOOKUP(A205,'EFIG HH'!$B$1:$Y$319,23,FALSE)</f>
        <v>138561.51828600993</v>
      </c>
      <c r="I205">
        <f t="shared" si="69"/>
        <v>489518.972774992</v>
      </c>
      <c r="J205">
        <f t="shared" si="70"/>
        <v>489518.972774992</v>
      </c>
      <c r="K205" s="43">
        <f t="shared" si="71"/>
        <v>444870.49633097876</v>
      </c>
      <c r="L205">
        <f t="shared" si="72"/>
        <v>30602.297330202593</v>
      </c>
      <c r="M205">
        <f t="shared" si="73"/>
        <v>0</v>
      </c>
      <c r="N205" s="43">
        <f t="shared" si="74"/>
        <v>475472.79366118135</v>
      </c>
      <c r="O205">
        <f t="shared" si="75"/>
        <v>0</v>
      </c>
      <c r="P205">
        <f t="shared" si="76"/>
        <v>0</v>
      </c>
      <c r="Q205" s="43">
        <f t="shared" si="77"/>
        <v>475472.79366118135</v>
      </c>
      <c r="R205">
        <f t="shared" si="78"/>
        <v>0</v>
      </c>
      <c r="S205">
        <f t="shared" si="79"/>
        <v>0</v>
      </c>
      <c r="T205" s="43">
        <f t="shared" si="80"/>
        <v>475472.79366118135</v>
      </c>
      <c r="U205">
        <f t="shared" si="81"/>
        <v>0</v>
      </c>
      <c r="V205">
        <f t="shared" si="82"/>
        <v>0</v>
      </c>
      <c r="W205" s="43">
        <f t="shared" si="83"/>
        <v>475472.79366118135</v>
      </c>
      <c r="X205" s="43">
        <f t="shared" si="84"/>
        <v>14046.179113810649</v>
      </c>
      <c r="Y205" s="27">
        <f t="shared" si="85"/>
        <v>3640.0538056376331</v>
      </c>
      <c r="Z205" s="27">
        <f t="shared" si="86"/>
        <v>471832.73985554371</v>
      </c>
      <c r="AA205">
        <f t="shared" si="87"/>
        <v>0</v>
      </c>
      <c r="AB205" s="27">
        <f t="shared" si="88"/>
        <v>471832.73985554371</v>
      </c>
      <c r="AD205" s="27">
        <f t="shared" si="89"/>
        <v>0</v>
      </c>
      <c r="AE205" s="27">
        <f t="shared" si="90"/>
        <v>471832.73985554371</v>
      </c>
      <c r="AF205" s="50"/>
      <c r="AG205" t="str">
        <f t="shared" si="91"/>
        <v>5306840</v>
      </c>
    </row>
    <row r="206" spans="1:33" x14ac:dyDescent="0.25">
      <c r="A206" s="7" t="s">
        <v>547</v>
      </c>
      <c r="B206" s="2" t="s">
        <v>1053</v>
      </c>
      <c r="C206" s="4" t="s">
        <v>1052</v>
      </c>
      <c r="D206">
        <f>_xlfn.IFNA(VLOOKUP(A206,'Prior Year data'!$A$1:$T$318,12,FALSE),0)</f>
        <v>80988.063601167261</v>
      </c>
      <c r="E206">
        <f>VLOOKUP(A206,'Basic HH'!$B$1:$Y$319,23,FALSE)</f>
        <v>57323.616722079794</v>
      </c>
      <c r="F206">
        <f>VLOOKUP(A206,'Conc. HH'!$B$1:$Y$319,23,FALSE)</f>
        <v>15426.545113037637</v>
      </c>
      <c r="G206">
        <f>VLOOKUP(A206,'Targeted HH'!$B$1:$Y$319,23,FALSE)</f>
        <v>31461.010022607239</v>
      </c>
      <c r="H206">
        <f>VLOOKUP(A206,'EFIG HH'!$B$1:$Y$319,23,FALSE)</f>
        <v>42803.864938398525</v>
      </c>
      <c r="I206">
        <f t="shared" si="69"/>
        <v>147015.0367961232</v>
      </c>
      <c r="J206">
        <f t="shared" si="70"/>
        <v>147015.0367961232</v>
      </c>
      <c r="K206" s="43">
        <f t="shared" si="71"/>
        <v>133605.9601875142</v>
      </c>
      <c r="L206">
        <f t="shared" si="72"/>
        <v>0</v>
      </c>
      <c r="M206">
        <f t="shared" si="73"/>
        <v>52617.896586346935</v>
      </c>
      <c r="N206" s="43">
        <f t="shared" si="74"/>
        <v>126728.33484176212</v>
      </c>
      <c r="O206">
        <f t="shared" si="75"/>
        <v>0</v>
      </c>
      <c r="P206">
        <f t="shared" si="76"/>
        <v>45740.271240594855</v>
      </c>
      <c r="Q206" s="43">
        <f t="shared" si="77"/>
        <v>126728.33484176212</v>
      </c>
      <c r="R206">
        <f t="shared" si="78"/>
        <v>0</v>
      </c>
      <c r="S206">
        <f t="shared" si="79"/>
        <v>45740.271240594855</v>
      </c>
      <c r="T206" s="43">
        <f t="shared" si="80"/>
        <v>126728.33484176212</v>
      </c>
      <c r="U206">
        <f t="shared" si="81"/>
        <v>0</v>
      </c>
      <c r="V206">
        <f t="shared" si="82"/>
        <v>45740.271240594855</v>
      </c>
      <c r="W206" s="43">
        <f t="shared" si="83"/>
        <v>126728.33484176212</v>
      </c>
      <c r="X206" s="43">
        <f t="shared" si="84"/>
        <v>20286.70195436108</v>
      </c>
      <c r="Y206" s="27">
        <f t="shared" si="85"/>
        <v>970.18791332063927</v>
      </c>
      <c r="Z206" s="27">
        <f t="shared" si="86"/>
        <v>125758.14692844148</v>
      </c>
      <c r="AA206">
        <f t="shared" si="87"/>
        <v>0</v>
      </c>
      <c r="AB206" s="27">
        <f t="shared" si="88"/>
        <v>125758.14692844148</v>
      </c>
      <c r="AD206" s="27">
        <f t="shared" si="89"/>
        <v>0</v>
      </c>
      <c r="AE206" s="27">
        <f t="shared" si="90"/>
        <v>125758.14692844148</v>
      </c>
      <c r="AF206" s="50"/>
      <c r="AG206" t="str">
        <f t="shared" si="91"/>
        <v>5306870</v>
      </c>
    </row>
    <row r="207" spans="1:33" x14ac:dyDescent="0.25">
      <c r="A207" s="7" t="s">
        <v>77</v>
      </c>
      <c r="B207" s="2" t="s">
        <v>1054</v>
      </c>
      <c r="C207" s="4" t="s">
        <v>33</v>
      </c>
      <c r="D207">
        <f>_xlfn.IFNA(VLOOKUP(A207,'Prior Year data'!$A$1:$T$318,12,FALSE),0)</f>
        <v>188866.78191619221</v>
      </c>
      <c r="E207">
        <f>VLOOKUP(A207,'Basic HH'!$B$1:$Y$319,23,FALSE)</f>
        <v>46802.418223052831</v>
      </c>
      <c r="F207">
        <f>VLOOKUP(A207,'Conc. HH'!$B$1:$Y$319,23,FALSE)</f>
        <v>12331.665858523715</v>
      </c>
      <c r="G207">
        <f>VLOOKUP(A207,'Targeted HH'!$B$1:$Y$319,23,FALSE)</f>
        <v>39444.524193136269</v>
      </c>
      <c r="H207">
        <f>VLOOKUP(A207,'EFIG HH'!$B$1:$Y$319,23,FALSE)</f>
        <v>54217.210347621163</v>
      </c>
      <c r="I207">
        <f t="shared" si="69"/>
        <v>152795.81862233399</v>
      </c>
      <c r="J207">
        <f t="shared" si="70"/>
        <v>0</v>
      </c>
      <c r="K207" s="43">
        <f t="shared" si="71"/>
        <v>152795.81862233399</v>
      </c>
      <c r="L207">
        <f t="shared" si="72"/>
        <v>0</v>
      </c>
      <c r="M207">
        <f t="shared" si="73"/>
        <v>0</v>
      </c>
      <c r="N207" s="43">
        <f t="shared" si="74"/>
        <v>152795.81862233399</v>
      </c>
      <c r="O207">
        <f t="shared" si="75"/>
        <v>0</v>
      </c>
      <c r="P207">
        <f t="shared" si="76"/>
        <v>0</v>
      </c>
      <c r="Q207" s="43">
        <f t="shared" si="77"/>
        <v>152795.81862233399</v>
      </c>
      <c r="R207">
        <f t="shared" si="78"/>
        <v>0</v>
      </c>
      <c r="S207">
        <f t="shared" si="79"/>
        <v>0</v>
      </c>
      <c r="T207" s="43">
        <f t="shared" si="80"/>
        <v>152795.81862233399</v>
      </c>
      <c r="U207">
        <f t="shared" si="81"/>
        <v>0</v>
      </c>
      <c r="V207">
        <f t="shared" si="82"/>
        <v>0</v>
      </c>
      <c r="W207" s="43">
        <f t="shared" si="83"/>
        <v>152795.81862233399</v>
      </c>
      <c r="X207" s="43">
        <f t="shared" si="84"/>
        <v>0</v>
      </c>
      <c r="Y207" s="27">
        <f t="shared" si="85"/>
        <v>1169.7514736417872</v>
      </c>
      <c r="Z207" s="27">
        <f t="shared" si="86"/>
        <v>151626.06714869221</v>
      </c>
      <c r="AA207">
        <f t="shared" si="87"/>
        <v>0</v>
      </c>
      <c r="AB207" s="27">
        <f t="shared" si="88"/>
        <v>151626.06714869221</v>
      </c>
      <c r="AD207" s="27">
        <f t="shared" si="89"/>
        <v>0</v>
      </c>
      <c r="AE207" s="27">
        <f t="shared" si="90"/>
        <v>151626.06714869221</v>
      </c>
      <c r="AF207" s="50"/>
      <c r="AG207" t="str">
        <f t="shared" si="91"/>
        <v>5306890</v>
      </c>
    </row>
    <row r="208" spans="1:33" x14ac:dyDescent="0.25">
      <c r="A208" s="7" t="s">
        <v>549</v>
      </c>
      <c r="B208" s="2" t="s">
        <v>1056</v>
      </c>
      <c r="C208" s="4" t="s">
        <v>1055</v>
      </c>
      <c r="D208">
        <f>_xlfn.IFNA(VLOOKUP(A208,'Prior Year data'!$A$1:$T$318,12,FALSE),0)</f>
        <v>710173.86216177756</v>
      </c>
      <c r="E208">
        <f>VLOOKUP(A208,'Basic HH'!$B$1:$Y$319,23,FALSE)</f>
        <v>310937.19373491773</v>
      </c>
      <c r="F208">
        <f>VLOOKUP(A208,'Conc. HH'!$B$1:$Y$319,23,FALSE)</f>
        <v>66701.131457351032</v>
      </c>
      <c r="G208">
        <f>VLOOKUP(A208,'Targeted HH'!$B$1:$Y$319,23,FALSE)</f>
        <v>150034.05610095913</v>
      </c>
      <c r="H208">
        <f>VLOOKUP(A208,'EFIG HH'!$B$1:$Y$319,23,FALSE)</f>
        <v>204126.86906398815</v>
      </c>
      <c r="I208">
        <f t="shared" si="69"/>
        <v>731799.25035721599</v>
      </c>
      <c r="J208">
        <f t="shared" si="70"/>
        <v>731799.25035721599</v>
      </c>
      <c r="K208" s="43">
        <f t="shared" si="71"/>
        <v>665052.66154555161</v>
      </c>
      <c r="L208">
        <f t="shared" si="72"/>
        <v>45121.200616225949</v>
      </c>
      <c r="M208">
        <f t="shared" si="73"/>
        <v>0</v>
      </c>
      <c r="N208" s="43">
        <f t="shared" si="74"/>
        <v>710173.86216177756</v>
      </c>
      <c r="O208">
        <f t="shared" si="75"/>
        <v>0</v>
      </c>
      <c r="P208">
        <f t="shared" si="76"/>
        <v>0</v>
      </c>
      <c r="Q208" s="43">
        <f t="shared" si="77"/>
        <v>710173.86216177756</v>
      </c>
      <c r="R208">
        <f t="shared" si="78"/>
        <v>0</v>
      </c>
      <c r="S208">
        <f t="shared" si="79"/>
        <v>0</v>
      </c>
      <c r="T208" s="43">
        <f t="shared" si="80"/>
        <v>710173.86216177756</v>
      </c>
      <c r="U208">
        <f t="shared" si="81"/>
        <v>0</v>
      </c>
      <c r="V208">
        <f t="shared" si="82"/>
        <v>0</v>
      </c>
      <c r="W208" s="43">
        <f t="shared" si="83"/>
        <v>710173.86216177756</v>
      </c>
      <c r="X208" s="43">
        <f t="shared" si="84"/>
        <v>21625.388195438427</v>
      </c>
      <c r="Y208" s="27">
        <f t="shared" si="85"/>
        <v>5436.8432938530195</v>
      </c>
      <c r="Z208" s="27">
        <f t="shared" si="86"/>
        <v>704737.01886792458</v>
      </c>
      <c r="AA208">
        <f t="shared" si="87"/>
        <v>0</v>
      </c>
      <c r="AB208" s="27">
        <f t="shared" si="88"/>
        <v>704737.01886792458</v>
      </c>
      <c r="AD208" s="27">
        <f t="shared" si="89"/>
        <v>0</v>
      </c>
      <c r="AE208" s="27">
        <f t="shared" si="90"/>
        <v>704737.01886792458</v>
      </c>
      <c r="AF208" s="50"/>
      <c r="AG208" t="str">
        <f t="shared" si="91"/>
        <v>5306900</v>
      </c>
    </row>
    <row r="209" spans="1:33" x14ac:dyDescent="0.25">
      <c r="A209" s="7" t="s">
        <v>58</v>
      </c>
      <c r="B209" s="2" t="s">
        <v>1057</v>
      </c>
      <c r="C209" s="4" t="s">
        <v>20</v>
      </c>
      <c r="D209">
        <f>_xlfn.IFNA(VLOOKUP(A209,'Prior Year data'!$A$1:$T$318,12,FALSE),0)</f>
        <v>543385.51233634318</v>
      </c>
      <c r="E209">
        <f>VLOOKUP(A209,'Basic HH'!$B$1:$Y$319,23,FALSE)</f>
        <v>363049.57257317193</v>
      </c>
      <c r="F209">
        <f>VLOOKUP(A209,'Conc. HH'!$B$1:$Y$319,23,FALSE)</f>
        <v>0</v>
      </c>
      <c r="G209">
        <f>VLOOKUP(A209,'Targeted HH'!$B$1:$Y$319,23,FALSE)</f>
        <v>175179.42863184621</v>
      </c>
      <c r="H209">
        <f>VLOOKUP(A209,'EFIG HH'!$B$1:$Y$319,23,FALSE)</f>
        <v>238338.07616968441</v>
      </c>
      <c r="I209">
        <f t="shared" si="69"/>
        <v>776567.07737470255</v>
      </c>
      <c r="J209">
        <f t="shared" si="70"/>
        <v>776567.07737470255</v>
      </c>
      <c r="K209" s="43">
        <f t="shared" si="71"/>
        <v>705737.26527404285</v>
      </c>
      <c r="L209">
        <f t="shared" si="72"/>
        <v>0</v>
      </c>
      <c r="M209">
        <f t="shared" si="73"/>
        <v>162351.75293769967</v>
      </c>
      <c r="N209" s="43">
        <f t="shared" si="74"/>
        <v>684516.45252073847</v>
      </c>
      <c r="O209">
        <f t="shared" si="75"/>
        <v>0</v>
      </c>
      <c r="P209">
        <f t="shared" si="76"/>
        <v>141130.94018439529</v>
      </c>
      <c r="Q209" s="43">
        <f t="shared" si="77"/>
        <v>684516.45252073847</v>
      </c>
      <c r="R209">
        <f t="shared" si="78"/>
        <v>0</v>
      </c>
      <c r="S209">
        <f t="shared" si="79"/>
        <v>141130.94018439529</v>
      </c>
      <c r="T209" s="43">
        <f t="shared" si="80"/>
        <v>684516.45252073847</v>
      </c>
      <c r="U209">
        <f t="shared" si="81"/>
        <v>0</v>
      </c>
      <c r="V209">
        <f t="shared" si="82"/>
        <v>141130.94018439529</v>
      </c>
      <c r="W209" s="43">
        <f t="shared" si="83"/>
        <v>684516.45252073847</v>
      </c>
      <c r="X209" s="43">
        <f t="shared" si="84"/>
        <v>92050.62485396408</v>
      </c>
      <c r="Y209" s="27">
        <f t="shared" si="85"/>
        <v>5240.4191180604921</v>
      </c>
      <c r="Z209" s="27">
        <f t="shared" si="86"/>
        <v>679276.03340267797</v>
      </c>
      <c r="AA209">
        <f t="shared" si="87"/>
        <v>0</v>
      </c>
      <c r="AB209" s="27">
        <f t="shared" si="88"/>
        <v>679276.03340267797</v>
      </c>
      <c r="AD209" s="27">
        <f t="shared" si="89"/>
        <v>0</v>
      </c>
      <c r="AE209" s="27">
        <f t="shared" si="90"/>
        <v>679276.03340267797</v>
      </c>
      <c r="AF209" s="50"/>
      <c r="AG209" t="str">
        <f t="shared" si="91"/>
        <v>5306930</v>
      </c>
    </row>
    <row r="210" spans="1:33" x14ac:dyDescent="0.25">
      <c r="A210" s="7" t="s">
        <v>195</v>
      </c>
      <c r="B210" s="2" t="s">
        <v>1059</v>
      </c>
      <c r="C210" s="4" t="s">
        <v>1058</v>
      </c>
      <c r="D210">
        <f>_xlfn.IFNA(VLOOKUP(A210,'Prior Year data'!$A$1:$T$318,12,FALSE),0)</f>
        <v>3511684.5222692089</v>
      </c>
      <c r="E210">
        <f>VLOOKUP(A210,'Basic HH'!$B$1:$Y$319,23,FALSE)</f>
        <v>1816116.4025131653</v>
      </c>
      <c r="F210">
        <f>VLOOKUP(A210,'Conc. HH'!$B$1:$Y$319,23,FALSE)</f>
        <v>0</v>
      </c>
      <c r="G210">
        <f>VLOOKUP(A210,'Targeted HH'!$B$1:$Y$319,23,FALSE)</f>
        <v>1169678.9122284274</v>
      </c>
      <c r="H210">
        <f>VLOOKUP(A210,'EFIG HH'!$B$1:$Y$319,23,FALSE)</f>
        <v>1591391.3171999748</v>
      </c>
      <c r="I210">
        <f t="shared" si="69"/>
        <v>4577186.6319415681</v>
      </c>
      <c r="J210">
        <f t="shared" si="70"/>
        <v>4577186.6319415681</v>
      </c>
      <c r="K210" s="43">
        <f t="shared" si="71"/>
        <v>4159706.5731859459</v>
      </c>
      <c r="L210">
        <f t="shared" si="72"/>
        <v>0</v>
      </c>
      <c r="M210">
        <f t="shared" si="73"/>
        <v>648022.05091673695</v>
      </c>
      <c r="N210" s="43">
        <f t="shared" si="74"/>
        <v>4075004.3488262659</v>
      </c>
      <c r="O210">
        <f t="shared" si="75"/>
        <v>0</v>
      </c>
      <c r="P210">
        <f t="shared" si="76"/>
        <v>563319.82655705698</v>
      </c>
      <c r="Q210" s="43">
        <f t="shared" si="77"/>
        <v>4075004.3488262659</v>
      </c>
      <c r="R210">
        <f t="shared" si="78"/>
        <v>0</v>
      </c>
      <c r="S210">
        <f t="shared" si="79"/>
        <v>563319.82655705698</v>
      </c>
      <c r="T210" s="43">
        <f t="shared" si="80"/>
        <v>4075004.3488262659</v>
      </c>
      <c r="U210">
        <f t="shared" si="81"/>
        <v>0</v>
      </c>
      <c r="V210">
        <f t="shared" si="82"/>
        <v>563319.82655705698</v>
      </c>
      <c r="W210" s="43">
        <f t="shared" si="83"/>
        <v>4075004.3488262659</v>
      </c>
      <c r="X210" s="43">
        <f t="shared" si="84"/>
        <v>502182.28311530221</v>
      </c>
      <c r="Y210" s="27">
        <f t="shared" si="85"/>
        <v>31196.811438395391</v>
      </c>
      <c r="Z210" s="27">
        <f t="shared" si="86"/>
        <v>4043807.5373878707</v>
      </c>
      <c r="AA210">
        <f t="shared" si="87"/>
        <v>0</v>
      </c>
      <c r="AB210" s="27">
        <f t="shared" si="88"/>
        <v>4043807.5373878707</v>
      </c>
      <c r="AD210" s="27">
        <f t="shared" si="89"/>
        <v>0</v>
      </c>
      <c r="AE210" s="27">
        <f t="shared" si="90"/>
        <v>4043807.5373878707</v>
      </c>
      <c r="AF210" s="50"/>
      <c r="AG210" t="str">
        <f t="shared" si="91"/>
        <v>5306960</v>
      </c>
    </row>
    <row r="211" spans="1:33" x14ac:dyDescent="0.25">
      <c r="A211" s="7" t="s">
        <v>551</v>
      </c>
      <c r="B211" s="2" t="s">
        <v>1061</v>
      </c>
      <c r="C211" s="4" t="s">
        <v>1060</v>
      </c>
      <c r="D211">
        <f>_xlfn.IFNA(VLOOKUP(A211,'Prior Year data'!$A$1:$T$318,12,FALSE),0)</f>
        <v>20753.512426305133</v>
      </c>
      <c r="E211">
        <f>VLOOKUP(A211,'Basic HH'!$B$1:$Y$319,23,FALSE)</f>
        <v>0</v>
      </c>
      <c r="F211">
        <f>VLOOKUP(A211,'Conc. HH'!$B$1:$Y$319,23,FALSE)</f>
        <v>2358.8185889551291</v>
      </c>
      <c r="G211">
        <f>VLOOKUP(A211,'Targeted HH'!$B$1:$Y$319,23,FALSE)</f>
        <v>0</v>
      </c>
      <c r="H211">
        <f>VLOOKUP(A211,'EFIG HH'!$B$1:$Y$319,23,FALSE)</f>
        <v>0</v>
      </c>
      <c r="I211">
        <f t="shared" si="69"/>
        <v>2358.8185889551291</v>
      </c>
      <c r="J211">
        <f t="shared" si="70"/>
        <v>0</v>
      </c>
      <c r="K211" s="43">
        <f t="shared" si="71"/>
        <v>2358.8185889551291</v>
      </c>
      <c r="L211">
        <f t="shared" si="72"/>
        <v>0</v>
      </c>
      <c r="M211">
        <f t="shared" si="73"/>
        <v>0</v>
      </c>
      <c r="N211" s="43">
        <f t="shared" si="74"/>
        <v>2358.8185889551291</v>
      </c>
      <c r="O211">
        <f t="shared" si="75"/>
        <v>0</v>
      </c>
      <c r="P211">
        <f t="shared" si="76"/>
        <v>0</v>
      </c>
      <c r="Q211" s="43">
        <f t="shared" si="77"/>
        <v>2358.8185889551291</v>
      </c>
      <c r="R211">
        <f t="shared" si="78"/>
        <v>0</v>
      </c>
      <c r="S211">
        <f t="shared" si="79"/>
        <v>0</v>
      </c>
      <c r="T211" s="43">
        <f t="shared" si="80"/>
        <v>2358.8185889551291</v>
      </c>
      <c r="U211">
        <f t="shared" si="81"/>
        <v>0</v>
      </c>
      <c r="V211">
        <f t="shared" si="82"/>
        <v>0</v>
      </c>
      <c r="W211" s="43">
        <f t="shared" si="83"/>
        <v>2358.8185889551291</v>
      </c>
      <c r="X211" s="43">
        <f t="shared" si="84"/>
        <v>0</v>
      </c>
      <c r="Y211" s="27">
        <f t="shared" si="85"/>
        <v>18.05829207475832</v>
      </c>
      <c r="Z211" s="27">
        <f t="shared" si="86"/>
        <v>2340.7602968803708</v>
      </c>
      <c r="AA211">
        <f t="shared" si="87"/>
        <v>0</v>
      </c>
      <c r="AB211" s="27">
        <f t="shared" si="88"/>
        <v>2340.7602968803708</v>
      </c>
      <c r="AC211" s="28"/>
      <c r="AD211" s="27">
        <f t="shared" si="89"/>
        <v>0</v>
      </c>
      <c r="AE211" s="27">
        <f t="shared" si="90"/>
        <v>2340.7602968803708</v>
      </c>
      <c r="AF211" s="50"/>
      <c r="AG211" t="str">
        <f t="shared" si="91"/>
        <v>5301380</v>
      </c>
    </row>
    <row r="212" spans="1:33" x14ac:dyDescent="0.25">
      <c r="A212" s="7" t="s">
        <v>553</v>
      </c>
      <c r="B212" s="2" t="s">
        <v>1063</v>
      </c>
      <c r="C212" s="4" t="s">
        <v>1062</v>
      </c>
      <c r="D212">
        <f>_xlfn.IFNA(VLOOKUP(A212,'Prior Year data'!$A$1:$T$318,12,FALSE),0)</f>
        <v>54364.968361453131</v>
      </c>
      <c r="E212">
        <f>VLOOKUP(A212,'Basic HH'!$B$1:$Y$319,23,FALSE)</f>
        <v>26924.729066431428</v>
      </c>
      <c r="F212">
        <f>VLOOKUP(A212,'Conc. HH'!$B$1:$Y$319,23,FALSE)</f>
        <v>7245.801492487376</v>
      </c>
      <c r="G212">
        <f>VLOOKUP(A212,'Targeted HH'!$B$1:$Y$319,23,FALSE)</f>
        <v>13284.2793535905</v>
      </c>
      <c r="H212">
        <f>VLOOKUP(A212,'EFIG HH'!$B$1:$Y$319,23,FALSE)</f>
        <v>18073.752204600118</v>
      </c>
      <c r="I212">
        <f t="shared" si="69"/>
        <v>65528.562117109424</v>
      </c>
      <c r="J212">
        <f t="shared" si="70"/>
        <v>65528.562117109424</v>
      </c>
      <c r="K212" s="43">
        <f t="shared" si="71"/>
        <v>59551.7754656947</v>
      </c>
      <c r="L212">
        <f t="shared" si="72"/>
        <v>0</v>
      </c>
      <c r="M212">
        <f t="shared" si="73"/>
        <v>5186.8071042415686</v>
      </c>
      <c r="N212" s="43">
        <f t="shared" si="74"/>
        <v>58873.813815420086</v>
      </c>
      <c r="O212">
        <f t="shared" si="75"/>
        <v>0</v>
      </c>
      <c r="P212">
        <f t="shared" si="76"/>
        <v>4508.8454539669547</v>
      </c>
      <c r="Q212" s="43">
        <f t="shared" si="77"/>
        <v>58873.813815420086</v>
      </c>
      <c r="R212">
        <f t="shared" si="78"/>
        <v>0</v>
      </c>
      <c r="S212">
        <f t="shared" si="79"/>
        <v>4508.8454539669547</v>
      </c>
      <c r="T212" s="43">
        <f t="shared" si="80"/>
        <v>58873.813815420086</v>
      </c>
      <c r="U212">
        <f t="shared" si="81"/>
        <v>0</v>
      </c>
      <c r="V212">
        <f t="shared" si="82"/>
        <v>4508.8454539669547</v>
      </c>
      <c r="W212" s="43">
        <f t="shared" si="83"/>
        <v>58873.813815420086</v>
      </c>
      <c r="X212" s="43">
        <f t="shared" si="84"/>
        <v>6654.7483016893384</v>
      </c>
      <c r="Y212" s="27">
        <f t="shared" si="85"/>
        <v>450.71737623737266</v>
      </c>
      <c r="Z212" s="27">
        <f t="shared" si="86"/>
        <v>58423.096439182715</v>
      </c>
      <c r="AA212">
        <f t="shared" si="87"/>
        <v>0</v>
      </c>
      <c r="AB212" s="27">
        <f t="shared" si="88"/>
        <v>58423.096439182715</v>
      </c>
      <c r="AD212" s="27">
        <f t="shared" si="89"/>
        <v>0</v>
      </c>
      <c r="AE212" s="27">
        <f t="shared" si="90"/>
        <v>58423.096439182715</v>
      </c>
      <c r="AF212" s="50"/>
      <c r="AG212" t="str">
        <f t="shared" si="91"/>
        <v>5306990</v>
      </c>
    </row>
    <row r="213" spans="1:33" x14ac:dyDescent="0.25">
      <c r="A213" s="7" t="s">
        <v>555</v>
      </c>
      <c r="B213" s="2" t="s">
        <v>1065</v>
      </c>
      <c r="C213" s="4" t="s">
        <v>1064</v>
      </c>
      <c r="D213">
        <f>_xlfn.IFNA(VLOOKUP(A213,'Prior Year data'!$A$1:$T$318,12,FALSE),0)</f>
        <v>681866.00645789655</v>
      </c>
      <c r="E213">
        <f>VLOOKUP(A213,'Basic HH'!$B$1:$Y$319,23,FALSE)</f>
        <v>221959.46413754844</v>
      </c>
      <c r="F213">
        <f>VLOOKUP(A213,'Conc. HH'!$B$1:$Y$319,23,FALSE)</f>
        <v>57711.240186380295</v>
      </c>
      <c r="G213">
        <f>VLOOKUP(A213,'Targeted HH'!$B$1:$Y$319,23,FALSE)</f>
        <v>143895.93089905556</v>
      </c>
      <c r="H213">
        <f>VLOOKUP(A213,'EFIG HH'!$B$1:$Y$319,23,FALSE)</f>
        <v>194885.00123438935</v>
      </c>
      <c r="I213">
        <f t="shared" si="69"/>
        <v>618451.63645737362</v>
      </c>
      <c r="J213">
        <f t="shared" si="70"/>
        <v>0</v>
      </c>
      <c r="K213" s="43">
        <f t="shared" si="71"/>
        <v>618451.63645737362</v>
      </c>
      <c r="L213">
        <f t="shared" si="72"/>
        <v>0</v>
      </c>
      <c r="M213">
        <f t="shared" si="73"/>
        <v>0</v>
      </c>
      <c r="N213" s="43">
        <f t="shared" si="74"/>
        <v>618451.63645737362</v>
      </c>
      <c r="O213">
        <f t="shared" si="75"/>
        <v>0</v>
      </c>
      <c r="P213">
        <f t="shared" si="76"/>
        <v>0</v>
      </c>
      <c r="Q213" s="43">
        <f t="shared" si="77"/>
        <v>618451.63645737362</v>
      </c>
      <c r="R213">
        <f t="shared" si="78"/>
        <v>0</v>
      </c>
      <c r="S213">
        <f t="shared" si="79"/>
        <v>0</v>
      </c>
      <c r="T213" s="43">
        <f t="shared" si="80"/>
        <v>618451.63645737362</v>
      </c>
      <c r="U213">
        <f t="shared" si="81"/>
        <v>0</v>
      </c>
      <c r="V213">
        <f t="shared" si="82"/>
        <v>0</v>
      </c>
      <c r="W213" s="43">
        <f t="shared" si="83"/>
        <v>618451.63645737362</v>
      </c>
      <c r="X213" s="43">
        <f t="shared" si="84"/>
        <v>0</v>
      </c>
      <c r="Y213" s="27">
        <f t="shared" si="85"/>
        <v>4734.6499377074188</v>
      </c>
      <c r="Z213" s="27">
        <f t="shared" si="86"/>
        <v>613716.98651966616</v>
      </c>
      <c r="AA213">
        <f t="shared" si="87"/>
        <v>0</v>
      </c>
      <c r="AB213" s="27">
        <f t="shared" si="88"/>
        <v>613716.98651966616</v>
      </c>
      <c r="AD213" s="27">
        <f t="shared" si="89"/>
        <v>0</v>
      </c>
      <c r="AE213" s="27">
        <f t="shared" si="90"/>
        <v>613716.98651966616</v>
      </c>
      <c r="AF213" s="50"/>
      <c r="AG213" t="str">
        <f t="shared" si="91"/>
        <v>5307020</v>
      </c>
    </row>
    <row r="214" spans="1:33" x14ac:dyDescent="0.25">
      <c r="A214" s="7" t="s">
        <v>445</v>
      </c>
      <c r="B214" s="2" t="s">
        <v>1067</v>
      </c>
      <c r="C214" s="4" t="s">
        <v>1066</v>
      </c>
      <c r="D214">
        <f>_xlfn.IFNA(VLOOKUP(A214,'Prior Year data'!$A$1:$T$318,12,FALSE),0)</f>
        <v>82746.582215571965</v>
      </c>
      <c r="E214">
        <f>VLOOKUP(A214,'Basic HH'!$B$1:$Y$319,23,FALSE)</f>
        <v>30972.619207685653</v>
      </c>
      <c r="F214">
        <f>VLOOKUP(A214,'Conc. HH'!$B$1:$Y$319,23,FALSE)</f>
        <v>8160.7747063877987</v>
      </c>
      <c r="G214">
        <f>VLOOKUP(A214,'Targeted HH'!$B$1:$Y$319,23,FALSE)</f>
        <v>18821.91468540447</v>
      </c>
      <c r="H214">
        <f>VLOOKUP(A214,'EFIG HH'!$B$1:$Y$319,23,FALSE)</f>
        <v>25871.061408851401</v>
      </c>
      <c r="I214">
        <f t="shared" si="69"/>
        <v>83826.370008329322</v>
      </c>
      <c r="J214">
        <f t="shared" si="70"/>
        <v>83826.370008329322</v>
      </c>
      <c r="K214" s="43">
        <f t="shared" si="71"/>
        <v>76180.660822662321</v>
      </c>
      <c r="L214">
        <f t="shared" si="72"/>
        <v>6565.9213929096441</v>
      </c>
      <c r="M214">
        <f t="shared" si="73"/>
        <v>0</v>
      </c>
      <c r="N214" s="43">
        <f t="shared" si="74"/>
        <v>82746.582215571965</v>
      </c>
      <c r="O214">
        <f t="shared" si="75"/>
        <v>0</v>
      </c>
      <c r="P214">
        <f t="shared" si="76"/>
        <v>0</v>
      </c>
      <c r="Q214" s="43">
        <f t="shared" si="77"/>
        <v>82746.582215571965</v>
      </c>
      <c r="R214">
        <f t="shared" si="78"/>
        <v>0</v>
      </c>
      <c r="S214">
        <f t="shared" si="79"/>
        <v>0</v>
      </c>
      <c r="T214" s="43">
        <f t="shared" si="80"/>
        <v>82746.582215571965</v>
      </c>
      <c r="U214">
        <f t="shared" si="81"/>
        <v>0</v>
      </c>
      <c r="V214">
        <f t="shared" si="82"/>
        <v>0</v>
      </c>
      <c r="W214" s="43">
        <f t="shared" si="83"/>
        <v>82746.582215571965</v>
      </c>
      <c r="X214" s="43">
        <f t="shared" si="84"/>
        <v>1079.7877927573572</v>
      </c>
      <c r="Y214" s="27">
        <f t="shared" si="85"/>
        <v>633.47896138918622</v>
      </c>
      <c r="Z214" s="27">
        <f t="shared" si="86"/>
        <v>82113.103254182774</v>
      </c>
      <c r="AA214">
        <f t="shared" si="87"/>
        <v>0</v>
      </c>
      <c r="AB214" s="27">
        <f t="shared" si="88"/>
        <v>82113.103254182774</v>
      </c>
      <c r="AD214" s="27">
        <f t="shared" si="89"/>
        <v>0</v>
      </c>
      <c r="AE214" s="27">
        <f t="shared" si="90"/>
        <v>82113.103254182774</v>
      </c>
      <c r="AF214" s="50"/>
      <c r="AG214" t="str">
        <f t="shared" si="91"/>
        <v>5307050</v>
      </c>
    </row>
    <row r="215" spans="1:33" x14ac:dyDescent="0.25">
      <c r="A215" s="7" t="s">
        <v>557</v>
      </c>
      <c r="B215" s="2" t="s">
        <v>1069</v>
      </c>
      <c r="C215" s="4" t="s">
        <v>1068</v>
      </c>
      <c r="D215">
        <f>_xlfn.IFNA(VLOOKUP(A215,'Prior Year data'!$A$1:$T$318,12,FALSE),0)</f>
        <v>948905.86896484846</v>
      </c>
      <c r="E215">
        <f>VLOOKUP(A215,'Basic HH'!$B$1:$Y$319,23,FALSE)</f>
        <v>384763.06375577807</v>
      </c>
      <c r="F215">
        <f>VLOOKUP(A215,'Conc. HH'!$B$1:$Y$319,23,FALSE)</f>
        <v>82038.824787116231</v>
      </c>
      <c r="G215">
        <f>VLOOKUP(A215,'Targeted HH'!$B$1:$Y$319,23,FALSE)</f>
        <v>185656.66718638243</v>
      </c>
      <c r="H215">
        <f>VLOOKUP(A215,'EFIG HH'!$B$1:$Y$319,23,FALSE)</f>
        <v>252592.7457970579</v>
      </c>
      <c r="I215">
        <f t="shared" si="69"/>
        <v>905051.3015263346</v>
      </c>
      <c r="J215">
        <f t="shared" si="70"/>
        <v>0</v>
      </c>
      <c r="K215" s="43">
        <f t="shared" si="71"/>
        <v>905051.3015263346</v>
      </c>
      <c r="L215">
        <f t="shared" si="72"/>
        <v>0</v>
      </c>
      <c r="M215">
        <f t="shared" si="73"/>
        <v>0</v>
      </c>
      <c r="N215" s="43">
        <f t="shared" si="74"/>
        <v>905051.3015263346</v>
      </c>
      <c r="O215">
        <f t="shared" si="75"/>
        <v>0</v>
      </c>
      <c r="P215">
        <f t="shared" si="76"/>
        <v>0</v>
      </c>
      <c r="Q215" s="43">
        <f t="shared" si="77"/>
        <v>905051.3015263346</v>
      </c>
      <c r="R215">
        <f t="shared" si="78"/>
        <v>0</v>
      </c>
      <c r="S215">
        <f t="shared" si="79"/>
        <v>0</v>
      </c>
      <c r="T215" s="43">
        <f t="shared" si="80"/>
        <v>905051.3015263346</v>
      </c>
      <c r="U215">
        <f t="shared" si="81"/>
        <v>0</v>
      </c>
      <c r="V215">
        <f t="shared" si="82"/>
        <v>0</v>
      </c>
      <c r="W215" s="43">
        <f t="shared" si="83"/>
        <v>905051.3015263346</v>
      </c>
      <c r="X215" s="43">
        <f t="shared" si="84"/>
        <v>0</v>
      </c>
      <c r="Y215" s="27">
        <f t="shared" si="85"/>
        <v>6928.7569727192831</v>
      </c>
      <c r="Z215" s="27">
        <f t="shared" si="86"/>
        <v>898122.54455361527</v>
      </c>
      <c r="AA215">
        <f t="shared" si="87"/>
        <v>0</v>
      </c>
      <c r="AB215" s="27">
        <f t="shared" si="88"/>
        <v>898122.54455361527</v>
      </c>
      <c r="AD215" s="27">
        <f t="shared" si="89"/>
        <v>0</v>
      </c>
      <c r="AE215" s="27">
        <f t="shared" si="90"/>
        <v>898122.54455361527</v>
      </c>
      <c r="AF215" s="50"/>
      <c r="AG215" t="str">
        <f t="shared" si="91"/>
        <v>5307080</v>
      </c>
    </row>
    <row r="216" spans="1:33" x14ac:dyDescent="0.25">
      <c r="A216" s="7" t="s">
        <v>197</v>
      </c>
      <c r="B216" s="2" t="s">
        <v>1071</v>
      </c>
      <c r="C216" s="4" t="s">
        <v>1070</v>
      </c>
      <c r="D216">
        <f>_xlfn.IFNA(VLOOKUP(A216,'Prior Year data'!$A$1:$T$318,12,FALSE),0)</f>
        <v>265311.84864784166</v>
      </c>
      <c r="E216">
        <f>VLOOKUP(A216,'Basic HH'!$B$1:$Y$319,23,FALSE)</f>
        <v>93979.049962655801</v>
      </c>
      <c r="F216">
        <f>VLOOKUP(A216,'Conc. HH'!$B$1:$Y$319,23,FALSE)</f>
        <v>24613.633290635702</v>
      </c>
      <c r="G216">
        <f>VLOOKUP(A216,'Targeted HH'!$B$1:$Y$319,23,FALSE)</f>
        <v>45682.689847933238</v>
      </c>
      <c r="H216">
        <f>VLOOKUP(A216,'EFIG HH'!$B$1:$Y$319,23,FALSE)</f>
        <v>62993.39883687516</v>
      </c>
      <c r="I216">
        <f t="shared" si="69"/>
        <v>227268.7719380999</v>
      </c>
      <c r="J216">
        <f t="shared" si="70"/>
        <v>0</v>
      </c>
      <c r="K216" s="43">
        <f t="shared" si="71"/>
        <v>227268.7719380999</v>
      </c>
      <c r="L216">
        <f t="shared" si="72"/>
        <v>0</v>
      </c>
      <c r="M216">
        <f t="shared" si="73"/>
        <v>0</v>
      </c>
      <c r="N216" s="43">
        <f t="shared" si="74"/>
        <v>227268.7719380999</v>
      </c>
      <c r="O216">
        <f t="shared" si="75"/>
        <v>0</v>
      </c>
      <c r="P216">
        <f t="shared" si="76"/>
        <v>0</v>
      </c>
      <c r="Q216" s="43">
        <f t="shared" si="77"/>
        <v>227268.7719380999</v>
      </c>
      <c r="R216">
        <f t="shared" si="78"/>
        <v>0</v>
      </c>
      <c r="S216">
        <f t="shared" si="79"/>
        <v>0</v>
      </c>
      <c r="T216" s="43">
        <f t="shared" si="80"/>
        <v>227268.7719380999</v>
      </c>
      <c r="U216">
        <f t="shared" si="81"/>
        <v>0</v>
      </c>
      <c r="V216">
        <f t="shared" si="82"/>
        <v>0</v>
      </c>
      <c r="W216" s="43">
        <f t="shared" si="83"/>
        <v>227268.7719380999</v>
      </c>
      <c r="X216" s="43">
        <f t="shared" si="84"/>
        <v>0</v>
      </c>
      <c r="Y216" s="27">
        <f t="shared" si="85"/>
        <v>1739.8904190202293</v>
      </c>
      <c r="Z216" s="27">
        <f t="shared" si="86"/>
        <v>225528.88151907967</v>
      </c>
      <c r="AA216">
        <f t="shared" si="87"/>
        <v>0</v>
      </c>
      <c r="AB216" s="27">
        <f t="shared" si="88"/>
        <v>225528.88151907967</v>
      </c>
      <c r="AD216" s="27">
        <f t="shared" si="89"/>
        <v>0</v>
      </c>
      <c r="AE216" s="27">
        <f t="shared" si="90"/>
        <v>225528.88151907967</v>
      </c>
      <c r="AF216" s="50"/>
      <c r="AG216" t="str">
        <f t="shared" si="91"/>
        <v>5307110</v>
      </c>
    </row>
    <row r="217" spans="1:33" x14ac:dyDescent="0.25">
      <c r="A217" s="7" t="s">
        <v>69</v>
      </c>
      <c r="B217" s="2" t="s">
        <v>1072</v>
      </c>
      <c r="C217" s="4" t="s">
        <v>15</v>
      </c>
      <c r="D217">
        <f>_xlfn.IFNA(VLOOKUP(A217,'Prior Year data'!$A$1:$T$318,12,FALSE),0)</f>
        <v>133125.24743327947</v>
      </c>
      <c r="E217">
        <f>VLOOKUP(A217,'Basic HH'!$B$1:$Y$319,23,FALSE)</f>
        <v>59687.242654128822</v>
      </c>
      <c r="F217">
        <f>VLOOKUP(A217,'Conc. HH'!$B$1:$Y$319,23,FALSE)</f>
        <v>16062.628182392453</v>
      </c>
      <c r="G217">
        <f>VLOOKUP(A217,'Targeted HH'!$B$1:$Y$319,23,FALSE)</f>
        <v>45130.498109168424</v>
      </c>
      <c r="H217">
        <f>VLOOKUP(A217,'EFIG HH'!$B$1:$Y$319,23,FALSE)</f>
        <v>61401.707837077454</v>
      </c>
      <c r="I217">
        <f t="shared" si="69"/>
        <v>182282.07678276714</v>
      </c>
      <c r="J217">
        <f t="shared" si="70"/>
        <v>182282.07678276714</v>
      </c>
      <c r="K217" s="43">
        <f t="shared" si="71"/>
        <v>165656.3330138078</v>
      </c>
      <c r="L217">
        <f t="shared" si="72"/>
        <v>0</v>
      </c>
      <c r="M217">
        <f t="shared" si="73"/>
        <v>32531.085580528335</v>
      </c>
      <c r="N217" s="43">
        <f t="shared" si="74"/>
        <v>161404.23186137356</v>
      </c>
      <c r="O217">
        <f t="shared" si="75"/>
        <v>0</v>
      </c>
      <c r="P217">
        <f t="shared" si="76"/>
        <v>28278.984428094089</v>
      </c>
      <c r="Q217" s="43">
        <f t="shared" si="77"/>
        <v>161404.23186137356</v>
      </c>
      <c r="R217">
        <f t="shared" si="78"/>
        <v>0</v>
      </c>
      <c r="S217">
        <f t="shared" si="79"/>
        <v>28278.984428094089</v>
      </c>
      <c r="T217" s="43">
        <f t="shared" si="80"/>
        <v>161404.23186137356</v>
      </c>
      <c r="U217">
        <f t="shared" si="81"/>
        <v>0</v>
      </c>
      <c r="V217">
        <f t="shared" si="82"/>
        <v>28278.984428094089</v>
      </c>
      <c r="W217" s="43">
        <f t="shared" si="83"/>
        <v>161404.23186137356</v>
      </c>
      <c r="X217" s="43">
        <f t="shared" si="84"/>
        <v>20877.844921393582</v>
      </c>
      <c r="Y217" s="27">
        <f t="shared" si="85"/>
        <v>1235.6544817402835</v>
      </c>
      <c r="Z217" s="27">
        <f t="shared" si="86"/>
        <v>160168.57737963327</v>
      </c>
      <c r="AA217">
        <f t="shared" si="87"/>
        <v>0</v>
      </c>
      <c r="AB217" s="27">
        <f t="shared" si="88"/>
        <v>160168.57737963327</v>
      </c>
      <c r="AD217" s="27">
        <f t="shared" si="89"/>
        <v>0</v>
      </c>
      <c r="AE217" s="27">
        <f t="shared" si="90"/>
        <v>160168.57737963327</v>
      </c>
      <c r="AF217" s="50"/>
      <c r="AG217" t="str">
        <f t="shared" si="91"/>
        <v>5307120</v>
      </c>
    </row>
    <row r="218" spans="1:33" x14ac:dyDescent="0.25">
      <c r="A218" s="7" t="s">
        <v>71</v>
      </c>
      <c r="B218" s="2" t="s">
        <v>1073</v>
      </c>
      <c r="C218" s="4" t="s">
        <v>21</v>
      </c>
      <c r="D218">
        <f>_xlfn.IFNA(VLOOKUP(A218,'Prior Year data'!$A$1:$T$318,12,FALSE),0)</f>
        <v>133878.00663745255</v>
      </c>
      <c r="E218">
        <f>VLOOKUP(A218,'Basic HH'!$B$1:$Y$319,23,FALSE)</f>
        <v>40758.682908389936</v>
      </c>
      <c r="F218">
        <f>VLOOKUP(A218,'Conc. HH'!$B$1:$Y$319,23,FALSE)</f>
        <v>9791.4235986432614</v>
      </c>
      <c r="G218">
        <f>VLOOKUP(A218,'Targeted HH'!$B$1:$Y$319,23,FALSE)</f>
        <v>34328.351836556714</v>
      </c>
      <c r="H218">
        <f>VLOOKUP(A218,'EFIG HH'!$B$1:$Y$319,23,FALSE)</f>
        <v>47184.939113389206</v>
      </c>
      <c r="I218">
        <f t="shared" si="69"/>
        <v>132063.39745697912</v>
      </c>
      <c r="J218">
        <f t="shared" si="70"/>
        <v>0</v>
      </c>
      <c r="K218" s="43">
        <f t="shared" si="71"/>
        <v>132063.39745697912</v>
      </c>
      <c r="L218">
        <f t="shared" si="72"/>
        <v>0</v>
      </c>
      <c r="M218">
        <f t="shared" si="73"/>
        <v>0</v>
      </c>
      <c r="N218" s="43">
        <f t="shared" si="74"/>
        <v>132063.39745697912</v>
      </c>
      <c r="O218">
        <f t="shared" si="75"/>
        <v>0</v>
      </c>
      <c r="P218">
        <f t="shared" si="76"/>
        <v>0</v>
      </c>
      <c r="Q218" s="43">
        <f t="shared" si="77"/>
        <v>132063.39745697912</v>
      </c>
      <c r="R218">
        <f t="shared" si="78"/>
        <v>0</v>
      </c>
      <c r="S218">
        <f t="shared" si="79"/>
        <v>0</v>
      </c>
      <c r="T218" s="43">
        <f t="shared" si="80"/>
        <v>132063.39745697912</v>
      </c>
      <c r="U218">
        <f t="shared" si="81"/>
        <v>0</v>
      </c>
      <c r="V218">
        <f t="shared" si="82"/>
        <v>0</v>
      </c>
      <c r="W218" s="43">
        <f t="shared" si="83"/>
        <v>132063.39745697912</v>
      </c>
      <c r="X218" s="43">
        <f t="shared" si="84"/>
        <v>0</v>
      </c>
      <c r="Y218" s="27">
        <f t="shared" si="85"/>
        <v>1011.031291185229</v>
      </c>
      <c r="Z218" s="27">
        <f t="shared" si="86"/>
        <v>131052.36616579389</v>
      </c>
      <c r="AA218">
        <f t="shared" si="87"/>
        <v>0</v>
      </c>
      <c r="AB218" s="27">
        <f t="shared" si="88"/>
        <v>131052.36616579389</v>
      </c>
      <c r="AD218" s="27">
        <f t="shared" si="89"/>
        <v>0</v>
      </c>
      <c r="AE218" s="27">
        <f t="shared" si="90"/>
        <v>131052.36616579389</v>
      </c>
      <c r="AF218" s="50"/>
      <c r="AG218" t="str">
        <f t="shared" si="91"/>
        <v>5303280</v>
      </c>
    </row>
    <row r="219" spans="1:33" x14ac:dyDescent="0.25">
      <c r="A219" s="7" t="s">
        <v>559</v>
      </c>
      <c r="B219" s="2" t="s">
        <v>1075</v>
      </c>
      <c r="C219" s="4" t="s">
        <v>1074</v>
      </c>
      <c r="D219">
        <f>_xlfn.IFNA(VLOOKUP(A219,'Prior Year data'!$A$1:$T$318,12,FALSE),0)</f>
        <v>209196.29636751785</v>
      </c>
      <c r="E219">
        <f>VLOOKUP(A219,'Basic HH'!$B$1:$Y$319,23,FALSE)</f>
        <v>105093.29732381293</v>
      </c>
      <c r="F219">
        <f>VLOOKUP(A219,'Conc. HH'!$B$1:$Y$319,23,FALSE)</f>
        <v>28281.999373902334</v>
      </c>
      <c r="G219">
        <f>VLOOKUP(A219,'Targeted HH'!$B$1:$Y$319,23,FALSE)</f>
        <v>58625.28355952206</v>
      </c>
      <c r="H219">
        <f>VLOOKUP(A219,'EFIG HH'!$B$1:$Y$319,23,FALSE)</f>
        <v>79761.861353271946</v>
      </c>
      <c r="I219">
        <f t="shared" si="69"/>
        <v>271762.4416105093</v>
      </c>
      <c r="J219">
        <f t="shared" si="70"/>
        <v>271762.4416105093</v>
      </c>
      <c r="K219" s="43">
        <f t="shared" si="71"/>
        <v>246975.29413013643</v>
      </c>
      <c r="L219">
        <f t="shared" si="72"/>
        <v>0</v>
      </c>
      <c r="M219">
        <f t="shared" si="73"/>
        <v>37778.997762618586</v>
      </c>
      <c r="N219" s="43">
        <f t="shared" si="74"/>
        <v>242037.24435228354</v>
      </c>
      <c r="O219">
        <f t="shared" si="75"/>
        <v>0</v>
      </c>
      <c r="P219">
        <f t="shared" si="76"/>
        <v>32840.947984765691</v>
      </c>
      <c r="Q219" s="43">
        <f t="shared" si="77"/>
        <v>242037.24435228354</v>
      </c>
      <c r="R219">
        <f t="shared" si="78"/>
        <v>0</v>
      </c>
      <c r="S219">
        <f t="shared" si="79"/>
        <v>32840.947984765691</v>
      </c>
      <c r="T219" s="43">
        <f t="shared" si="80"/>
        <v>242037.24435228354</v>
      </c>
      <c r="U219">
        <f t="shared" si="81"/>
        <v>0</v>
      </c>
      <c r="V219">
        <f t="shared" si="82"/>
        <v>32840.947984765691</v>
      </c>
      <c r="W219" s="43">
        <f t="shared" si="83"/>
        <v>242037.24435228354</v>
      </c>
      <c r="X219" s="43">
        <f t="shared" si="84"/>
        <v>29725.197258225759</v>
      </c>
      <c r="Y219" s="27">
        <f t="shared" si="85"/>
        <v>1852.9526907871627</v>
      </c>
      <c r="Z219" s="27">
        <f t="shared" si="86"/>
        <v>240184.29166149636</v>
      </c>
      <c r="AA219">
        <f t="shared" si="87"/>
        <v>0</v>
      </c>
      <c r="AB219" s="27">
        <f t="shared" si="88"/>
        <v>240184.29166149636</v>
      </c>
      <c r="AD219" s="27">
        <f t="shared" si="89"/>
        <v>0</v>
      </c>
      <c r="AE219" s="27">
        <f t="shared" si="90"/>
        <v>240184.29166149636</v>
      </c>
      <c r="AF219" s="50"/>
      <c r="AG219" t="str">
        <f t="shared" si="91"/>
        <v>5307140</v>
      </c>
    </row>
    <row r="220" spans="1:33" x14ac:dyDescent="0.25">
      <c r="A220" s="7" t="s">
        <v>561</v>
      </c>
      <c r="B220" s="2" t="s">
        <v>1077</v>
      </c>
      <c r="C220" s="4" t="s">
        <v>1076</v>
      </c>
      <c r="D220">
        <f>_xlfn.IFNA(VLOOKUP(A220,'Prior Year data'!$A$1:$T$318,12,FALSE),0)</f>
        <v>233836.57688760618</v>
      </c>
      <c r="E220">
        <f>VLOOKUP(A220,'Basic HH'!$B$1:$Y$319,23,FALSE)</f>
        <v>93606.138049894391</v>
      </c>
      <c r="F220">
        <f>VLOOKUP(A220,'Conc. HH'!$B$1:$Y$319,23,FALSE)</f>
        <v>19042.926288557661</v>
      </c>
      <c r="G220">
        <f>VLOOKUP(A220,'Targeted HH'!$B$1:$Y$319,23,FALSE)</f>
        <v>44777.733013083969</v>
      </c>
      <c r="H220">
        <f>VLOOKUP(A220,'EFIG HH'!$B$1:$Y$319,23,FALSE)</f>
        <v>61547.802117548199</v>
      </c>
      <c r="I220">
        <f t="shared" si="69"/>
        <v>218974.59946908423</v>
      </c>
      <c r="J220">
        <f t="shared" si="70"/>
        <v>0</v>
      </c>
      <c r="K220" s="43">
        <f t="shared" si="71"/>
        <v>218974.59946908423</v>
      </c>
      <c r="L220">
        <f t="shared" si="72"/>
        <v>0</v>
      </c>
      <c r="M220">
        <f t="shared" si="73"/>
        <v>0</v>
      </c>
      <c r="N220" s="43">
        <f t="shared" si="74"/>
        <v>218974.59946908423</v>
      </c>
      <c r="O220">
        <f t="shared" si="75"/>
        <v>0</v>
      </c>
      <c r="P220">
        <f t="shared" si="76"/>
        <v>0</v>
      </c>
      <c r="Q220" s="43">
        <f t="shared" si="77"/>
        <v>218974.59946908423</v>
      </c>
      <c r="R220">
        <f t="shared" si="78"/>
        <v>0</v>
      </c>
      <c r="S220">
        <f t="shared" si="79"/>
        <v>0</v>
      </c>
      <c r="T220" s="43">
        <f t="shared" si="80"/>
        <v>218974.59946908423</v>
      </c>
      <c r="U220">
        <f t="shared" si="81"/>
        <v>0</v>
      </c>
      <c r="V220">
        <f t="shared" si="82"/>
        <v>0</v>
      </c>
      <c r="W220" s="43">
        <f t="shared" si="83"/>
        <v>218974.59946908423</v>
      </c>
      <c r="X220" s="43">
        <f t="shared" si="84"/>
        <v>0</v>
      </c>
      <c r="Y220" s="27">
        <f t="shared" si="85"/>
        <v>1676.3931286117072</v>
      </c>
      <c r="Z220" s="27">
        <f t="shared" si="86"/>
        <v>217298.20634047253</v>
      </c>
      <c r="AA220">
        <f t="shared" si="87"/>
        <v>0</v>
      </c>
      <c r="AB220" s="27">
        <f t="shared" si="88"/>
        <v>217298.20634047253</v>
      </c>
      <c r="AD220" s="27">
        <f t="shared" si="89"/>
        <v>0</v>
      </c>
      <c r="AE220" s="27">
        <f t="shared" si="90"/>
        <v>217298.20634047253</v>
      </c>
      <c r="AF220" s="50"/>
      <c r="AG220" t="str">
        <f t="shared" si="91"/>
        <v>5307210</v>
      </c>
    </row>
    <row r="221" spans="1:33" x14ac:dyDescent="0.25">
      <c r="A221" s="7" t="s">
        <v>563</v>
      </c>
      <c r="B221" s="2" t="s">
        <v>1079</v>
      </c>
      <c r="C221" s="4" t="s">
        <v>1078</v>
      </c>
      <c r="D221">
        <f>_xlfn.IFNA(VLOOKUP(A221,'Prior Year data'!$A$1:$T$318,12,FALSE),0)</f>
        <v>4736233.1132494295</v>
      </c>
      <c r="E221">
        <f>VLOOKUP(A221,'Basic HH'!$B$1:$Y$319,23,FALSE)</f>
        <v>2031556.9562526385</v>
      </c>
      <c r="F221">
        <f>VLOOKUP(A221,'Conc. HH'!$B$1:$Y$319,23,FALSE)</f>
        <v>0</v>
      </c>
      <c r="G221">
        <f>VLOOKUP(A221,'Targeted HH'!$B$1:$Y$319,23,FALSE)</f>
        <v>1357722.3602847045</v>
      </c>
      <c r="H221">
        <f>VLOOKUP(A221,'EFIG HH'!$B$1:$Y$319,23,FALSE)</f>
        <v>1847231.3664344978</v>
      </c>
      <c r="I221">
        <f t="shared" si="69"/>
        <v>5236510.6829718407</v>
      </c>
      <c r="J221">
        <f t="shared" si="70"/>
        <v>5236510.6829718407</v>
      </c>
      <c r="K221" s="43">
        <f t="shared" si="71"/>
        <v>4758894.4170442699</v>
      </c>
      <c r="L221">
        <f t="shared" si="72"/>
        <v>0</v>
      </c>
      <c r="M221">
        <f t="shared" si="73"/>
        <v>22661.303794840351</v>
      </c>
      <c r="N221" s="43">
        <f t="shared" si="74"/>
        <v>4755932.3838301254</v>
      </c>
      <c r="O221">
        <f t="shared" si="75"/>
        <v>0</v>
      </c>
      <c r="P221">
        <f t="shared" si="76"/>
        <v>19699.270580695942</v>
      </c>
      <c r="Q221" s="43">
        <f t="shared" si="77"/>
        <v>4755932.3838301254</v>
      </c>
      <c r="R221">
        <f t="shared" si="78"/>
        <v>0</v>
      </c>
      <c r="S221">
        <f t="shared" si="79"/>
        <v>19699.270580695942</v>
      </c>
      <c r="T221" s="43">
        <f t="shared" si="80"/>
        <v>4755932.3838301254</v>
      </c>
      <c r="U221">
        <f t="shared" si="81"/>
        <v>0</v>
      </c>
      <c r="V221">
        <f t="shared" si="82"/>
        <v>19699.270580695942</v>
      </c>
      <c r="W221" s="43">
        <f t="shared" si="83"/>
        <v>4755932.3838301254</v>
      </c>
      <c r="X221" s="43">
        <f t="shared" si="84"/>
        <v>480578.29914171528</v>
      </c>
      <c r="Y221" s="27">
        <f t="shared" si="85"/>
        <v>36409.758884022318</v>
      </c>
      <c r="Z221" s="27">
        <f t="shared" si="86"/>
        <v>4719522.6249461034</v>
      </c>
      <c r="AA221">
        <f t="shared" si="87"/>
        <v>0</v>
      </c>
      <c r="AB221" s="27">
        <f t="shared" si="88"/>
        <v>4719522.6249461034</v>
      </c>
      <c r="AD221" s="27">
        <f t="shared" si="89"/>
        <v>0</v>
      </c>
      <c r="AE221" s="27">
        <f t="shared" si="90"/>
        <v>4719522.6249461034</v>
      </c>
      <c r="AF221" s="50"/>
      <c r="AG221" t="str">
        <f t="shared" si="91"/>
        <v>5307230</v>
      </c>
    </row>
    <row r="222" spans="1:33" x14ac:dyDescent="0.25">
      <c r="A222" s="7" t="s">
        <v>564</v>
      </c>
      <c r="B222" s="2" t="s">
        <v>1081</v>
      </c>
      <c r="C222" s="4" t="s">
        <v>1080</v>
      </c>
      <c r="D222">
        <f>_xlfn.IFNA(VLOOKUP(A222,'Prior Year data'!$A$1:$T$318,12,FALSE),0)</f>
        <v>192270.60098432816</v>
      </c>
      <c r="E222">
        <f>VLOOKUP(A222,'Basic HH'!$B$1:$Y$319,23,FALSE)</f>
        <v>78168.568257381587</v>
      </c>
      <c r="F222">
        <f>VLOOKUP(A222,'Conc. HH'!$B$1:$Y$319,23,FALSE)</f>
        <v>21036.197881414966</v>
      </c>
      <c r="G222">
        <f>VLOOKUP(A222,'Targeted HH'!$B$1:$Y$319,23,FALSE)</f>
        <v>49870.345864773233</v>
      </c>
      <c r="H222">
        <f>VLOOKUP(A222,'EFIG HH'!$B$1:$Y$319,23,FALSE)</f>
        <v>67850.445592594304</v>
      </c>
      <c r="I222">
        <f t="shared" si="69"/>
        <v>216925.55759616409</v>
      </c>
      <c r="J222">
        <f t="shared" si="70"/>
        <v>216925.55759616409</v>
      </c>
      <c r="K222" s="43">
        <f t="shared" si="71"/>
        <v>197140.02079963899</v>
      </c>
      <c r="L222">
        <f t="shared" si="72"/>
        <v>0</v>
      </c>
      <c r="M222">
        <f t="shared" si="73"/>
        <v>4869.41981531083</v>
      </c>
      <c r="N222" s="43">
        <f t="shared" si="74"/>
        <v>196503.54448048529</v>
      </c>
      <c r="O222">
        <f t="shared" si="75"/>
        <v>0</v>
      </c>
      <c r="P222">
        <f t="shared" si="76"/>
        <v>4232.9434961571242</v>
      </c>
      <c r="Q222" s="43">
        <f t="shared" si="77"/>
        <v>196503.54448048529</v>
      </c>
      <c r="R222">
        <f t="shared" si="78"/>
        <v>0</v>
      </c>
      <c r="S222">
        <f t="shared" si="79"/>
        <v>4232.9434961571242</v>
      </c>
      <c r="T222" s="43">
        <f t="shared" si="80"/>
        <v>196503.54448048529</v>
      </c>
      <c r="U222">
        <f t="shared" si="81"/>
        <v>0</v>
      </c>
      <c r="V222">
        <f t="shared" si="82"/>
        <v>4232.9434961571242</v>
      </c>
      <c r="W222" s="43">
        <f t="shared" si="83"/>
        <v>196503.54448048529</v>
      </c>
      <c r="X222" s="43">
        <f t="shared" si="84"/>
        <v>20422.013115678797</v>
      </c>
      <c r="Y222" s="27">
        <f t="shared" si="85"/>
        <v>1504.3625722509382</v>
      </c>
      <c r="Z222" s="27">
        <f t="shared" si="86"/>
        <v>194999.18190823434</v>
      </c>
      <c r="AA222">
        <f t="shared" si="87"/>
        <v>0</v>
      </c>
      <c r="AB222" s="27">
        <f t="shared" si="88"/>
        <v>194999.18190823434</v>
      </c>
      <c r="AD222" s="27">
        <f t="shared" si="89"/>
        <v>0</v>
      </c>
      <c r="AE222" s="27">
        <f t="shared" si="90"/>
        <v>194999.18190823434</v>
      </c>
      <c r="AF222" s="50"/>
      <c r="AG222" t="str">
        <f t="shared" si="91"/>
        <v>5307260</v>
      </c>
    </row>
    <row r="223" spans="1:33" x14ac:dyDescent="0.25">
      <c r="A223" s="7" t="s">
        <v>199</v>
      </c>
      <c r="B223" s="2" t="s">
        <v>1083</v>
      </c>
      <c r="C223" s="4" t="s">
        <v>1082</v>
      </c>
      <c r="D223">
        <f>_xlfn.IFNA(VLOOKUP(A223,'Prior Year data'!$A$1:$T$318,12,FALSE),0)</f>
        <v>2653165.9224786186</v>
      </c>
      <c r="E223">
        <f>VLOOKUP(A223,'Basic HH'!$B$1:$Y$319,23,FALSE)</f>
        <v>1302809.4709563595</v>
      </c>
      <c r="F223">
        <f>VLOOKUP(A223,'Conc. HH'!$B$1:$Y$319,23,FALSE)</f>
        <v>0</v>
      </c>
      <c r="G223">
        <f>VLOOKUP(A223,'Targeted HH'!$B$1:$Y$319,23,FALSE)</f>
        <v>798156.03308457183</v>
      </c>
      <c r="H223">
        <f>VLOOKUP(A223,'EFIG HH'!$B$1:$Y$319,23,FALSE)</f>
        <v>1085920.7322133111</v>
      </c>
      <c r="I223">
        <f t="shared" si="69"/>
        <v>3186886.2362542422</v>
      </c>
      <c r="J223">
        <f t="shared" si="70"/>
        <v>3186886.2362542422</v>
      </c>
      <c r="K223" s="43">
        <f t="shared" si="71"/>
        <v>2896213.917176323</v>
      </c>
      <c r="L223">
        <f t="shared" si="72"/>
        <v>0</v>
      </c>
      <c r="M223">
        <f t="shared" si="73"/>
        <v>243047.99469770445</v>
      </c>
      <c r="N223" s="43">
        <f t="shared" si="74"/>
        <v>2864445.3905529901</v>
      </c>
      <c r="O223">
        <f t="shared" si="75"/>
        <v>0</v>
      </c>
      <c r="P223">
        <f t="shared" si="76"/>
        <v>211279.46807437157</v>
      </c>
      <c r="Q223" s="43">
        <f t="shared" si="77"/>
        <v>2864445.3905529901</v>
      </c>
      <c r="R223">
        <f t="shared" si="78"/>
        <v>0</v>
      </c>
      <c r="S223">
        <f t="shared" si="79"/>
        <v>211279.46807437157</v>
      </c>
      <c r="T223" s="43">
        <f t="shared" si="80"/>
        <v>2864445.3905529901</v>
      </c>
      <c r="U223">
        <f t="shared" si="81"/>
        <v>0</v>
      </c>
      <c r="V223">
        <f t="shared" si="82"/>
        <v>211279.46807437157</v>
      </c>
      <c r="W223" s="43">
        <f t="shared" si="83"/>
        <v>2864445.3905529901</v>
      </c>
      <c r="X223" s="43">
        <f t="shared" si="84"/>
        <v>322440.84570125211</v>
      </c>
      <c r="Y223" s="27">
        <f t="shared" si="85"/>
        <v>21929.194443780536</v>
      </c>
      <c r="Z223" s="27">
        <f t="shared" si="86"/>
        <v>2842516.1961092097</v>
      </c>
      <c r="AA223">
        <f t="shared" si="87"/>
        <v>0</v>
      </c>
      <c r="AB223" s="27">
        <f t="shared" si="88"/>
        <v>2842516.1961092097</v>
      </c>
      <c r="AD223" s="27">
        <f t="shared" si="89"/>
        <v>0</v>
      </c>
      <c r="AE223" s="27">
        <f t="shared" si="90"/>
        <v>2842516.1961092097</v>
      </c>
      <c r="AF223" s="50"/>
      <c r="AG223" t="str">
        <f t="shared" si="91"/>
        <v>5307320</v>
      </c>
    </row>
    <row r="224" spans="1:33" x14ac:dyDescent="0.25">
      <c r="A224" s="7" t="s">
        <v>201</v>
      </c>
      <c r="B224" s="2" t="s">
        <v>1085</v>
      </c>
      <c r="C224" s="4" t="s">
        <v>1084</v>
      </c>
      <c r="D224">
        <f>_xlfn.IFNA(VLOOKUP(A224,'Prior Year data'!$A$1:$T$318,12,FALSE),0)</f>
        <v>180579.28487678117</v>
      </c>
      <c r="E224">
        <f>VLOOKUP(A224,'Basic HH'!$B$1:$Y$319,23,FALSE)</f>
        <v>154686.01391368813</v>
      </c>
      <c r="F224">
        <f>VLOOKUP(A224,'Conc. HH'!$B$1:$Y$319,23,FALSE)</f>
        <v>0</v>
      </c>
      <c r="G224">
        <f>VLOOKUP(A224,'Targeted HH'!$B$1:$Y$319,23,FALSE)</f>
        <v>0</v>
      </c>
      <c r="H224">
        <f>VLOOKUP(A224,'EFIG HH'!$B$1:$Y$319,23,FALSE)</f>
        <v>0</v>
      </c>
      <c r="I224">
        <f t="shared" si="69"/>
        <v>154686.01391368813</v>
      </c>
      <c r="J224">
        <f t="shared" si="70"/>
        <v>0</v>
      </c>
      <c r="K224" s="43">
        <f t="shared" si="71"/>
        <v>154686.01391368813</v>
      </c>
      <c r="L224">
        <f t="shared" si="72"/>
        <v>0</v>
      </c>
      <c r="M224">
        <f t="shared" si="73"/>
        <v>0</v>
      </c>
      <c r="N224" s="43">
        <f t="shared" si="74"/>
        <v>154686.01391368813</v>
      </c>
      <c r="O224">
        <f t="shared" si="75"/>
        <v>0</v>
      </c>
      <c r="P224">
        <f t="shared" si="76"/>
        <v>0</v>
      </c>
      <c r="Q224" s="43">
        <f t="shared" si="77"/>
        <v>154686.01391368813</v>
      </c>
      <c r="R224">
        <f t="shared" si="78"/>
        <v>0</v>
      </c>
      <c r="S224">
        <f t="shared" si="79"/>
        <v>0</v>
      </c>
      <c r="T224" s="43">
        <f t="shared" si="80"/>
        <v>154686.01391368813</v>
      </c>
      <c r="U224">
        <f t="shared" si="81"/>
        <v>0</v>
      </c>
      <c r="V224">
        <f t="shared" si="82"/>
        <v>0</v>
      </c>
      <c r="W224" s="43">
        <f t="shared" si="83"/>
        <v>154686.01391368813</v>
      </c>
      <c r="X224" s="43">
        <f t="shared" si="84"/>
        <v>0</v>
      </c>
      <c r="Y224" s="27">
        <f t="shared" si="85"/>
        <v>1184.2221492628091</v>
      </c>
      <c r="Z224" s="27">
        <f t="shared" si="86"/>
        <v>153501.79176442532</v>
      </c>
      <c r="AA224">
        <f t="shared" si="87"/>
        <v>0</v>
      </c>
      <c r="AB224" s="27">
        <f t="shared" si="88"/>
        <v>153501.79176442532</v>
      </c>
      <c r="AD224" s="27">
        <f t="shared" si="89"/>
        <v>0</v>
      </c>
      <c r="AE224" s="27">
        <f t="shared" si="90"/>
        <v>153501.79176442532</v>
      </c>
      <c r="AF224" s="50"/>
      <c r="AG224" t="str">
        <f t="shared" si="91"/>
        <v>5307350</v>
      </c>
    </row>
    <row r="225" spans="1:33" x14ac:dyDescent="0.25">
      <c r="A225" s="7" t="s">
        <v>203</v>
      </c>
      <c r="B225" s="2" t="s">
        <v>1087</v>
      </c>
      <c r="C225" s="4" t="s">
        <v>1086</v>
      </c>
      <c r="D225">
        <f>_xlfn.IFNA(VLOOKUP(A225,'Prior Year data'!$A$1:$T$318,12,FALSE),0)</f>
        <v>94661.249415756829</v>
      </c>
      <c r="E225">
        <f>VLOOKUP(A225,'Basic HH'!$B$1:$Y$319,23,FALSE)</f>
        <v>43146.579257373196</v>
      </c>
      <c r="F225">
        <f>VLOOKUP(A225,'Conc. HH'!$B$1:$Y$319,23,FALSE)</f>
        <v>0</v>
      </c>
      <c r="G225">
        <f>VLOOKUP(A225,'Targeted HH'!$B$1:$Y$319,23,FALSE)</f>
        <v>20639.736310718396</v>
      </c>
      <c r="H225">
        <f>VLOOKUP(A225,'EFIG HH'!$B$1:$Y$319,23,FALSE)</f>
        <v>28369.690038557383</v>
      </c>
      <c r="I225">
        <f t="shared" si="69"/>
        <v>92156.005606648978</v>
      </c>
      <c r="J225">
        <f t="shared" si="70"/>
        <v>0</v>
      </c>
      <c r="K225" s="43">
        <f t="shared" si="71"/>
        <v>92156.005606648978</v>
      </c>
      <c r="L225">
        <f t="shared" si="72"/>
        <v>0</v>
      </c>
      <c r="M225">
        <f t="shared" si="73"/>
        <v>0</v>
      </c>
      <c r="N225" s="43">
        <f t="shared" si="74"/>
        <v>92156.005606648978</v>
      </c>
      <c r="O225">
        <f t="shared" si="75"/>
        <v>0</v>
      </c>
      <c r="P225">
        <f t="shared" si="76"/>
        <v>0</v>
      </c>
      <c r="Q225" s="43">
        <f t="shared" si="77"/>
        <v>92156.005606648978</v>
      </c>
      <c r="R225">
        <f t="shared" si="78"/>
        <v>0</v>
      </c>
      <c r="S225">
        <f t="shared" si="79"/>
        <v>0</v>
      </c>
      <c r="T225" s="43">
        <f t="shared" si="80"/>
        <v>92156.005606648978</v>
      </c>
      <c r="U225">
        <f t="shared" si="81"/>
        <v>0</v>
      </c>
      <c r="V225">
        <f t="shared" si="82"/>
        <v>0</v>
      </c>
      <c r="W225" s="43">
        <f t="shared" si="83"/>
        <v>92156.005606648978</v>
      </c>
      <c r="X225" s="43">
        <f t="shared" si="84"/>
        <v>0</v>
      </c>
      <c r="Y225" s="27">
        <f t="shared" si="85"/>
        <v>705.51422372209811</v>
      </c>
      <c r="Z225" s="27">
        <f t="shared" si="86"/>
        <v>91450.491382926877</v>
      </c>
      <c r="AA225">
        <f t="shared" si="87"/>
        <v>0</v>
      </c>
      <c r="AB225" s="27">
        <f t="shared" si="88"/>
        <v>91450.491382926877</v>
      </c>
      <c r="AD225" s="27">
        <f t="shared" si="89"/>
        <v>0</v>
      </c>
      <c r="AE225" s="27">
        <f t="shared" si="90"/>
        <v>91450.491382926877</v>
      </c>
      <c r="AF225" s="50"/>
      <c r="AG225" t="str">
        <f t="shared" si="91"/>
        <v>5307380</v>
      </c>
    </row>
    <row r="226" spans="1:33" x14ac:dyDescent="0.25">
      <c r="A226" s="7" t="s">
        <v>296</v>
      </c>
      <c r="B226" s="2" t="s">
        <v>1089</v>
      </c>
      <c r="C226" s="4" t="s">
        <v>1088</v>
      </c>
      <c r="D226">
        <f>_xlfn.IFNA(VLOOKUP(A226,'Prior Year data'!$A$1:$T$318,12,FALSE),0)</f>
        <v>469269.77765432402</v>
      </c>
      <c r="E226">
        <f>VLOOKUP(A226,'Basic HH'!$B$1:$Y$319,23,FALSE)</f>
        <v>219740.53076797261</v>
      </c>
      <c r="F226">
        <f>VLOOKUP(A226,'Conc. HH'!$B$1:$Y$319,23,FALSE)</f>
        <v>0</v>
      </c>
      <c r="G226">
        <f>VLOOKUP(A226,'Targeted HH'!$B$1:$Y$319,23,FALSE)</f>
        <v>106029.65417190688</v>
      </c>
      <c r="H226">
        <f>VLOOKUP(A226,'EFIG HH'!$B$1:$Y$319,23,FALSE)</f>
        <v>144257.25662901954</v>
      </c>
      <c r="I226">
        <f t="shared" si="69"/>
        <v>470027.44156889897</v>
      </c>
      <c r="J226">
        <f t="shared" si="70"/>
        <v>470027.44156889897</v>
      </c>
      <c r="K226" s="43">
        <f t="shared" si="71"/>
        <v>427156.76582376281</v>
      </c>
      <c r="L226">
        <f t="shared" si="72"/>
        <v>42113.011830561212</v>
      </c>
      <c r="M226">
        <f t="shared" si="73"/>
        <v>0</v>
      </c>
      <c r="N226" s="43">
        <f t="shared" si="74"/>
        <v>469269.77765432402</v>
      </c>
      <c r="O226">
        <f t="shared" si="75"/>
        <v>0</v>
      </c>
      <c r="P226">
        <f t="shared" si="76"/>
        <v>0</v>
      </c>
      <c r="Q226" s="43">
        <f t="shared" si="77"/>
        <v>469269.77765432402</v>
      </c>
      <c r="R226">
        <f t="shared" si="78"/>
        <v>0</v>
      </c>
      <c r="S226">
        <f t="shared" si="79"/>
        <v>0</v>
      </c>
      <c r="T226" s="43">
        <f t="shared" si="80"/>
        <v>469269.77765432402</v>
      </c>
      <c r="U226">
        <f t="shared" si="81"/>
        <v>0</v>
      </c>
      <c r="V226">
        <f t="shared" si="82"/>
        <v>0</v>
      </c>
      <c r="W226" s="43">
        <f t="shared" si="83"/>
        <v>469269.77765432402</v>
      </c>
      <c r="X226" s="43">
        <f t="shared" si="84"/>
        <v>757.66391457495047</v>
      </c>
      <c r="Y226" s="27">
        <f t="shared" si="85"/>
        <v>3592.5656794541565</v>
      </c>
      <c r="Z226" s="27">
        <f t="shared" si="86"/>
        <v>465677.21197486989</v>
      </c>
      <c r="AA226">
        <f t="shared" si="87"/>
        <v>0</v>
      </c>
      <c r="AB226" s="27">
        <f t="shared" si="88"/>
        <v>465677.21197486989</v>
      </c>
      <c r="AD226" s="27">
        <f t="shared" si="89"/>
        <v>0</v>
      </c>
      <c r="AE226" s="27">
        <f t="shared" si="90"/>
        <v>465677.21197486989</v>
      </c>
      <c r="AF226" s="50"/>
      <c r="AG226" t="str">
        <f t="shared" si="91"/>
        <v>5307440</v>
      </c>
    </row>
    <row r="227" spans="1:33" x14ac:dyDescent="0.25">
      <c r="A227" s="7" t="s">
        <v>205</v>
      </c>
      <c r="B227" s="2" t="s">
        <v>1091</v>
      </c>
      <c r="C227" s="4" t="s">
        <v>1090</v>
      </c>
      <c r="D227">
        <f>_xlfn.IFNA(VLOOKUP(A227,'Prior Year data'!$A$1:$T$318,12,FALSE),0)</f>
        <v>142419.13411036707</v>
      </c>
      <c r="E227">
        <f>VLOOKUP(A227,'Basic HH'!$B$1:$Y$319,23,FALSE)</f>
        <v>121997.64870928614</v>
      </c>
      <c r="F227">
        <f>VLOOKUP(A227,'Conc. HH'!$B$1:$Y$319,23,FALSE)</f>
        <v>0</v>
      </c>
      <c r="G227">
        <f>VLOOKUP(A227,'Targeted HH'!$B$1:$Y$319,23,FALSE)</f>
        <v>0</v>
      </c>
      <c r="H227">
        <f>VLOOKUP(A227,'EFIG HH'!$B$1:$Y$319,23,FALSE)</f>
        <v>0</v>
      </c>
      <c r="I227">
        <f t="shared" si="69"/>
        <v>121997.64870928614</v>
      </c>
      <c r="J227">
        <f t="shared" si="70"/>
        <v>0</v>
      </c>
      <c r="K227" s="43">
        <f t="shared" si="71"/>
        <v>121997.64870928614</v>
      </c>
      <c r="L227">
        <f t="shared" si="72"/>
        <v>0</v>
      </c>
      <c r="M227">
        <f t="shared" si="73"/>
        <v>0</v>
      </c>
      <c r="N227" s="43">
        <f t="shared" si="74"/>
        <v>121997.64870928614</v>
      </c>
      <c r="O227">
        <f t="shared" si="75"/>
        <v>0</v>
      </c>
      <c r="P227">
        <f t="shared" si="76"/>
        <v>0</v>
      </c>
      <c r="Q227" s="43">
        <f t="shared" si="77"/>
        <v>121997.64870928614</v>
      </c>
      <c r="R227">
        <f t="shared" si="78"/>
        <v>0</v>
      </c>
      <c r="S227">
        <f t="shared" si="79"/>
        <v>0</v>
      </c>
      <c r="T227" s="43">
        <f t="shared" si="80"/>
        <v>121997.64870928614</v>
      </c>
      <c r="U227">
        <f t="shared" si="81"/>
        <v>0</v>
      </c>
      <c r="V227">
        <f t="shared" si="82"/>
        <v>0</v>
      </c>
      <c r="W227" s="43">
        <f t="shared" si="83"/>
        <v>121997.64870928614</v>
      </c>
      <c r="X227" s="43">
        <f t="shared" si="84"/>
        <v>0</v>
      </c>
      <c r="Y227" s="27">
        <f t="shared" si="85"/>
        <v>933.97143092802696</v>
      </c>
      <c r="Z227" s="27">
        <f t="shared" si="86"/>
        <v>121063.67727835811</v>
      </c>
      <c r="AA227">
        <f t="shared" si="87"/>
        <v>0</v>
      </c>
      <c r="AB227" s="27">
        <f t="shared" si="88"/>
        <v>121063.67727835811</v>
      </c>
      <c r="AD227" s="27">
        <f t="shared" si="89"/>
        <v>0</v>
      </c>
      <c r="AE227" s="27">
        <f t="shared" si="90"/>
        <v>121063.67727835811</v>
      </c>
      <c r="AF227" s="50"/>
      <c r="AG227" t="str">
        <f t="shared" si="91"/>
        <v>5304560</v>
      </c>
    </row>
    <row r="228" spans="1:33" x14ac:dyDescent="0.25">
      <c r="A228" s="7" t="s">
        <v>566</v>
      </c>
      <c r="B228" s="2" t="s">
        <v>1093</v>
      </c>
      <c r="C228" s="4" t="s">
        <v>1092</v>
      </c>
      <c r="D228">
        <f>_xlfn.IFNA(VLOOKUP(A228,'Prior Year data'!$A$1:$T$318,12,FALSE),0)</f>
        <v>592944.25597811153</v>
      </c>
      <c r="E228">
        <f>VLOOKUP(A228,'Basic HH'!$B$1:$Y$319,23,FALSE)</f>
        <v>220609.07041527689</v>
      </c>
      <c r="F228">
        <f>VLOOKUP(A228,'Conc. HH'!$B$1:$Y$319,23,FALSE)</f>
        <v>49745.119925263476</v>
      </c>
      <c r="G228">
        <f>VLOOKUP(A228,'Targeted HH'!$B$1:$Y$319,23,FALSE)</f>
        <v>106448.7437140883</v>
      </c>
      <c r="H228">
        <f>VLOOKUP(A228,'EFIG HH'!$B$1:$Y$319,23,FALSE)</f>
        <v>144827.44341411447</v>
      </c>
      <c r="I228">
        <f t="shared" si="69"/>
        <v>521630.37746874313</v>
      </c>
      <c r="J228">
        <f t="shared" si="70"/>
        <v>0</v>
      </c>
      <c r="K228" s="43">
        <f t="shared" si="71"/>
        <v>521630.37746874313</v>
      </c>
      <c r="L228">
        <f t="shared" si="72"/>
        <v>0</v>
      </c>
      <c r="M228">
        <f t="shared" si="73"/>
        <v>0</v>
      </c>
      <c r="N228" s="43">
        <f t="shared" si="74"/>
        <v>521630.37746874313</v>
      </c>
      <c r="O228">
        <f t="shared" si="75"/>
        <v>0</v>
      </c>
      <c r="P228">
        <f t="shared" si="76"/>
        <v>0</v>
      </c>
      <c r="Q228" s="43">
        <f t="shared" si="77"/>
        <v>521630.37746874313</v>
      </c>
      <c r="R228">
        <f t="shared" si="78"/>
        <v>0</v>
      </c>
      <c r="S228">
        <f t="shared" si="79"/>
        <v>0</v>
      </c>
      <c r="T228" s="43">
        <f t="shared" si="80"/>
        <v>521630.37746874313</v>
      </c>
      <c r="U228">
        <f t="shared" si="81"/>
        <v>0</v>
      </c>
      <c r="V228">
        <f t="shared" si="82"/>
        <v>0</v>
      </c>
      <c r="W228" s="43">
        <f t="shared" si="83"/>
        <v>521630.37746874313</v>
      </c>
      <c r="X228" s="43">
        <f t="shared" si="84"/>
        <v>0</v>
      </c>
      <c r="Y228" s="27">
        <f t="shared" si="85"/>
        <v>3993.4201618996071</v>
      </c>
      <c r="Z228" s="27">
        <f t="shared" si="86"/>
        <v>517636.95730684354</v>
      </c>
      <c r="AA228">
        <f t="shared" si="87"/>
        <v>0</v>
      </c>
      <c r="AB228" s="27">
        <f t="shared" si="88"/>
        <v>517636.95730684354</v>
      </c>
      <c r="AD228" s="27">
        <f t="shared" si="89"/>
        <v>0</v>
      </c>
      <c r="AE228" s="27">
        <f t="shared" si="90"/>
        <v>517636.95730684354</v>
      </c>
      <c r="AF228" s="50"/>
      <c r="AG228" t="str">
        <f t="shared" si="91"/>
        <v>5307470</v>
      </c>
    </row>
    <row r="229" spans="1:33" x14ac:dyDescent="0.25">
      <c r="A229" s="7" t="s">
        <v>298</v>
      </c>
      <c r="B229" s="2" t="s">
        <v>1095</v>
      </c>
      <c r="C229" s="4" t="s">
        <v>1094</v>
      </c>
      <c r="D229">
        <f>_xlfn.IFNA(VLOOKUP(A229,'Prior Year data'!$A$1:$T$318,12,FALSE),0)</f>
        <v>1784.7061918380432</v>
      </c>
      <c r="E229">
        <f>VLOOKUP(A229,'Basic HH'!$B$1:$Y$319,23,FALSE)</f>
        <v>0</v>
      </c>
      <c r="F229">
        <f>VLOOKUP(A229,'Conc. HH'!$B$1:$Y$319,23,FALSE)</f>
        <v>1528.7970987972483</v>
      </c>
      <c r="G229">
        <f>VLOOKUP(A229,'Targeted HH'!$B$1:$Y$319,23,FALSE)</f>
        <v>0</v>
      </c>
      <c r="H229">
        <f>VLOOKUP(A229,'EFIG HH'!$B$1:$Y$319,23,FALSE)</f>
        <v>0</v>
      </c>
      <c r="I229">
        <f t="shared" si="69"/>
        <v>1528.7970987972483</v>
      </c>
      <c r="J229">
        <f t="shared" si="70"/>
        <v>0</v>
      </c>
      <c r="K229" s="43">
        <f t="shared" si="71"/>
        <v>1528.7970987972483</v>
      </c>
      <c r="L229">
        <f t="shared" si="72"/>
        <v>0</v>
      </c>
      <c r="M229">
        <f t="shared" si="73"/>
        <v>0</v>
      </c>
      <c r="N229" s="43">
        <f t="shared" si="74"/>
        <v>1528.7970987972483</v>
      </c>
      <c r="O229">
        <f t="shared" si="75"/>
        <v>0</v>
      </c>
      <c r="P229">
        <f t="shared" si="76"/>
        <v>0</v>
      </c>
      <c r="Q229" s="43">
        <f t="shared" si="77"/>
        <v>1528.7970987972483</v>
      </c>
      <c r="R229">
        <f t="shared" si="78"/>
        <v>0</v>
      </c>
      <c r="S229">
        <f t="shared" si="79"/>
        <v>0</v>
      </c>
      <c r="T229" s="43">
        <f t="shared" si="80"/>
        <v>1528.7970987972483</v>
      </c>
      <c r="U229">
        <f t="shared" si="81"/>
        <v>0</v>
      </c>
      <c r="V229">
        <f t="shared" si="82"/>
        <v>0</v>
      </c>
      <c r="W229" s="43">
        <f t="shared" si="83"/>
        <v>1528.7970987972483</v>
      </c>
      <c r="X229" s="43">
        <f t="shared" si="84"/>
        <v>0</v>
      </c>
      <c r="Y229" s="27">
        <f t="shared" si="85"/>
        <v>11.703937158369166</v>
      </c>
      <c r="Z229" s="27">
        <f t="shared" si="86"/>
        <v>1517.0931616388791</v>
      </c>
      <c r="AA229">
        <f t="shared" si="87"/>
        <v>0</v>
      </c>
      <c r="AB229" s="27">
        <f t="shared" si="88"/>
        <v>1517.0931616388791</v>
      </c>
      <c r="AD229" s="27">
        <f t="shared" si="89"/>
        <v>0</v>
      </c>
      <c r="AE229" s="27">
        <f t="shared" si="90"/>
        <v>1517.0931616388791</v>
      </c>
      <c r="AF229" s="50"/>
      <c r="AG229" t="str">
        <f t="shared" si="91"/>
        <v>5307530</v>
      </c>
    </row>
    <row r="230" spans="1:33" x14ac:dyDescent="0.25">
      <c r="A230" t="s">
        <v>1423</v>
      </c>
      <c r="B230" t="s">
        <v>1424</v>
      </c>
      <c r="C230" t="s">
        <v>1430</v>
      </c>
      <c r="D230">
        <f>_xlfn.IFNA(VLOOKUP(A230,'Prior Year data'!$A$1:$T$318,12,FALSE),0)</f>
        <v>26047.921873118485</v>
      </c>
      <c r="E230">
        <f>VLOOKUP(A230,'Basic HH'!$B$1:$Y$319,23,FALSE)</f>
        <v>14448.393907355283</v>
      </c>
      <c r="F230">
        <f>VLOOKUP(A230,'Conc. HH'!$B$1:$Y$319,23,FALSE)</f>
        <v>0</v>
      </c>
      <c r="G230">
        <f>VLOOKUP(A230,'Targeted HH'!$B$1:$Y$319,23,FALSE)</f>
        <v>10202.90560254611</v>
      </c>
      <c r="H230">
        <f>VLOOKUP(A230,'EFIG HH'!$B$1:$Y$319,23,FALSE)</f>
        <v>13881.429524252171</v>
      </c>
      <c r="I230">
        <f t="shared" si="69"/>
        <v>38532.729034153563</v>
      </c>
      <c r="J230">
        <f t="shared" si="70"/>
        <v>38532.729034153563</v>
      </c>
      <c r="K230" s="43">
        <f t="shared" si="71"/>
        <v>35018.202038698888</v>
      </c>
      <c r="L230">
        <f t="shared" si="72"/>
        <v>0</v>
      </c>
      <c r="M230">
        <f t="shared" si="73"/>
        <v>8970.2801655804033</v>
      </c>
      <c r="N230" s="43">
        <f t="shared" si="74"/>
        <v>33845.706932892987</v>
      </c>
      <c r="O230">
        <f t="shared" si="75"/>
        <v>0</v>
      </c>
      <c r="P230">
        <f t="shared" si="76"/>
        <v>7797.7850597745019</v>
      </c>
      <c r="Q230" s="43">
        <f t="shared" si="77"/>
        <v>33845.706932892987</v>
      </c>
      <c r="R230">
        <f t="shared" si="78"/>
        <v>0</v>
      </c>
      <c r="S230">
        <f t="shared" si="79"/>
        <v>7797.7850597745019</v>
      </c>
      <c r="T230" s="43">
        <f t="shared" si="80"/>
        <v>33845.706932892987</v>
      </c>
      <c r="U230">
        <f t="shared" si="81"/>
        <v>0</v>
      </c>
      <c r="V230">
        <f t="shared" si="82"/>
        <v>7797.7850597745019</v>
      </c>
      <c r="W230" s="43">
        <f t="shared" si="83"/>
        <v>33845.706932892987</v>
      </c>
      <c r="X230" s="43">
        <f t="shared" si="84"/>
        <v>4687.0221012605762</v>
      </c>
      <c r="Y230" s="27">
        <f t="shared" si="85"/>
        <v>259.11092278681406</v>
      </c>
      <c r="Z230" s="27">
        <f t="shared" si="86"/>
        <v>33586.596010106172</v>
      </c>
      <c r="AA230">
        <f t="shared" si="87"/>
        <v>0</v>
      </c>
      <c r="AB230" s="27">
        <f t="shared" si="88"/>
        <v>33586.596010106172</v>
      </c>
      <c r="AD230" s="27">
        <f t="shared" si="89"/>
        <v>0</v>
      </c>
      <c r="AE230" s="27">
        <f t="shared" si="90"/>
        <v>33586.596010106172</v>
      </c>
      <c r="AF230" s="50"/>
      <c r="AG230" t="str">
        <f t="shared" si="91"/>
        <v>5307795</v>
      </c>
    </row>
    <row r="231" spans="1:33" x14ac:dyDescent="0.25">
      <c r="A231" s="7" t="s">
        <v>568</v>
      </c>
      <c r="B231" s="2" t="s">
        <v>1097</v>
      </c>
      <c r="C231" s="4" t="s">
        <v>1096</v>
      </c>
      <c r="D231">
        <f>_xlfn.IFNA(VLOOKUP(A231,'Prior Year data'!$A$1:$T$318,12,FALSE),0)</f>
        <v>65449.091901415748</v>
      </c>
      <c r="E231">
        <f>VLOOKUP(A231,'Basic HH'!$B$1:$Y$319,23,FALSE)</f>
        <v>40821.363423299255</v>
      </c>
      <c r="F231">
        <f>VLOOKUP(A231,'Conc. HH'!$B$1:$Y$319,23,FALSE)</f>
        <v>10985.570004738922</v>
      </c>
      <c r="G231">
        <f>VLOOKUP(A231,'Targeted HH'!$B$1:$Y$319,23,FALSE)</f>
        <v>22374.373432460372</v>
      </c>
      <c r="H231">
        <f>VLOOKUP(A231,'EFIG HH'!$B$1:$Y$319,23,FALSE)</f>
        <v>30441.160591987842</v>
      </c>
      <c r="I231">
        <f t="shared" si="69"/>
        <v>104622.46745248639</v>
      </c>
      <c r="J231">
        <f t="shared" si="70"/>
        <v>104622.46745248639</v>
      </c>
      <c r="K231" s="43">
        <f t="shared" si="71"/>
        <v>95079.96954461874</v>
      </c>
      <c r="L231">
        <f t="shared" si="72"/>
        <v>0</v>
      </c>
      <c r="M231">
        <f t="shared" si="73"/>
        <v>29630.877643202992</v>
      </c>
      <c r="N231" s="43">
        <f t="shared" si="74"/>
        <v>91206.951269147612</v>
      </c>
      <c r="O231">
        <f t="shared" si="75"/>
        <v>0</v>
      </c>
      <c r="P231">
        <f t="shared" si="76"/>
        <v>25757.859367731864</v>
      </c>
      <c r="Q231" s="43">
        <f t="shared" si="77"/>
        <v>91206.951269147612</v>
      </c>
      <c r="R231">
        <f t="shared" si="78"/>
        <v>0</v>
      </c>
      <c r="S231">
        <f t="shared" si="79"/>
        <v>25757.859367731864</v>
      </c>
      <c r="T231" s="43">
        <f t="shared" si="80"/>
        <v>91206.951269147612</v>
      </c>
      <c r="U231">
        <f t="shared" si="81"/>
        <v>0</v>
      </c>
      <c r="V231">
        <f t="shared" si="82"/>
        <v>25757.859367731864</v>
      </c>
      <c r="W231" s="43">
        <f t="shared" si="83"/>
        <v>91206.951269147612</v>
      </c>
      <c r="X231" s="43">
        <f t="shared" si="84"/>
        <v>13415.516183338783</v>
      </c>
      <c r="Y231" s="27">
        <f t="shared" si="85"/>
        <v>698.24859485955471</v>
      </c>
      <c r="Z231" s="27">
        <f t="shared" si="86"/>
        <v>90508.702674288055</v>
      </c>
      <c r="AA231">
        <f t="shared" si="87"/>
        <v>0</v>
      </c>
      <c r="AB231" s="27">
        <f t="shared" si="88"/>
        <v>90508.702674288055</v>
      </c>
      <c r="AD231" s="27">
        <f t="shared" si="89"/>
        <v>0</v>
      </c>
      <c r="AE231" s="27">
        <f t="shared" si="90"/>
        <v>90508.702674288055</v>
      </c>
      <c r="AF231" s="50"/>
      <c r="AG231" t="str">
        <f t="shared" si="91"/>
        <v>5307560</v>
      </c>
    </row>
    <row r="232" spans="1:33" x14ac:dyDescent="0.25">
      <c r="A232" s="7" t="s">
        <v>570</v>
      </c>
      <c r="B232" s="2" t="s">
        <v>1099</v>
      </c>
      <c r="C232" s="4" t="s">
        <v>1098</v>
      </c>
      <c r="D232">
        <f>_xlfn.IFNA(VLOOKUP(A232,'Prior Year data'!$A$1:$T$318,12,FALSE),0)</f>
        <v>584743.26457960741</v>
      </c>
      <c r="E232">
        <f>VLOOKUP(A232,'Basic HH'!$B$1:$Y$319,23,FALSE)</f>
        <v>206199.47668807034</v>
      </c>
      <c r="F232">
        <f>VLOOKUP(A232,'Conc. HH'!$B$1:$Y$319,23,FALSE)</f>
        <v>52370.564365381637</v>
      </c>
      <c r="G232">
        <f>VLOOKUP(A232,'Targeted HH'!$B$1:$Y$319,23,FALSE)</f>
        <v>104555.24047984883</v>
      </c>
      <c r="H232">
        <f>VLOOKUP(A232,'EFIG HH'!$B$1:$Y$319,23,FALSE)</f>
        <v>137771.62268479104</v>
      </c>
      <c r="I232">
        <f t="shared" si="69"/>
        <v>500896.90421809186</v>
      </c>
      <c r="J232">
        <f t="shared" si="70"/>
        <v>0</v>
      </c>
      <c r="K232" s="43">
        <f t="shared" si="71"/>
        <v>500896.90421809186</v>
      </c>
      <c r="L232">
        <f t="shared" si="72"/>
        <v>0</v>
      </c>
      <c r="M232">
        <f t="shared" si="73"/>
        <v>0</v>
      </c>
      <c r="N232" s="43">
        <f t="shared" si="74"/>
        <v>500896.90421809186</v>
      </c>
      <c r="O232">
        <f t="shared" si="75"/>
        <v>0</v>
      </c>
      <c r="P232">
        <f t="shared" si="76"/>
        <v>0</v>
      </c>
      <c r="Q232" s="43">
        <f t="shared" si="77"/>
        <v>500896.90421809186</v>
      </c>
      <c r="R232">
        <f t="shared" si="78"/>
        <v>0</v>
      </c>
      <c r="S232">
        <f t="shared" si="79"/>
        <v>0</v>
      </c>
      <c r="T232" s="43">
        <f t="shared" si="80"/>
        <v>500896.90421809186</v>
      </c>
      <c r="U232">
        <f t="shared" si="81"/>
        <v>0</v>
      </c>
      <c r="V232">
        <f t="shared" si="82"/>
        <v>0</v>
      </c>
      <c r="W232" s="43">
        <f t="shared" si="83"/>
        <v>500896.90421809186</v>
      </c>
      <c r="X232" s="43">
        <f t="shared" si="84"/>
        <v>0</v>
      </c>
      <c r="Y232" s="27">
        <f t="shared" si="85"/>
        <v>3834.6919250451147</v>
      </c>
      <c r="Z232" s="27">
        <f t="shared" si="86"/>
        <v>497062.21229304676</v>
      </c>
      <c r="AA232">
        <f t="shared" si="87"/>
        <v>0</v>
      </c>
      <c r="AB232" s="27">
        <f t="shared" si="88"/>
        <v>497062.21229304676</v>
      </c>
      <c r="AD232" s="27">
        <f t="shared" si="89"/>
        <v>0</v>
      </c>
      <c r="AE232" s="27">
        <f t="shared" si="90"/>
        <v>497062.21229304676</v>
      </c>
      <c r="AF232" s="50"/>
      <c r="AG232" t="str">
        <f t="shared" si="91"/>
        <v>5307620</v>
      </c>
    </row>
    <row r="233" spans="1:33" x14ac:dyDescent="0.25">
      <c r="A233" s="7" t="s">
        <v>207</v>
      </c>
      <c r="B233" s="2" t="s">
        <v>1101</v>
      </c>
      <c r="C233" s="4" t="s">
        <v>1100</v>
      </c>
      <c r="D233">
        <f>_xlfn.IFNA(VLOOKUP(A233,'Prior Year data'!$A$1:$T$318,12,FALSE),0)</f>
        <v>176331.48742304288</v>
      </c>
      <c r="E233">
        <f>VLOOKUP(A233,'Basic HH'!$B$1:$Y$319,23,FALSE)</f>
        <v>75562.949315468839</v>
      </c>
      <c r="F233">
        <f>VLOOKUP(A233,'Conc. HH'!$B$1:$Y$319,23,FALSE)</f>
        <v>0</v>
      </c>
      <c r="G233">
        <f>VLOOKUP(A233,'Targeted HH'!$B$1:$Y$319,23,FALSE)</f>
        <v>36460.790169786145</v>
      </c>
      <c r="H233">
        <f>VLOOKUP(A233,'EFIG HH'!$B$1:$Y$319,23,FALSE)</f>
        <v>49606.25030325968</v>
      </c>
      <c r="I233">
        <f t="shared" si="69"/>
        <v>161629.98978851465</v>
      </c>
      <c r="J233">
        <f t="shared" si="70"/>
        <v>0</v>
      </c>
      <c r="K233" s="43">
        <f t="shared" si="71"/>
        <v>161629.98978851465</v>
      </c>
      <c r="L233">
        <f t="shared" si="72"/>
        <v>0</v>
      </c>
      <c r="M233">
        <f t="shared" si="73"/>
        <v>0</v>
      </c>
      <c r="N233" s="43">
        <f t="shared" si="74"/>
        <v>161629.98978851465</v>
      </c>
      <c r="O233">
        <f t="shared" si="75"/>
        <v>0</v>
      </c>
      <c r="P233">
        <f t="shared" si="76"/>
        <v>0</v>
      </c>
      <c r="Q233" s="43">
        <f t="shared" si="77"/>
        <v>161629.98978851465</v>
      </c>
      <c r="R233">
        <f t="shared" si="78"/>
        <v>0</v>
      </c>
      <c r="S233">
        <f t="shared" si="79"/>
        <v>0</v>
      </c>
      <c r="T233" s="43">
        <f t="shared" si="80"/>
        <v>161629.98978851465</v>
      </c>
      <c r="U233">
        <f t="shared" si="81"/>
        <v>0</v>
      </c>
      <c r="V233">
        <f t="shared" si="82"/>
        <v>0</v>
      </c>
      <c r="W233" s="43">
        <f t="shared" si="83"/>
        <v>161629.98978851465</v>
      </c>
      <c r="X233" s="43">
        <f t="shared" si="84"/>
        <v>0</v>
      </c>
      <c r="Y233" s="27">
        <f t="shared" si="85"/>
        <v>1237.3828056587038</v>
      </c>
      <c r="Z233" s="27">
        <f t="shared" si="86"/>
        <v>160392.60698285594</v>
      </c>
      <c r="AA233">
        <f t="shared" si="87"/>
        <v>0</v>
      </c>
      <c r="AB233" s="27">
        <f t="shared" si="88"/>
        <v>160392.60698285594</v>
      </c>
      <c r="AD233" s="27">
        <f t="shared" si="89"/>
        <v>0</v>
      </c>
      <c r="AE233" s="27">
        <f t="shared" si="90"/>
        <v>160392.60698285594</v>
      </c>
      <c r="AF233" s="50"/>
      <c r="AG233" t="str">
        <f t="shared" si="91"/>
        <v>5307650</v>
      </c>
    </row>
    <row r="234" spans="1:33" x14ac:dyDescent="0.25">
      <c r="A234" s="7" t="s">
        <v>572</v>
      </c>
      <c r="B234" s="2" t="s">
        <v>1103</v>
      </c>
      <c r="C234" s="4" t="s">
        <v>1102</v>
      </c>
      <c r="D234">
        <f>_xlfn.IFNA(VLOOKUP(A234,'Prior Year data'!$A$1:$T$318,12,FALSE),0)</f>
        <v>40470.578656581223</v>
      </c>
      <c r="E234">
        <f>VLOOKUP(A234,'Basic HH'!$B$1:$Y$319,23,FALSE)</f>
        <v>13597.261156452951</v>
      </c>
      <c r="F234">
        <f>VLOOKUP(A234,'Conc. HH'!$B$1:$Y$319,23,FALSE)</f>
        <v>3561.1979477865334</v>
      </c>
      <c r="G234">
        <f>VLOOKUP(A234,'Targeted HH'!$B$1:$Y$319,23,FALSE)</f>
        <v>7634.8743479050181</v>
      </c>
      <c r="H234">
        <f>VLOOKUP(A234,'EFIG HH'!$B$1:$Y$319,23,FALSE)</f>
        <v>10527.985249291687</v>
      </c>
      <c r="I234">
        <f t="shared" si="69"/>
        <v>35321.31870143619</v>
      </c>
      <c r="J234">
        <f t="shared" si="70"/>
        <v>0</v>
      </c>
      <c r="K234" s="43">
        <f t="shared" si="71"/>
        <v>35321.31870143619</v>
      </c>
      <c r="L234">
        <f t="shared" si="72"/>
        <v>0</v>
      </c>
      <c r="M234">
        <f t="shared" si="73"/>
        <v>0</v>
      </c>
      <c r="N234" s="43">
        <f t="shared" si="74"/>
        <v>35321.31870143619</v>
      </c>
      <c r="O234">
        <f t="shared" si="75"/>
        <v>0</v>
      </c>
      <c r="P234">
        <f t="shared" si="76"/>
        <v>0</v>
      </c>
      <c r="Q234" s="43">
        <f t="shared" si="77"/>
        <v>35321.31870143619</v>
      </c>
      <c r="R234">
        <f t="shared" si="78"/>
        <v>0</v>
      </c>
      <c r="S234">
        <f t="shared" si="79"/>
        <v>0</v>
      </c>
      <c r="T234" s="43">
        <f t="shared" si="80"/>
        <v>35321.31870143619</v>
      </c>
      <c r="U234">
        <f t="shared" si="81"/>
        <v>0</v>
      </c>
      <c r="V234">
        <f t="shared" si="82"/>
        <v>0</v>
      </c>
      <c r="W234" s="43">
        <f t="shared" si="83"/>
        <v>35321.31870143619</v>
      </c>
      <c r="X234" s="43">
        <f t="shared" si="84"/>
        <v>0</v>
      </c>
      <c r="Y234" s="27">
        <f t="shared" si="85"/>
        <v>270.40769161425811</v>
      </c>
      <c r="Z234" s="27">
        <f t="shared" si="86"/>
        <v>35050.911009821932</v>
      </c>
      <c r="AA234">
        <f t="shared" si="87"/>
        <v>0</v>
      </c>
      <c r="AB234" s="27">
        <f t="shared" si="88"/>
        <v>35050.911009821932</v>
      </c>
      <c r="AD234" s="27">
        <f t="shared" si="89"/>
        <v>0</v>
      </c>
      <c r="AE234" s="27">
        <f t="shared" si="90"/>
        <v>35050.911009821932</v>
      </c>
      <c r="AF234" s="50"/>
      <c r="AG234" t="str">
        <f t="shared" si="91"/>
        <v>5307680</v>
      </c>
    </row>
    <row r="235" spans="1:33" x14ac:dyDescent="0.25">
      <c r="A235" s="7" t="s">
        <v>82</v>
      </c>
      <c r="B235" s="2" t="s">
        <v>1104</v>
      </c>
      <c r="C235" s="8" t="s">
        <v>50</v>
      </c>
      <c r="D235">
        <f>_xlfn.IFNA(VLOOKUP(A235,'Prior Year data'!$A$1:$T$318,12,FALSE),0)</f>
        <v>44166.276055897761</v>
      </c>
      <c r="E235">
        <f>VLOOKUP(A235,'Basic HH'!$B$1:$Y$319,23,FALSE)</f>
        <v>17379.952091456347</v>
      </c>
      <c r="F235">
        <f>VLOOKUP(A235,'Conc. HH'!$B$1:$Y$319,23,FALSE)</f>
        <v>0</v>
      </c>
      <c r="G235">
        <f>VLOOKUP(A235,'Targeted HH'!$B$1:$Y$319,23,FALSE)</f>
        <v>12273.060362482998</v>
      </c>
      <c r="H235">
        <f>VLOOKUP(A235,'EFIG HH'!$B$1:$Y$319,23,FALSE)</f>
        <v>16697.951456709128</v>
      </c>
      <c r="I235">
        <f t="shared" si="69"/>
        <v>46350.963910648468</v>
      </c>
      <c r="J235">
        <f t="shared" si="70"/>
        <v>46350.963910648468</v>
      </c>
      <c r="K235" s="43">
        <f t="shared" si="71"/>
        <v>42123.344481333428</v>
      </c>
      <c r="L235">
        <f t="shared" si="72"/>
        <v>2042.9315745643325</v>
      </c>
      <c r="M235">
        <f t="shared" si="73"/>
        <v>0</v>
      </c>
      <c r="N235" s="43">
        <f t="shared" si="74"/>
        <v>44166.276055897761</v>
      </c>
      <c r="O235">
        <f t="shared" si="75"/>
        <v>0</v>
      </c>
      <c r="P235">
        <f t="shared" si="76"/>
        <v>0</v>
      </c>
      <c r="Q235" s="43">
        <f t="shared" si="77"/>
        <v>44166.276055897761</v>
      </c>
      <c r="R235">
        <f t="shared" si="78"/>
        <v>0</v>
      </c>
      <c r="S235">
        <f t="shared" si="79"/>
        <v>0</v>
      </c>
      <c r="T235" s="43">
        <f t="shared" si="80"/>
        <v>44166.276055897761</v>
      </c>
      <c r="U235">
        <f t="shared" si="81"/>
        <v>0</v>
      </c>
      <c r="V235">
        <f t="shared" si="82"/>
        <v>0</v>
      </c>
      <c r="W235" s="43">
        <f t="shared" si="83"/>
        <v>44166.276055897761</v>
      </c>
      <c r="X235" s="43">
        <f t="shared" si="84"/>
        <v>2184.6878547507076</v>
      </c>
      <c r="Y235" s="27">
        <f t="shared" si="85"/>
        <v>338.12159892512125</v>
      </c>
      <c r="Z235" s="27">
        <f t="shared" si="86"/>
        <v>43828.154456972639</v>
      </c>
      <c r="AA235">
        <f t="shared" si="87"/>
        <v>0</v>
      </c>
      <c r="AB235" s="27">
        <f t="shared" si="88"/>
        <v>43828.154456972639</v>
      </c>
      <c r="AD235" s="27">
        <f t="shared" si="89"/>
        <v>0</v>
      </c>
      <c r="AE235" s="27">
        <f t="shared" si="90"/>
        <v>43828.154456972639</v>
      </c>
      <c r="AF235" s="50"/>
      <c r="AG235" t="str">
        <f t="shared" si="91"/>
        <v>5307700</v>
      </c>
    </row>
    <row r="236" spans="1:33" x14ac:dyDescent="0.25">
      <c r="A236" s="7" t="s">
        <v>81</v>
      </c>
      <c r="B236" s="2" t="s">
        <v>1105</v>
      </c>
      <c r="C236" s="4" t="s">
        <v>46</v>
      </c>
      <c r="D236">
        <f>_xlfn.IFNA(VLOOKUP(A236,'Prior Year data'!$A$1:$T$318,12,FALSE),0)</f>
        <v>0</v>
      </c>
      <c r="E236">
        <f>VLOOKUP(A236,'Basic HH'!$B$1:$Y$319,23,FALSE)</f>
        <v>0</v>
      </c>
      <c r="F236">
        <f>VLOOKUP(A236,'Conc. HH'!$B$1:$Y$319,23,FALSE)</f>
        <v>0</v>
      </c>
      <c r="G236">
        <f>VLOOKUP(A236,'Targeted HH'!$B$1:$Y$319,23,FALSE)</f>
        <v>0</v>
      </c>
      <c r="H236">
        <f>VLOOKUP(A236,'EFIG HH'!$B$1:$Y$319,23,FALSE)</f>
        <v>0</v>
      </c>
      <c r="I236">
        <f t="shared" si="69"/>
        <v>0</v>
      </c>
      <c r="J236">
        <f t="shared" si="70"/>
        <v>0</v>
      </c>
      <c r="K236" s="43">
        <f t="shared" si="71"/>
        <v>0</v>
      </c>
      <c r="L236">
        <f t="shared" si="72"/>
        <v>0</v>
      </c>
      <c r="M236">
        <f t="shared" si="73"/>
        <v>0</v>
      </c>
      <c r="N236" s="43">
        <f t="shared" si="74"/>
        <v>0</v>
      </c>
      <c r="O236">
        <f t="shared" si="75"/>
        <v>0</v>
      </c>
      <c r="P236">
        <f t="shared" si="76"/>
        <v>0</v>
      </c>
      <c r="Q236" s="43">
        <f t="shared" si="77"/>
        <v>0</v>
      </c>
      <c r="R236">
        <f t="shared" si="78"/>
        <v>0</v>
      </c>
      <c r="S236">
        <f t="shared" si="79"/>
        <v>0</v>
      </c>
      <c r="T236" s="43">
        <f t="shared" si="80"/>
        <v>0</v>
      </c>
      <c r="U236">
        <f t="shared" si="81"/>
        <v>0</v>
      </c>
      <c r="V236">
        <f t="shared" si="82"/>
        <v>0</v>
      </c>
      <c r="W236" s="43">
        <f t="shared" si="83"/>
        <v>0</v>
      </c>
      <c r="X236" s="43">
        <f t="shared" si="84"/>
        <v>0</v>
      </c>
      <c r="Y236" s="27">
        <f t="shared" si="85"/>
        <v>0</v>
      </c>
      <c r="Z236" s="27">
        <f t="shared" si="86"/>
        <v>0</v>
      </c>
      <c r="AA236">
        <f t="shared" si="87"/>
        <v>0</v>
      </c>
      <c r="AB236" s="27">
        <f t="shared" si="88"/>
        <v>0</v>
      </c>
      <c r="AD236" s="27">
        <f t="shared" si="89"/>
        <v>0</v>
      </c>
      <c r="AE236" s="27">
        <f t="shared" si="90"/>
        <v>0</v>
      </c>
      <c r="AF236" s="50"/>
      <c r="AG236" t="str">
        <f t="shared" si="91"/>
        <v>5307690</v>
      </c>
    </row>
    <row r="237" spans="1:33" x14ac:dyDescent="0.25">
      <c r="A237" s="7" t="s">
        <v>59</v>
      </c>
      <c r="B237" s="2" t="s">
        <v>1106</v>
      </c>
      <c r="C237" s="4" t="s">
        <v>24</v>
      </c>
      <c r="D237">
        <f>_xlfn.IFNA(VLOOKUP(A237,'Prior Year data'!$A$1:$T$318,12,FALSE),0)</f>
        <v>16341721.785394616</v>
      </c>
      <c r="E237">
        <f>VLOOKUP(A237,'Basic HH'!$B$1:$Y$319,23,FALSE)</f>
        <v>5769582.320473969</v>
      </c>
      <c r="F237">
        <f>VLOOKUP(A237,'Conc. HH'!$B$1:$Y$319,23,FALSE)</f>
        <v>1552671.0811303956</v>
      </c>
      <c r="G237">
        <f>VLOOKUP(A237,'Targeted HH'!$B$1:$Y$319,23,FALSE)</f>
        <v>4963771.116071919</v>
      </c>
      <c r="H237">
        <f>VLOOKUP(A237,'EFIG HH'!$B$1:$Y$319,23,FALSE)</f>
        <v>6753393.7494311426</v>
      </c>
      <c r="I237">
        <f t="shared" si="69"/>
        <v>19039418.267107427</v>
      </c>
      <c r="J237">
        <f t="shared" si="70"/>
        <v>19039418.267107427</v>
      </c>
      <c r="K237" s="43">
        <f t="shared" si="71"/>
        <v>17302854.282288391</v>
      </c>
      <c r="L237">
        <f t="shared" si="72"/>
        <v>0</v>
      </c>
      <c r="M237">
        <f t="shared" si="73"/>
        <v>961132.49689377472</v>
      </c>
      <c r="N237" s="43">
        <f t="shared" si="74"/>
        <v>17177225.748080168</v>
      </c>
      <c r="O237">
        <f t="shared" si="75"/>
        <v>0</v>
      </c>
      <c r="P237">
        <f t="shared" si="76"/>
        <v>835503.96268555149</v>
      </c>
      <c r="Q237" s="43">
        <f t="shared" si="77"/>
        <v>17177225.748080168</v>
      </c>
      <c r="R237">
        <f t="shared" si="78"/>
        <v>0</v>
      </c>
      <c r="S237">
        <f t="shared" si="79"/>
        <v>835503.96268555149</v>
      </c>
      <c r="T237" s="43">
        <f t="shared" si="80"/>
        <v>17177225.748080168</v>
      </c>
      <c r="U237">
        <f t="shared" si="81"/>
        <v>0</v>
      </c>
      <c r="V237">
        <f t="shared" si="82"/>
        <v>835503.96268555149</v>
      </c>
      <c r="W237" s="43">
        <f t="shared" si="83"/>
        <v>17177225.748080168</v>
      </c>
      <c r="X237" s="43">
        <f t="shared" si="84"/>
        <v>1862192.5190272592</v>
      </c>
      <c r="Y237" s="27">
        <f t="shared" si="85"/>
        <v>131502.84682566204</v>
      </c>
      <c r="Z237" s="27">
        <f t="shared" si="86"/>
        <v>17045722.901254505</v>
      </c>
      <c r="AA237">
        <f t="shared" si="87"/>
        <v>0</v>
      </c>
      <c r="AB237" s="27">
        <f t="shared" si="88"/>
        <v>17045722.901254505</v>
      </c>
      <c r="AD237" s="27">
        <f t="shared" si="89"/>
        <v>0</v>
      </c>
      <c r="AE237" s="27">
        <f t="shared" si="90"/>
        <v>17045722.901254505</v>
      </c>
      <c r="AF237" s="50"/>
      <c r="AG237" t="str">
        <f t="shared" si="91"/>
        <v>5307710</v>
      </c>
    </row>
    <row r="238" spans="1:33" x14ac:dyDescent="0.25">
      <c r="A238" s="7" t="s">
        <v>300</v>
      </c>
      <c r="B238" s="2" t="s">
        <v>1108</v>
      </c>
      <c r="C238" s="4" t="s">
        <v>1107</v>
      </c>
      <c r="D238">
        <f>_xlfn.IFNA(VLOOKUP(A238,'Prior Year data'!$A$1:$T$318,12,FALSE),0)</f>
        <v>1011398.6581744819</v>
      </c>
      <c r="E238">
        <f>VLOOKUP(A238,'Basic HH'!$B$1:$Y$319,23,FALSE)</f>
        <v>490724.90072689543</v>
      </c>
      <c r="F238">
        <f>VLOOKUP(A238,'Conc. HH'!$B$1:$Y$319,23,FALSE)</f>
        <v>0</v>
      </c>
      <c r="G238">
        <f>VLOOKUP(A238,'Targeted HH'!$B$1:$Y$319,23,FALSE)</f>
        <v>236785.59133251928</v>
      </c>
      <c r="H238">
        <f>VLOOKUP(A238,'EFIG HH'!$B$1:$Y$319,23,FALSE)</f>
        <v>322155.53357864049</v>
      </c>
      <c r="I238">
        <f t="shared" si="69"/>
        <v>1049666.0256380553</v>
      </c>
      <c r="J238">
        <f t="shared" si="70"/>
        <v>1049666.0256380553</v>
      </c>
      <c r="K238" s="43">
        <f t="shared" si="71"/>
        <v>953927.16478429269</v>
      </c>
      <c r="L238">
        <f t="shared" si="72"/>
        <v>57471.493390189251</v>
      </c>
      <c r="M238">
        <f t="shared" si="73"/>
        <v>0</v>
      </c>
      <c r="N238" s="43">
        <f t="shared" si="74"/>
        <v>1011398.6581744819</v>
      </c>
      <c r="O238">
        <f t="shared" si="75"/>
        <v>0</v>
      </c>
      <c r="P238">
        <f t="shared" si="76"/>
        <v>0</v>
      </c>
      <c r="Q238" s="43">
        <f t="shared" si="77"/>
        <v>1011398.6581744819</v>
      </c>
      <c r="R238">
        <f t="shared" si="78"/>
        <v>0</v>
      </c>
      <c r="S238">
        <f t="shared" si="79"/>
        <v>0</v>
      </c>
      <c r="T238" s="43">
        <f t="shared" si="80"/>
        <v>1011398.6581744819</v>
      </c>
      <c r="U238">
        <f t="shared" si="81"/>
        <v>0</v>
      </c>
      <c r="V238">
        <f t="shared" si="82"/>
        <v>0</v>
      </c>
      <c r="W238" s="43">
        <f t="shared" si="83"/>
        <v>1011398.6581744819</v>
      </c>
      <c r="X238" s="43">
        <f t="shared" si="84"/>
        <v>38267.367463573348</v>
      </c>
      <c r="Y238" s="27">
        <f t="shared" si="85"/>
        <v>7742.915228349033</v>
      </c>
      <c r="Z238" s="27">
        <f t="shared" si="86"/>
        <v>1003655.7429461329</v>
      </c>
      <c r="AA238">
        <f t="shared" si="87"/>
        <v>0</v>
      </c>
      <c r="AB238" s="27">
        <f t="shared" si="88"/>
        <v>1003655.7429461329</v>
      </c>
      <c r="AD238" s="27">
        <f t="shared" si="89"/>
        <v>0</v>
      </c>
      <c r="AE238" s="27">
        <f t="shared" si="90"/>
        <v>1003655.7429461329</v>
      </c>
      <c r="AF238" s="50"/>
      <c r="AG238" t="str">
        <f t="shared" si="91"/>
        <v>5307740</v>
      </c>
    </row>
    <row r="239" spans="1:33" x14ac:dyDescent="0.25">
      <c r="A239" s="7" t="s">
        <v>574</v>
      </c>
      <c r="B239" s="2" t="s">
        <v>1110</v>
      </c>
      <c r="C239" s="4" t="s">
        <v>1109</v>
      </c>
      <c r="D239">
        <f>_xlfn.IFNA(VLOOKUP(A239,'Prior Year data'!$A$1:$T$318,12,FALSE),0)</f>
        <v>769653.14238854474</v>
      </c>
      <c r="E239">
        <f>VLOOKUP(A239,'Basic HH'!$B$1:$Y$319,23,FALSE)</f>
        <v>441218.14083055378</v>
      </c>
      <c r="F239">
        <f>VLOOKUP(A239,'Conc. HH'!$B$1:$Y$319,23,FALSE)</f>
        <v>0</v>
      </c>
      <c r="G239">
        <f>VLOOKUP(A239,'Targeted HH'!$B$1:$Y$319,23,FALSE)</f>
        <v>212897.4874281766</v>
      </c>
      <c r="H239">
        <f>VLOOKUP(A239,'EFIG HH'!$B$1:$Y$319,23,FALSE)</f>
        <v>289654.88682822895</v>
      </c>
      <c r="I239">
        <f t="shared" si="69"/>
        <v>943770.51508695935</v>
      </c>
      <c r="J239">
        <f t="shared" si="70"/>
        <v>943770.51508695935</v>
      </c>
      <c r="K239" s="43">
        <f t="shared" si="71"/>
        <v>857690.26497419586</v>
      </c>
      <c r="L239">
        <f t="shared" si="72"/>
        <v>0</v>
      </c>
      <c r="M239">
        <f t="shared" si="73"/>
        <v>88037.122585651116</v>
      </c>
      <c r="N239" s="43">
        <f t="shared" si="74"/>
        <v>846183.03293065447</v>
      </c>
      <c r="O239">
        <f t="shared" si="75"/>
        <v>0</v>
      </c>
      <c r="P239">
        <f t="shared" si="76"/>
        <v>76529.89054210973</v>
      </c>
      <c r="Q239" s="43">
        <f t="shared" si="77"/>
        <v>846183.03293065447</v>
      </c>
      <c r="R239">
        <f t="shared" si="78"/>
        <v>0</v>
      </c>
      <c r="S239">
        <f t="shared" si="79"/>
        <v>76529.89054210973</v>
      </c>
      <c r="T239" s="43">
        <f t="shared" si="80"/>
        <v>846183.03293065447</v>
      </c>
      <c r="U239">
        <f t="shared" si="81"/>
        <v>0</v>
      </c>
      <c r="V239">
        <f t="shared" si="82"/>
        <v>76529.89054210973</v>
      </c>
      <c r="W239" s="43">
        <f t="shared" si="83"/>
        <v>846183.03293065447</v>
      </c>
      <c r="X239" s="43">
        <f t="shared" si="84"/>
        <v>97587.482156304875</v>
      </c>
      <c r="Y239" s="27">
        <f t="shared" si="85"/>
        <v>6478.0820487493938</v>
      </c>
      <c r="Z239" s="27">
        <f t="shared" si="86"/>
        <v>839704.95088190504</v>
      </c>
      <c r="AA239">
        <f t="shared" si="87"/>
        <v>0</v>
      </c>
      <c r="AB239" s="27">
        <f t="shared" si="88"/>
        <v>839704.95088190504</v>
      </c>
      <c r="AD239" s="27">
        <f t="shared" si="89"/>
        <v>0</v>
      </c>
      <c r="AE239" s="27">
        <f t="shared" si="90"/>
        <v>839704.95088190504</v>
      </c>
      <c r="AF239" s="50"/>
      <c r="AG239" t="str">
        <f t="shared" si="91"/>
        <v>5307770</v>
      </c>
    </row>
    <row r="240" spans="1:33" x14ac:dyDescent="0.25">
      <c r="A240" s="7" t="s">
        <v>576</v>
      </c>
      <c r="B240" s="2" t="s">
        <v>1112</v>
      </c>
      <c r="C240" s="4" t="s">
        <v>1111</v>
      </c>
      <c r="D240">
        <f>_xlfn.IFNA(VLOOKUP(A240,'Prior Year data'!$A$1:$T$318,12,FALSE),0)</f>
        <v>185708.24659134899</v>
      </c>
      <c r="E240">
        <f>VLOOKUP(A240,'Basic HH'!$B$1:$Y$319,23,FALSE)</f>
        <v>72088.790726251857</v>
      </c>
      <c r="F240">
        <f>VLOOKUP(A240,'Conc. HH'!$B$1:$Y$319,23,FALSE)</f>
        <v>19400.049157304904</v>
      </c>
      <c r="G240">
        <f>VLOOKUP(A240,'Targeted HH'!$B$1:$Y$319,23,FALSE)</f>
        <v>49051.916375085668</v>
      </c>
      <c r="H240">
        <f>VLOOKUP(A240,'EFIG HH'!$B$1:$Y$319,23,FALSE)</f>
        <v>66736.942074652019</v>
      </c>
      <c r="I240">
        <f t="shared" si="69"/>
        <v>207277.69833329442</v>
      </c>
      <c r="J240">
        <f t="shared" si="70"/>
        <v>207277.69833329442</v>
      </c>
      <c r="K240" s="43">
        <f t="shared" si="71"/>
        <v>188372.13195873576</v>
      </c>
      <c r="L240">
        <f t="shared" si="72"/>
        <v>0</v>
      </c>
      <c r="M240">
        <f t="shared" si="73"/>
        <v>2663.8853673867707</v>
      </c>
      <c r="N240" s="43">
        <f t="shared" si="74"/>
        <v>188023.93853578408</v>
      </c>
      <c r="O240">
        <f t="shared" si="75"/>
        <v>0</v>
      </c>
      <c r="P240">
        <f t="shared" si="76"/>
        <v>2315.6919444350933</v>
      </c>
      <c r="Q240" s="43">
        <f t="shared" si="77"/>
        <v>188023.93853578408</v>
      </c>
      <c r="R240">
        <f t="shared" si="78"/>
        <v>0</v>
      </c>
      <c r="S240">
        <f t="shared" si="79"/>
        <v>2315.6919444350933</v>
      </c>
      <c r="T240" s="43">
        <f t="shared" si="80"/>
        <v>188023.93853578408</v>
      </c>
      <c r="U240">
        <f t="shared" si="81"/>
        <v>0</v>
      </c>
      <c r="V240">
        <f t="shared" si="82"/>
        <v>2315.6919444350933</v>
      </c>
      <c r="W240" s="43">
        <f t="shared" si="83"/>
        <v>188023.93853578408</v>
      </c>
      <c r="X240" s="43">
        <f t="shared" si="84"/>
        <v>19253.759797510342</v>
      </c>
      <c r="Y240" s="27">
        <f t="shared" si="85"/>
        <v>1439.4456678542754</v>
      </c>
      <c r="Z240" s="27">
        <f t="shared" si="86"/>
        <v>186584.4928679298</v>
      </c>
      <c r="AA240">
        <f t="shared" si="87"/>
        <v>0</v>
      </c>
      <c r="AB240" s="27">
        <f t="shared" si="88"/>
        <v>186584.4928679298</v>
      </c>
      <c r="AD240" s="27">
        <f t="shared" si="89"/>
        <v>0</v>
      </c>
      <c r="AE240" s="27">
        <f t="shared" si="90"/>
        <v>186584.4928679298</v>
      </c>
      <c r="AF240" s="50"/>
      <c r="AG240" t="str">
        <f t="shared" si="91"/>
        <v>5307800</v>
      </c>
    </row>
    <row r="241" spans="1:33" x14ac:dyDescent="0.25">
      <c r="A241" s="7" t="s">
        <v>578</v>
      </c>
      <c r="B241" s="2" t="s">
        <v>1114</v>
      </c>
      <c r="C241" s="4" t="s">
        <v>1113</v>
      </c>
      <c r="D241">
        <f>_xlfn.IFNA(VLOOKUP(A241,'Prior Year data'!$A$1:$T$318,12,FALSE),0)</f>
        <v>861981.98948200443</v>
      </c>
      <c r="E241">
        <f>VLOOKUP(A241,'Basic HH'!$B$1:$Y$319,23,FALSE)</f>
        <v>401265.31705455878</v>
      </c>
      <c r="F241">
        <f>VLOOKUP(A241,'Conc. HH'!$B$1:$Y$319,23,FALSE)</f>
        <v>76286.975229982709</v>
      </c>
      <c r="G241">
        <f>VLOOKUP(A241,'Targeted HH'!$B$1:$Y$319,23,FALSE)</f>
        <v>193619.36848782995</v>
      </c>
      <c r="H241">
        <f>VLOOKUP(A241,'EFIG HH'!$B$1:$Y$319,23,FALSE)</f>
        <v>263426.29471386172</v>
      </c>
      <c r="I241">
        <f t="shared" si="69"/>
        <v>934597.95548623311</v>
      </c>
      <c r="J241">
        <f t="shared" si="70"/>
        <v>934597.95548623311</v>
      </c>
      <c r="K241" s="43">
        <f t="shared" si="71"/>
        <v>849354.32424636581</v>
      </c>
      <c r="L241">
        <f t="shared" si="72"/>
        <v>12627.665235638618</v>
      </c>
      <c r="M241">
        <f t="shared" si="73"/>
        <v>0</v>
      </c>
      <c r="N241" s="43">
        <f t="shared" si="74"/>
        <v>861981.98948200443</v>
      </c>
      <c r="O241">
        <f t="shared" si="75"/>
        <v>0</v>
      </c>
      <c r="P241">
        <f t="shared" si="76"/>
        <v>0</v>
      </c>
      <c r="Q241" s="43">
        <f t="shared" si="77"/>
        <v>861981.98948200443</v>
      </c>
      <c r="R241">
        <f t="shared" si="78"/>
        <v>0</v>
      </c>
      <c r="S241">
        <f t="shared" si="79"/>
        <v>0</v>
      </c>
      <c r="T241" s="43">
        <f t="shared" si="80"/>
        <v>861981.98948200443</v>
      </c>
      <c r="U241">
        <f t="shared" si="81"/>
        <v>0</v>
      </c>
      <c r="V241">
        <f t="shared" si="82"/>
        <v>0</v>
      </c>
      <c r="W241" s="43">
        <f t="shared" si="83"/>
        <v>861981.98948200443</v>
      </c>
      <c r="X241" s="43">
        <f t="shared" si="84"/>
        <v>72615.966004228685</v>
      </c>
      <c r="Y241" s="27">
        <f t="shared" si="85"/>
        <v>6599.0333475125053</v>
      </c>
      <c r="Z241" s="27">
        <f t="shared" si="86"/>
        <v>855382.95613449195</v>
      </c>
      <c r="AA241">
        <f t="shared" si="87"/>
        <v>0</v>
      </c>
      <c r="AB241" s="27">
        <f t="shared" si="88"/>
        <v>855382.95613449195</v>
      </c>
      <c r="AD241" s="27">
        <f t="shared" si="89"/>
        <v>0</v>
      </c>
      <c r="AE241" s="27">
        <f t="shared" si="90"/>
        <v>855382.95613449195</v>
      </c>
      <c r="AF241" s="50"/>
      <c r="AG241" t="str">
        <f t="shared" si="91"/>
        <v>5307830</v>
      </c>
    </row>
    <row r="242" spans="1:33" x14ac:dyDescent="0.25">
      <c r="A242" s="7" t="s">
        <v>209</v>
      </c>
      <c r="B242" s="2" t="s">
        <v>1116</v>
      </c>
      <c r="C242" s="4" t="s">
        <v>1115</v>
      </c>
      <c r="D242">
        <f>_xlfn.IFNA(VLOOKUP(A242,'Prior Year data'!$A$1:$T$318,12,FALSE),0)</f>
        <v>0</v>
      </c>
      <c r="E242">
        <f>VLOOKUP(A242,'Basic HH'!$B$1:$Y$319,23,FALSE)</f>
        <v>0</v>
      </c>
      <c r="F242">
        <f>VLOOKUP(A242,'Conc. HH'!$B$1:$Y$319,23,FALSE)</f>
        <v>0</v>
      </c>
      <c r="G242">
        <f>VLOOKUP(A242,'Targeted HH'!$B$1:$Y$319,23,FALSE)</f>
        <v>0</v>
      </c>
      <c r="H242">
        <f>VLOOKUP(A242,'EFIG HH'!$B$1:$Y$319,23,FALSE)</f>
        <v>0</v>
      </c>
      <c r="I242">
        <f t="shared" si="69"/>
        <v>0</v>
      </c>
      <c r="J242">
        <f t="shared" si="70"/>
        <v>0</v>
      </c>
      <c r="K242" s="43">
        <f t="shared" si="71"/>
        <v>0</v>
      </c>
      <c r="L242">
        <f t="shared" si="72"/>
        <v>0</v>
      </c>
      <c r="M242">
        <f t="shared" si="73"/>
        <v>0</v>
      </c>
      <c r="N242" s="43">
        <f t="shared" si="74"/>
        <v>0</v>
      </c>
      <c r="O242">
        <f t="shared" si="75"/>
        <v>0</v>
      </c>
      <c r="P242">
        <f t="shared" si="76"/>
        <v>0</v>
      </c>
      <c r="Q242" s="43">
        <f t="shared" si="77"/>
        <v>0</v>
      </c>
      <c r="R242">
        <f t="shared" si="78"/>
        <v>0</v>
      </c>
      <c r="S242">
        <f t="shared" si="79"/>
        <v>0</v>
      </c>
      <c r="T242" s="43">
        <f t="shared" si="80"/>
        <v>0</v>
      </c>
      <c r="U242">
        <f t="shared" si="81"/>
        <v>0</v>
      </c>
      <c r="V242">
        <f t="shared" si="82"/>
        <v>0</v>
      </c>
      <c r="W242" s="43">
        <f t="shared" si="83"/>
        <v>0</v>
      </c>
      <c r="X242" s="43">
        <f t="shared" si="84"/>
        <v>0</v>
      </c>
      <c r="Y242" s="27">
        <f t="shared" si="85"/>
        <v>0</v>
      </c>
      <c r="Z242" s="27">
        <f t="shared" si="86"/>
        <v>0</v>
      </c>
      <c r="AA242">
        <f t="shared" si="87"/>
        <v>0</v>
      </c>
      <c r="AB242" s="27">
        <f t="shared" si="88"/>
        <v>0</v>
      </c>
      <c r="AD242" s="27">
        <f t="shared" si="89"/>
        <v>0</v>
      </c>
      <c r="AE242" s="27">
        <f t="shared" si="90"/>
        <v>0</v>
      </c>
      <c r="AF242" s="50"/>
      <c r="AG242" t="str">
        <f t="shared" si="91"/>
        <v>5307860</v>
      </c>
    </row>
    <row r="243" spans="1:33" x14ac:dyDescent="0.25">
      <c r="A243" s="7" t="s">
        <v>580</v>
      </c>
      <c r="B243" s="2" t="s">
        <v>1118</v>
      </c>
      <c r="C243" s="4" t="s">
        <v>1117</v>
      </c>
      <c r="D243">
        <f>_xlfn.IFNA(VLOOKUP(A243,'Prior Year data'!$A$1:$T$318,12,FALSE),0)</f>
        <v>1617313.1914887053</v>
      </c>
      <c r="E243">
        <f>VLOOKUP(A243,'Basic HH'!$B$1:$Y$319,23,FALSE)</f>
        <v>653141.81477278809</v>
      </c>
      <c r="F243">
        <f>VLOOKUP(A243,'Conc. HH'!$B$1:$Y$319,23,FALSE)</f>
        <v>175769.12007582275</v>
      </c>
      <c r="G243">
        <f>VLOOKUP(A243,'Targeted HH'!$B$1:$Y$319,23,FALSE)</f>
        <v>346922.61638048396</v>
      </c>
      <c r="H243">
        <f>VLOOKUP(A243,'EFIG HH'!$B$1:$Y$319,23,FALSE)</f>
        <v>472001.01983233989</v>
      </c>
      <c r="I243">
        <f t="shared" si="69"/>
        <v>1647834.5710614345</v>
      </c>
      <c r="J243">
        <f t="shared" si="70"/>
        <v>1647834.5710614345</v>
      </c>
      <c r="K243" s="43">
        <f t="shared" si="71"/>
        <v>1497537.4281078246</v>
      </c>
      <c r="L243">
        <f t="shared" si="72"/>
        <v>119775.7633808807</v>
      </c>
      <c r="M243">
        <f t="shared" si="73"/>
        <v>0</v>
      </c>
      <c r="N243" s="43">
        <f t="shared" si="74"/>
        <v>1617313.1914887053</v>
      </c>
      <c r="O243">
        <f t="shared" si="75"/>
        <v>0</v>
      </c>
      <c r="P243">
        <f t="shared" si="76"/>
        <v>0</v>
      </c>
      <c r="Q243" s="43">
        <f t="shared" si="77"/>
        <v>1617313.1914887053</v>
      </c>
      <c r="R243">
        <f t="shared" si="78"/>
        <v>0</v>
      </c>
      <c r="S243">
        <f t="shared" si="79"/>
        <v>0</v>
      </c>
      <c r="T243" s="43">
        <f t="shared" si="80"/>
        <v>1617313.1914887053</v>
      </c>
      <c r="U243">
        <f t="shared" si="81"/>
        <v>0</v>
      </c>
      <c r="V243">
        <f t="shared" si="82"/>
        <v>0</v>
      </c>
      <c r="W243" s="43">
        <f t="shared" si="83"/>
        <v>1617313.1914887053</v>
      </c>
      <c r="X243" s="43">
        <f t="shared" si="84"/>
        <v>30521.379572729114</v>
      </c>
      <c r="Y243" s="27">
        <f t="shared" si="85"/>
        <v>12381.585478856061</v>
      </c>
      <c r="Z243" s="27">
        <f t="shared" si="86"/>
        <v>1604931.6060098493</v>
      </c>
      <c r="AA243">
        <f t="shared" si="87"/>
        <v>0</v>
      </c>
      <c r="AB243" s="27">
        <f t="shared" si="88"/>
        <v>1604931.6060098493</v>
      </c>
      <c r="AD243" s="27">
        <f t="shared" si="89"/>
        <v>0</v>
      </c>
      <c r="AE243" s="27">
        <f t="shared" si="90"/>
        <v>1604931.6060098493</v>
      </c>
      <c r="AF243" s="50"/>
      <c r="AG243" t="str">
        <f t="shared" si="91"/>
        <v>5307900</v>
      </c>
    </row>
    <row r="244" spans="1:33" x14ac:dyDescent="0.25">
      <c r="A244" s="7" t="s">
        <v>211</v>
      </c>
      <c r="B244" s="2" t="s">
        <v>1120</v>
      </c>
      <c r="C244" s="4" t="s">
        <v>1119</v>
      </c>
      <c r="D244">
        <f>_xlfn.IFNA(VLOOKUP(A244,'Prior Year data'!$A$1:$T$318,12,FALSE),0)</f>
        <v>1237123.4090968166</v>
      </c>
      <c r="E244">
        <f>VLOOKUP(A244,'Basic HH'!$B$1:$Y$319,23,FALSE)</f>
        <v>590606.96016688284</v>
      </c>
      <c r="F244">
        <f>VLOOKUP(A244,'Conc. HH'!$B$1:$Y$319,23,FALSE)</f>
        <v>0</v>
      </c>
      <c r="G244">
        <f>VLOOKUP(A244,'Targeted HH'!$B$1:$Y$319,23,FALSE)</f>
        <v>284980.88868338597</v>
      </c>
      <c r="H244">
        <f>VLOOKUP(A244,'EFIG HH'!$B$1:$Y$319,23,FALSE)</f>
        <v>387727.01386455848</v>
      </c>
      <c r="I244">
        <f t="shared" si="69"/>
        <v>1263314.8627148273</v>
      </c>
      <c r="J244">
        <f t="shared" si="70"/>
        <v>1263314.8627148273</v>
      </c>
      <c r="K244" s="43">
        <f t="shared" si="71"/>
        <v>1148089.331067821</v>
      </c>
      <c r="L244">
        <f t="shared" si="72"/>
        <v>89034.078028995544</v>
      </c>
      <c r="M244">
        <f t="shared" si="73"/>
        <v>0</v>
      </c>
      <c r="N244" s="43">
        <f t="shared" si="74"/>
        <v>1237123.4090968166</v>
      </c>
      <c r="O244">
        <f t="shared" si="75"/>
        <v>0</v>
      </c>
      <c r="P244">
        <f t="shared" si="76"/>
        <v>0</v>
      </c>
      <c r="Q244" s="43">
        <f t="shared" si="77"/>
        <v>1237123.4090968166</v>
      </c>
      <c r="R244">
        <f t="shared" si="78"/>
        <v>0</v>
      </c>
      <c r="S244">
        <f t="shared" si="79"/>
        <v>0</v>
      </c>
      <c r="T244" s="43">
        <f t="shared" si="80"/>
        <v>1237123.4090968166</v>
      </c>
      <c r="U244">
        <f t="shared" si="81"/>
        <v>0</v>
      </c>
      <c r="V244">
        <f t="shared" si="82"/>
        <v>0</v>
      </c>
      <c r="W244" s="43">
        <f t="shared" si="83"/>
        <v>1237123.4090968166</v>
      </c>
      <c r="X244" s="43">
        <f t="shared" si="84"/>
        <v>26191.453618010739</v>
      </c>
      <c r="Y244" s="27">
        <f t="shared" si="85"/>
        <v>9470.9851612145376</v>
      </c>
      <c r="Z244" s="27">
        <f t="shared" si="86"/>
        <v>1227652.423935602</v>
      </c>
      <c r="AA244">
        <f t="shared" si="87"/>
        <v>0</v>
      </c>
      <c r="AB244" s="27">
        <f t="shared" si="88"/>
        <v>1227652.423935602</v>
      </c>
      <c r="AD244" s="27">
        <f t="shared" si="89"/>
        <v>0</v>
      </c>
      <c r="AE244" s="27">
        <f t="shared" si="90"/>
        <v>1227652.423935602</v>
      </c>
      <c r="AF244" s="50"/>
      <c r="AG244" t="str">
        <f t="shared" si="91"/>
        <v>5307920</v>
      </c>
    </row>
    <row r="245" spans="1:33" x14ac:dyDescent="0.25">
      <c r="A245" s="7" t="s">
        <v>302</v>
      </c>
      <c r="B245" s="2" t="s">
        <v>1122</v>
      </c>
      <c r="C245" s="4" t="s">
        <v>1121</v>
      </c>
      <c r="D245">
        <f>_xlfn.IFNA(VLOOKUP(A245,'Prior Year data'!$A$1:$T$318,12,FALSE),0)</f>
        <v>21482.910638257221</v>
      </c>
      <c r="E245">
        <f>VLOOKUP(A245,'Basic HH'!$B$1:$Y$319,23,FALSE)</f>
        <v>13896.634356867831</v>
      </c>
      <c r="F245">
        <f>VLOOKUP(A245,'Conc. HH'!$B$1:$Y$319,23,FALSE)</f>
        <v>0</v>
      </c>
      <c r="G245">
        <f>VLOOKUP(A245,'Targeted HH'!$B$1:$Y$319,23,FALSE)</f>
        <v>6705.4326749032025</v>
      </c>
      <c r="H245">
        <f>VLOOKUP(A245,'EFIG HH'!$B$1:$Y$319,23,FALSE)</f>
        <v>9122.9885615190215</v>
      </c>
      <c r="I245">
        <f t="shared" si="69"/>
        <v>29725.055593290053</v>
      </c>
      <c r="J245">
        <f t="shared" si="70"/>
        <v>29725.055593290053</v>
      </c>
      <c r="K245" s="43">
        <f t="shared" si="71"/>
        <v>27013.866613360497</v>
      </c>
      <c r="L245">
        <f t="shared" si="72"/>
        <v>0</v>
      </c>
      <c r="M245">
        <f t="shared" si="73"/>
        <v>5530.9559751032757</v>
      </c>
      <c r="N245" s="43">
        <f t="shared" si="74"/>
        <v>26290.92165606474</v>
      </c>
      <c r="O245">
        <f t="shared" si="75"/>
        <v>0</v>
      </c>
      <c r="P245">
        <f t="shared" si="76"/>
        <v>4808.0110178075192</v>
      </c>
      <c r="Q245" s="43">
        <f t="shared" si="77"/>
        <v>26290.92165606474</v>
      </c>
      <c r="R245">
        <f t="shared" si="78"/>
        <v>0</v>
      </c>
      <c r="S245">
        <f t="shared" si="79"/>
        <v>4808.0110178075192</v>
      </c>
      <c r="T245" s="43">
        <f t="shared" si="80"/>
        <v>26290.92165606474</v>
      </c>
      <c r="U245">
        <f t="shared" si="81"/>
        <v>0</v>
      </c>
      <c r="V245">
        <f t="shared" si="82"/>
        <v>4808.0110178075192</v>
      </c>
      <c r="W245" s="43">
        <f t="shared" si="83"/>
        <v>26290.92165606474</v>
      </c>
      <c r="X245" s="43">
        <f t="shared" si="84"/>
        <v>3434.1339372253133</v>
      </c>
      <c r="Y245" s="27">
        <f t="shared" si="85"/>
        <v>201.27412273366525</v>
      </c>
      <c r="Z245" s="27">
        <f t="shared" si="86"/>
        <v>26089.647533331074</v>
      </c>
      <c r="AA245">
        <f t="shared" si="87"/>
        <v>0</v>
      </c>
      <c r="AB245" s="27">
        <f t="shared" si="88"/>
        <v>26089.647533331074</v>
      </c>
      <c r="AD245" s="27">
        <f t="shared" si="89"/>
        <v>0</v>
      </c>
      <c r="AE245" s="27">
        <f t="shared" si="90"/>
        <v>26089.647533331074</v>
      </c>
      <c r="AF245" s="50"/>
      <c r="AG245" t="str">
        <f t="shared" si="91"/>
        <v>5307950</v>
      </c>
    </row>
    <row r="246" spans="1:33" x14ac:dyDescent="0.25">
      <c r="A246" s="7" t="s">
        <v>213</v>
      </c>
      <c r="B246" s="2" t="s">
        <v>1124</v>
      </c>
      <c r="C246" s="4" t="s">
        <v>1123</v>
      </c>
      <c r="D246">
        <f>_xlfn.IFNA(VLOOKUP(A246,'Prior Year data'!$A$1:$T$318,12,FALSE),0)</f>
        <v>0</v>
      </c>
      <c r="E246">
        <f>VLOOKUP(A246,'Basic HH'!$B$1:$Y$319,23,FALSE)</f>
        <v>0</v>
      </c>
      <c r="F246">
        <f>VLOOKUP(A246,'Conc. HH'!$B$1:$Y$319,23,FALSE)</f>
        <v>0</v>
      </c>
      <c r="G246">
        <f>VLOOKUP(A246,'Targeted HH'!$B$1:$Y$319,23,FALSE)</f>
        <v>0</v>
      </c>
      <c r="H246">
        <f>VLOOKUP(A246,'EFIG HH'!$B$1:$Y$319,23,FALSE)</f>
        <v>0</v>
      </c>
      <c r="I246">
        <f t="shared" si="69"/>
        <v>0</v>
      </c>
      <c r="J246">
        <f t="shared" si="70"/>
        <v>0</v>
      </c>
      <c r="K246" s="43">
        <f t="shared" si="71"/>
        <v>0</v>
      </c>
      <c r="L246">
        <f t="shared" si="72"/>
        <v>0</v>
      </c>
      <c r="M246">
        <f t="shared" si="73"/>
        <v>0</v>
      </c>
      <c r="N246" s="43">
        <f t="shared" si="74"/>
        <v>0</v>
      </c>
      <c r="O246">
        <f t="shared" si="75"/>
        <v>0</v>
      </c>
      <c r="P246">
        <f t="shared" si="76"/>
        <v>0</v>
      </c>
      <c r="Q246" s="43">
        <f t="shared" si="77"/>
        <v>0</v>
      </c>
      <c r="R246">
        <f t="shared" si="78"/>
        <v>0</v>
      </c>
      <c r="S246">
        <f t="shared" si="79"/>
        <v>0</v>
      </c>
      <c r="T246" s="43">
        <f t="shared" si="80"/>
        <v>0</v>
      </c>
      <c r="U246">
        <f t="shared" si="81"/>
        <v>0</v>
      </c>
      <c r="V246">
        <f t="shared" si="82"/>
        <v>0</v>
      </c>
      <c r="W246" s="43">
        <f t="shared" si="83"/>
        <v>0</v>
      </c>
      <c r="X246" s="43">
        <f t="shared" si="84"/>
        <v>0</v>
      </c>
      <c r="Y246" s="27">
        <f t="shared" si="85"/>
        <v>0</v>
      </c>
      <c r="Z246" s="27">
        <f t="shared" si="86"/>
        <v>0</v>
      </c>
      <c r="AA246">
        <f t="shared" si="87"/>
        <v>0</v>
      </c>
      <c r="AB246" s="27">
        <f t="shared" si="88"/>
        <v>0</v>
      </c>
      <c r="AD246" s="27">
        <f t="shared" si="89"/>
        <v>0</v>
      </c>
      <c r="AE246" s="27">
        <f t="shared" si="90"/>
        <v>0</v>
      </c>
      <c r="AF246" s="50"/>
      <c r="AG246" t="str">
        <f t="shared" si="91"/>
        <v>5307980</v>
      </c>
    </row>
    <row r="247" spans="1:33" x14ac:dyDescent="0.25">
      <c r="A247" s="7" t="s">
        <v>215</v>
      </c>
      <c r="B247" s="2" t="s">
        <v>1126</v>
      </c>
      <c r="C247" s="4" t="s">
        <v>1125</v>
      </c>
      <c r="D247">
        <f>_xlfn.IFNA(VLOOKUP(A247,'Prior Year data'!$A$1:$T$318,12,FALSE),0)</f>
        <v>762585.95671752479</v>
      </c>
      <c r="E247">
        <f>VLOOKUP(A247,'Basic HH'!$B$1:$Y$319,23,FALSE)</f>
        <v>494199.05931611231</v>
      </c>
      <c r="F247">
        <f>VLOOKUP(A247,'Conc. HH'!$B$1:$Y$319,23,FALSE)</f>
        <v>0</v>
      </c>
      <c r="G247">
        <f>VLOOKUP(A247,'Targeted HH'!$B$1:$Y$319,23,FALSE)</f>
        <v>238461.94950124514</v>
      </c>
      <c r="H247">
        <f>VLOOKUP(A247,'EFIG HH'!$B$1:$Y$319,23,FALSE)</f>
        <v>324436.28071902017</v>
      </c>
      <c r="I247">
        <f t="shared" si="69"/>
        <v>1057097.2895363776</v>
      </c>
      <c r="J247">
        <f t="shared" si="70"/>
        <v>1057097.2895363776</v>
      </c>
      <c r="K247" s="43">
        <f t="shared" si="71"/>
        <v>960680.63143763272</v>
      </c>
      <c r="L247">
        <f t="shared" si="72"/>
        <v>0</v>
      </c>
      <c r="M247">
        <f t="shared" si="73"/>
        <v>198094.67472010793</v>
      </c>
      <c r="N247" s="43">
        <f t="shared" si="74"/>
        <v>934787.90207932843</v>
      </c>
      <c r="O247">
        <f t="shared" si="75"/>
        <v>0</v>
      </c>
      <c r="P247">
        <f t="shared" si="76"/>
        <v>172201.94536180364</v>
      </c>
      <c r="Q247" s="43">
        <f t="shared" si="77"/>
        <v>934787.90207932843</v>
      </c>
      <c r="R247">
        <f t="shared" si="78"/>
        <v>0</v>
      </c>
      <c r="S247">
        <f t="shared" si="79"/>
        <v>172201.94536180364</v>
      </c>
      <c r="T247" s="43">
        <f t="shared" si="80"/>
        <v>934787.90207932843</v>
      </c>
      <c r="U247">
        <f t="shared" si="81"/>
        <v>0</v>
      </c>
      <c r="V247">
        <f t="shared" si="82"/>
        <v>172201.94536180364</v>
      </c>
      <c r="W247" s="43">
        <f t="shared" si="83"/>
        <v>934787.90207932843</v>
      </c>
      <c r="X247" s="43">
        <f t="shared" si="84"/>
        <v>122309.38745704922</v>
      </c>
      <c r="Y247" s="27">
        <f t="shared" si="85"/>
        <v>7156.4100108167358</v>
      </c>
      <c r="Z247" s="27">
        <f t="shared" si="86"/>
        <v>927631.49206851167</v>
      </c>
      <c r="AA247">
        <f t="shared" si="87"/>
        <v>0</v>
      </c>
      <c r="AB247" s="27">
        <f t="shared" si="88"/>
        <v>927631.49206851167</v>
      </c>
      <c r="AD247" s="27">
        <f t="shared" si="89"/>
        <v>0</v>
      </c>
      <c r="AE247" s="27">
        <f t="shared" si="90"/>
        <v>927631.49206851167</v>
      </c>
      <c r="AF247" s="50"/>
      <c r="AG247" t="str">
        <f t="shared" si="91"/>
        <v>5308020</v>
      </c>
    </row>
    <row r="248" spans="1:33" x14ac:dyDescent="0.25">
      <c r="A248" s="7" t="s">
        <v>217</v>
      </c>
      <c r="B248" s="2" t="s">
        <v>1128</v>
      </c>
      <c r="C248" s="8" t="s">
        <v>1127</v>
      </c>
      <c r="D248">
        <f>_xlfn.IFNA(VLOOKUP(A248,'Prior Year data'!$A$1:$T$318,12,FALSE),0)</f>
        <v>269846.78041964298</v>
      </c>
      <c r="E248">
        <f>VLOOKUP(A248,'Basic HH'!$B$1:$Y$319,23,FALSE)</f>
        <v>231153.43965970015</v>
      </c>
      <c r="F248">
        <f>VLOOKUP(A248,'Conc. HH'!$B$1:$Y$319,23,FALSE)</f>
        <v>0</v>
      </c>
      <c r="G248">
        <f>VLOOKUP(A248,'Targeted HH'!$B$1:$Y$319,23,FALSE)</f>
        <v>0</v>
      </c>
      <c r="H248">
        <f>VLOOKUP(A248,'EFIG HH'!$B$1:$Y$319,23,FALSE)</f>
        <v>0</v>
      </c>
      <c r="I248">
        <f t="shared" si="69"/>
        <v>231153.43965970015</v>
      </c>
      <c r="J248">
        <f t="shared" si="70"/>
        <v>0</v>
      </c>
      <c r="K248" s="43">
        <f t="shared" si="71"/>
        <v>231153.43965970015</v>
      </c>
      <c r="L248">
        <f t="shared" si="72"/>
        <v>0</v>
      </c>
      <c r="M248">
        <f t="shared" si="73"/>
        <v>0</v>
      </c>
      <c r="N248" s="43">
        <f t="shared" si="74"/>
        <v>231153.43965970015</v>
      </c>
      <c r="O248">
        <f t="shared" si="75"/>
        <v>0</v>
      </c>
      <c r="P248">
        <f t="shared" si="76"/>
        <v>0</v>
      </c>
      <c r="Q248" s="43">
        <f t="shared" si="77"/>
        <v>231153.43965970015</v>
      </c>
      <c r="R248">
        <f t="shared" si="78"/>
        <v>0</v>
      </c>
      <c r="S248">
        <f t="shared" si="79"/>
        <v>0</v>
      </c>
      <c r="T248" s="43">
        <f t="shared" si="80"/>
        <v>231153.43965970015</v>
      </c>
      <c r="U248">
        <f t="shared" si="81"/>
        <v>0</v>
      </c>
      <c r="V248">
        <f t="shared" si="82"/>
        <v>0</v>
      </c>
      <c r="W248" s="43">
        <f t="shared" si="83"/>
        <v>231153.43965970015</v>
      </c>
      <c r="X248" s="43">
        <f t="shared" si="84"/>
        <v>0</v>
      </c>
      <c r="Y248" s="27">
        <f t="shared" si="85"/>
        <v>1769.6300796531045</v>
      </c>
      <c r="Z248" s="27">
        <f t="shared" si="86"/>
        <v>229383.80958004703</v>
      </c>
      <c r="AA248">
        <f t="shared" si="87"/>
        <v>0</v>
      </c>
      <c r="AB248" s="27">
        <f t="shared" si="88"/>
        <v>229383.80958004703</v>
      </c>
      <c r="AD248" s="27">
        <f t="shared" si="89"/>
        <v>0</v>
      </c>
      <c r="AE248" s="27">
        <f t="shared" si="90"/>
        <v>229383.80958004703</v>
      </c>
      <c r="AF248" s="50"/>
      <c r="AG248" t="str">
        <f t="shared" si="91"/>
        <v>5308040</v>
      </c>
    </row>
    <row r="249" spans="1:33" x14ac:dyDescent="0.25">
      <c r="A249" s="7" t="s">
        <v>582</v>
      </c>
      <c r="B249" s="2" t="s">
        <v>1130</v>
      </c>
      <c r="C249" s="4" t="s">
        <v>1129</v>
      </c>
      <c r="D249">
        <f>_xlfn.IFNA(VLOOKUP(A249,'Prior Year data'!$A$1:$T$318,12,FALSE),0)</f>
        <v>338353.40098108188</v>
      </c>
      <c r="E249">
        <f>VLOOKUP(A249,'Basic HH'!$B$1:$Y$319,23,FALSE)</f>
        <v>177182.08805006486</v>
      </c>
      <c r="F249">
        <f>VLOOKUP(A249,'Conc. HH'!$B$1:$Y$319,23,FALSE)</f>
        <v>47682.048531207263</v>
      </c>
      <c r="G249">
        <f>VLOOKUP(A249,'Targeted HH'!$B$1:$Y$319,23,FALSE)</f>
        <v>147765.21009197438</v>
      </c>
      <c r="H249">
        <f>VLOOKUP(A249,'EFIG HH'!$B$1:$Y$319,23,FALSE)</f>
        <v>201040.02035618052</v>
      </c>
      <c r="I249">
        <f t="shared" si="69"/>
        <v>573669.36702942697</v>
      </c>
      <c r="J249">
        <f t="shared" si="70"/>
        <v>573669.36702942697</v>
      </c>
      <c r="K249" s="43">
        <f t="shared" si="71"/>
        <v>521345.62751169712</v>
      </c>
      <c r="L249">
        <f t="shared" si="72"/>
        <v>0</v>
      </c>
      <c r="M249">
        <f t="shared" si="73"/>
        <v>182992.22653061524</v>
      </c>
      <c r="N249" s="43">
        <f t="shared" si="74"/>
        <v>497426.92195878213</v>
      </c>
      <c r="O249">
        <f t="shared" si="75"/>
        <v>0</v>
      </c>
      <c r="P249">
        <f t="shared" si="76"/>
        <v>159073.52097770025</v>
      </c>
      <c r="Q249" s="43">
        <f t="shared" si="77"/>
        <v>497426.92195878213</v>
      </c>
      <c r="R249">
        <f t="shared" si="78"/>
        <v>0</v>
      </c>
      <c r="S249">
        <f t="shared" si="79"/>
        <v>159073.52097770025</v>
      </c>
      <c r="T249" s="43">
        <f t="shared" si="80"/>
        <v>497426.92195878213</v>
      </c>
      <c r="U249">
        <f t="shared" si="81"/>
        <v>0</v>
      </c>
      <c r="V249">
        <f t="shared" si="82"/>
        <v>159073.52097770025</v>
      </c>
      <c r="W249" s="43">
        <f t="shared" si="83"/>
        <v>497426.92195878213</v>
      </c>
      <c r="X249" s="43">
        <f t="shared" si="84"/>
        <v>76242.445070644841</v>
      </c>
      <c r="Y249" s="27">
        <f t="shared" si="85"/>
        <v>3808.1269516189045</v>
      </c>
      <c r="Z249" s="27">
        <f t="shared" si="86"/>
        <v>493618.79500716325</v>
      </c>
      <c r="AA249">
        <f t="shared" si="87"/>
        <v>0</v>
      </c>
      <c r="AB249" s="27">
        <f t="shared" si="88"/>
        <v>493618.79500716325</v>
      </c>
      <c r="AD249" s="27">
        <f t="shared" si="89"/>
        <v>0</v>
      </c>
      <c r="AE249" s="27">
        <f t="shared" si="90"/>
        <v>493618.79500716325</v>
      </c>
      <c r="AF249" s="50"/>
      <c r="AG249" t="str">
        <f t="shared" si="91"/>
        <v>5308070</v>
      </c>
    </row>
    <row r="250" spans="1:33" x14ac:dyDescent="0.25">
      <c r="A250" s="7" t="s">
        <v>584</v>
      </c>
      <c r="B250" s="2" t="s">
        <v>1132</v>
      </c>
      <c r="C250" s="4" t="s">
        <v>1131</v>
      </c>
      <c r="D250">
        <f>_xlfn.IFNA(VLOOKUP(A250,'Prior Year data'!$A$1:$T$318,12,FALSE),0)</f>
        <v>188679.65461310957</v>
      </c>
      <c r="E250">
        <f>VLOOKUP(A250,'Basic HH'!$B$1:$Y$319,23,FALSE)</f>
        <v>71237.024177676998</v>
      </c>
      <c r="F250">
        <f>VLOOKUP(A250,'Conc. HH'!$B$1:$Y$319,23,FALSE)</f>
        <v>18769.781824691938</v>
      </c>
      <c r="G250">
        <f>VLOOKUP(A250,'Targeted HH'!$B$1:$Y$319,23,FALSE)</f>
        <v>44986.60796766854</v>
      </c>
      <c r="H250">
        <f>VLOOKUP(A250,'EFIG HH'!$B$1:$Y$319,23,FALSE)</f>
        <v>61834.904512131849</v>
      </c>
      <c r="I250">
        <f t="shared" si="69"/>
        <v>196828.31848216933</v>
      </c>
      <c r="J250">
        <f t="shared" si="70"/>
        <v>196828.31848216933</v>
      </c>
      <c r="K250" s="43">
        <f t="shared" si="71"/>
        <v>178875.82832341641</v>
      </c>
      <c r="L250">
        <f t="shared" si="72"/>
        <v>9803.8262896931556</v>
      </c>
      <c r="M250">
        <f t="shared" si="73"/>
        <v>0</v>
      </c>
      <c r="N250" s="43">
        <f t="shared" si="74"/>
        <v>188679.65461310957</v>
      </c>
      <c r="O250">
        <f t="shared" si="75"/>
        <v>0</v>
      </c>
      <c r="P250">
        <f t="shared" si="76"/>
        <v>0</v>
      </c>
      <c r="Q250" s="43">
        <f t="shared" si="77"/>
        <v>188679.65461310957</v>
      </c>
      <c r="R250">
        <f t="shared" si="78"/>
        <v>0</v>
      </c>
      <c r="S250">
        <f t="shared" si="79"/>
        <v>0</v>
      </c>
      <c r="T250" s="43">
        <f t="shared" si="80"/>
        <v>188679.65461310957</v>
      </c>
      <c r="U250">
        <f t="shared" si="81"/>
        <v>0</v>
      </c>
      <c r="V250">
        <f t="shared" si="82"/>
        <v>0</v>
      </c>
      <c r="W250" s="43">
        <f t="shared" si="83"/>
        <v>188679.65461310957</v>
      </c>
      <c r="X250" s="43">
        <f t="shared" si="84"/>
        <v>8148.6638690597611</v>
      </c>
      <c r="Y250" s="27">
        <f t="shared" si="85"/>
        <v>1444.465601348908</v>
      </c>
      <c r="Z250" s="27">
        <f t="shared" si="86"/>
        <v>187235.18901176067</v>
      </c>
      <c r="AA250">
        <f t="shared" si="87"/>
        <v>0</v>
      </c>
      <c r="AB250" s="27">
        <f t="shared" si="88"/>
        <v>187235.18901176067</v>
      </c>
      <c r="AD250" s="27">
        <f t="shared" si="89"/>
        <v>0</v>
      </c>
      <c r="AE250" s="27">
        <f t="shared" si="90"/>
        <v>187235.18901176067</v>
      </c>
      <c r="AF250" s="50"/>
      <c r="AG250" t="str">
        <f t="shared" si="91"/>
        <v>5308100</v>
      </c>
    </row>
    <row r="251" spans="1:33" x14ac:dyDescent="0.25">
      <c r="A251" s="7" t="s">
        <v>219</v>
      </c>
      <c r="B251" s="2" t="s">
        <v>1134</v>
      </c>
      <c r="C251" s="4" t="s">
        <v>1133</v>
      </c>
      <c r="D251">
        <f>_xlfn.IFNA(VLOOKUP(A251,'Prior Year data'!$A$1:$T$318,12,FALSE),0)</f>
        <v>2083277.0255695162</v>
      </c>
      <c r="E251">
        <f>VLOOKUP(A251,'Basic HH'!$B$1:$Y$319,23,FALSE)</f>
        <v>865065.48871502245</v>
      </c>
      <c r="F251">
        <f>VLOOKUP(A251,'Conc. HH'!$B$1:$Y$319,23,FALSE)</f>
        <v>0</v>
      </c>
      <c r="G251">
        <f>VLOOKUP(A251,'Targeted HH'!$B$1:$Y$319,23,FALSE)</f>
        <v>483109.76008647622</v>
      </c>
      <c r="H251">
        <f>VLOOKUP(A251,'EFIG HH'!$B$1:$Y$319,23,FALSE)</f>
        <v>664043.08378385974</v>
      </c>
      <c r="I251">
        <f t="shared" si="69"/>
        <v>2012218.3325853585</v>
      </c>
      <c r="J251">
        <f t="shared" si="70"/>
        <v>0</v>
      </c>
      <c r="K251" s="43">
        <f t="shared" si="71"/>
        <v>2012218.3325853585</v>
      </c>
      <c r="L251">
        <f t="shared" si="72"/>
        <v>0</v>
      </c>
      <c r="M251">
        <f t="shared" si="73"/>
        <v>0</v>
      </c>
      <c r="N251" s="43">
        <f t="shared" si="74"/>
        <v>2012218.3325853585</v>
      </c>
      <c r="O251">
        <f t="shared" si="75"/>
        <v>0</v>
      </c>
      <c r="P251">
        <f t="shared" si="76"/>
        <v>0</v>
      </c>
      <c r="Q251" s="43">
        <f t="shared" si="77"/>
        <v>2012218.3325853585</v>
      </c>
      <c r="R251">
        <f t="shared" si="78"/>
        <v>0</v>
      </c>
      <c r="S251">
        <f t="shared" si="79"/>
        <v>0</v>
      </c>
      <c r="T251" s="43">
        <f t="shared" si="80"/>
        <v>2012218.3325853585</v>
      </c>
      <c r="U251">
        <f t="shared" si="81"/>
        <v>0</v>
      </c>
      <c r="V251">
        <f t="shared" si="82"/>
        <v>0</v>
      </c>
      <c r="W251" s="43">
        <f t="shared" si="83"/>
        <v>2012218.3325853585</v>
      </c>
      <c r="X251" s="43">
        <f t="shared" si="84"/>
        <v>0</v>
      </c>
      <c r="Y251" s="27">
        <f t="shared" si="85"/>
        <v>15404.841448237717</v>
      </c>
      <c r="Z251" s="27">
        <f t="shared" si="86"/>
        <v>1996813.4911371209</v>
      </c>
      <c r="AA251">
        <f t="shared" si="87"/>
        <v>0</v>
      </c>
      <c r="AB251" s="27">
        <f t="shared" si="88"/>
        <v>1996813.4911371209</v>
      </c>
      <c r="AD251" s="27">
        <f t="shared" si="89"/>
        <v>0</v>
      </c>
      <c r="AE251" s="27">
        <f t="shared" si="90"/>
        <v>1996813.4911371209</v>
      </c>
      <c r="AF251" s="50"/>
      <c r="AG251" t="str">
        <f t="shared" si="91"/>
        <v>5308160</v>
      </c>
    </row>
    <row r="252" spans="1:33" x14ac:dyDescent="0.25">
      <c r="A252" s="7" t="s">
        <v>221</v>
      </c>
      <c r="B252" s="2" t="s">
        <v>1136</v>
      </c>
      <c r="C252" s="4" t="s">
        <v>1135</v>
      </c>
      <c r="D252">
        <f>_xlfn.IFNA(VLOOKUP(A252,'Prior Year data'!$A$1:$T$318,12,FALSE),0)</f>
        <v>263027.80207270564</v>
      </c>
      <c r="E252">
        <f>VLOOKUP(A252,'Basic HH'!$B$1:$Y$319,23,FALSE)</f>
        <v>128543.86780102745</v>
      </c>
      <c r="F252">
        <f>VLOOKUP(A252,'Conc. HH'!$B$1:$Y$319,23,FALSE)</f>
        <v>0</v>
      </c>
      <c r="G252">
        <f>VLOOKUP(A252,'Targeted HH'!$B$1:$Y$319,23,FALSE)</f>
        <v>62025.252242854607</v>
      </c>
      <c r="H252">
        <f>VLOOKUP(A252,'EFIG HH'!$B$1:$Y$319,23,FALSE)</f>
        <v>84387.644194050939</v>
      </c>
      <c r="I252">
        <f t="shared" si="69"/>
        <v>274956.76423793298</v>
      </c>
      <c r="J252">
        <f t="shared" si="70"/>
        <v>274956.76423793298</v>
      </c>
      <c r="K252" s="43">
        <f t="shared" si="71"/>
        <v>249878.26617358456</v>
      </c>
      <c r="L252">
        <f t="shared" si="72"/>
        <v>13149.535899121081</v>
      </c>
      <c r="M252">
        <f t="shared" si="73"/>
        <v>0</v>
      </c>
      <c r="N252" s="43">
        <f t="shared" si="74"/>
        <v>263027.80207270564</v>
      </c>
      <c r="O252">
        <f t="shared" si="75"/>
        <v>0</v>
      </c>
      <c r="P252">
        <f t="shared" si="76"/>
        <v>0</v>
      </c>
      <c r="Q252" s="43">
        <f t="shared" si="77"/>
        <v>263027.80207270564</v>
      </c>
      <c r="R252">
        <f t="shared" si="78"/>
        <v>0</v>
      </c>
      <c r="S252">
        <f t="shared" si="79"/>
        <v>0</v>
      </c>
      <c r="T252" s="43">
        <f t="shared" si="80"/>
        <v>263027.80207270564</v>
      </c>
      <c r="U252">
        <f t="shared" si="81"/>
        <v>0</v>
      </c>
      <c r="V252">
        <f t="shared" si="82"/>
        <v>0</v>
      </c>
      <c r="W252" s="43">
        <f t="shared" si="83"/>
        <v>263027.80207270564</v>
      </c>
      <c r="X252" s="43">
        <f t="shared" si="84"/>
        <v>11928.962165227334</v>
      </c>
      <c r="Y252" s="27">
        <f t="shared" si="85"/>
        <v>2013.6490766399477</v>
      </c>
      <c r="Z252" s="27">
        <f t="shared" si="86"/>
        <v>261014.15299606571</v>
      </c>
      <c r="AA252">
        <f t="shared" si="87"/>
        <v>0</v>
      </c>
      <c r="AB252" s="27">
        <f t="shared" si="88"/>
        <v>261014.15299606571</v>
      </c>
      <c r="AD252" s="27">
        <f t="shared" si="89"/>
        <v>0</v>
      </c>
      <c r="AE252" s="27">
        <f t="shared" si="90"/>
        <v>261014.15299606571</v>
      </c>
      <c r="AF252" s="50"/>
      <c r="AG252" t="str">
        <f t="shared" si="91"/>
        <v>5308190</v>
      </c>
    </row>
    <row r="253" spans="1:33" x14ac:dyDescent="0.25">
      <c r="A253" s="7" t="s">
        <v>586</v>
      </c>
      <c r="B253" s="2" t="s">
        <v>1138</v>
      </c>
      <c r="C253" s="4" t="s">
        <v>1137</v>
      </c>
      <c r="D253">
        <f>_xlfn.IFNA(VLOOKUP(A253,'Prior Year data'!$A$1:$T$318,12,FALSE),0)</f>
        <v>111997.97367246494</v>
      </c>
      <c r="E253">
        <f>VLOOKUP(A253,'Basic HH'!$B$1:$Y$319,23,FALSE)</f>
        <v>59929.235663992527</v>
      </c>
      <c r="F253">
        <f>VLOOKUP(A253,'Conc. HH'!$B$1:$Y$319,23,FALSE)</f>
        <v>16127.751709084803</v>
      </c>
      <c r="G253">
        <f>VLOOKUP(A253,'Targeted HH'!$B$1:$Y$319,23,FALSE)</f>
        <v>33122.553376016942</v>
      </c>
      <c r="H253">
        <f>VLOOKUP(A253,'EFIG HH'!$B$1:$Y$319,23,FALSE)</f>
        <v>45064.455975925208</v>
      </c>
      <c r="I253">
        <f t="shared" si="69"/>
        <v>154243.99672501947</v>
      </c>
      <c r="J253">
        <f t="shared" si="70"/>
        <v>154243.99672501947</v>
      </c>
      <c r="K253" s="43">
        <f t="shared" si="71"/>
        <v>140175.57478956776</v>
      </c>
      <c r="L253">
        <f t="shared" si="72"/>
        <v>0</v>
      </c>
      <c r="M253">
        <f t="shared" si="73"/>
        <v>28177.601117102822</v>
      </c>
      <c r="N253" s="43">
        <f t="shared" si="74"/>
        <v>136492.51263394821</v>
      </c>
      <c r="O253">
        <f t="shared" si="75"/>
        <v>0</v>
      </c>
      <c r="P253">
        <f t="shared" si="76"/>
        <v>24494.538961483267</v>
      </c>
      <c r="Q253" s="43">
        <f t="shared" si="77"/>
        <v>136492.51263394821</v>
      </c>
      <c r="R253">
        <f t="shared" si="78"/>
        <v>0</v>
      </c>
      <c r="S253">
        <f t="shared" si="79"/>
        <v>24494.538961483267</v>
      </c>
      <c r="T253" s="43">
        <f t="shared" si="80"/>
        <v>136492.51263394821</v>
      </c>
      <c r="U253">
        <f t="shared" si="81"/>
        <v>0</v>
      </c>
      <c r="V253">
        <f t="shared" si="82"/>
        <v>24494.538961483267</v>
      </c>
      <c r="W253" s="43">
        <f t="shared" si="83"/>
        <v>136492.51263394821</v>
      </c>
      <c r="X253" s="43">
        <f t="shared" si="84"/>
        <v>17751.484091071266</v>
      </c>
      <c r="Y253" s="27">
        <f t="shared" si="85"/>
        <v>1044.9390515670402</v>
      </c>
      <c r="Z253" s="27">
        <f t="shared" si="86"/>
        <v>135447.57358238116</v>
      </c>
      <c r="AA253">
        <f t="shared" si="87"/>
        <v>0</v>
      </c>
      <c r="AB253" s="27">
        <f t="shared" si="88"/>
        <v>135447.57358238116</v>
      </c>
      <c r="AD253" s="27">
        <f t="shared" si="89"/>
        <v>0</v>
      </c>
      <c r="AE253" s="27">
        <f t="shared" si="90"/>
        <v>135447.57358238116</v>
      </c>
      <c r="AF253" s="50"/>
      <c r="AG253" t="str">
        <f t="shared" si="91"/>
        <v>5308220</v>
      </c>
    </row>
    <row r="254" spans="1:33" x14ac:dyDescent="0.25">
      <c r="A254" s="7" t="s">
        <v>61</v>
      </c>
      <c r="B254" s="2" t="s">
        <v>1139</v>
      </c>
      <c r="C254" s="4" t="s">
        <v>32</v>
      </c>
      <c r="D254">
        <f>_xlfn.IFNA(VLOOKUP(A254,'Prior Year data'!$A$1:$T$318,12,FALSE),0)</f>
        <v>14790695.760387417</v>
      </c>
      <c r="E254">
        <f>VLOOKUP(A254,'Basic HH'!$B$1:$Y$319,23,FALSE)</f>
        <v>4414313.7174389362</v>
      </c>
      <c r="F254">
        <f>VLOOKUP(A254,'Conc. HH'!$B$1:$Y$319,23,FALSE)</f>
        <v>1162405.2941369102</v>
      </c>
      <c r="G254">
        <f>VLOOKUP(A254,'Targeted HH'!$B$1:$Y$319,23,FALSE)</f>
        <v>3719844.5282898704</v>
      </c>
      <c r="H254">
        <f>VLOOKUP(A254,'EFIG HH'!$B$1:$Y$319,23,FALSE)</f>
        <v>5112885.6369777871</v>
      </c>
      <c r="I254">
        <f t="shared" si="69"/>
        <v>14409449.176843505</v>
      </c>
      <c r="J254">
        <f t="shared" si="70"/>
        <v>0</v>
      </c>
      <c r="K254" s="43">
        <f t="shared" si="71"/>
        <v>14409449.176843505</v>
      </c>
      <c r="L254">
        <f t="shared" si="72"/>
        <v>0</v>
      </c>
      <c r="M254">
        <f t="shared" si="73"/>
        <v>0</v>
      </c>
      <c r="N254" s="43">
        <f t="shared" si="74"/>
        <v>14409449.176843505</v>
      </c>
      <c r="O254">
        <f t="shared" si="75"/>
        <v>0</v>
      </c>
      <c r="P254">
        <f t="shared" si="76"/>
        <v>0</v>
      </c>
      <c r="Q254" s="43">
        <f t="shared" si="77"/>
        <v>14409449.176843505</v>
      </c>
      <c r="R254">
        <f t="shared" si="78"/>
        <v>0</v>
      </c>
      <c r="S254">
        <f t="shared" si="79"/>
        <v>0</v>
      </c>
      <c r="T254" s="43">
        <f t="shared" si="80"/>
        <v>14409449.176843505</v>
      </c>
      <c r="U254">
        <f t="shared" si="81"/>
        <v>0</v>
      </c>
      <c r="V254">
        <f t="shared" si="82"/>
        <v>0</v>
      </c>
      <c r="W254" s="43">
        <f t="shared" si="83"/>
        <v>14409449.176843505</v>
      </c>
      <c r="X254" s="43">
        <f t="shared" si="84"/>
        <v>0</v>
      </c>
      <c r="Y254" s="27">
        <f t="shared" si="85"/>
        <v>110313.71513274765</v>
      </c>
      <c r="Z254" s="27">
        <f t="shared" si="86"/>
        <v>14299135.461710759</v>
      </c>
      <c r="AA254">
        <f t="shared" si="87"/>
        <v>0</v>
      </c>
      <c r="AB254" s="27">
        <f t="shared" si="88"/>
        <v>14299135.461710759</v>
      </c>
      <c r="AD254" s="27">
        <f t="shared" si="89"/>
        <v>0</v>
      </c>
      <c r="AE254" s="27">
        <f t="shared" si="90"/>
        <v>14299135.461710759</v>
      </c>
      <c r="AF254" s="50"/>
      <c r="AG254" t="str">
        <f t="shared" si="91"/>
        <v>5308250</v>
      </c>
    </row>
    <row r="255" spans="1:33" x14ac:dyDescent="0.25">
      <c r="A255" s="7" t="s">
        <v>78</v>
      </c>
      <c r="B255" s="2" t="s">
        <v>1140</v>
      </c>
      <c r="C255" s="4" t="s">
        <v>35</v>
      </c>
      <c r="D255">
        <f>_xlfn.IFNA(VLOOKUP(A255,'Prior Year data'!$A$1:$T$318,12,FALSE),0)</f>
        <v>263999.68786392419</v>
      </c>
      <c r="E255">
        <f>VLOOKUP(A255,'Basic HH'!$B$1:$Y$319,23,FALSE)</f>
        <v>86954.18461423718</v>
      </c>
      <c r="F255">
        <f>VLOOKUP(A255,'Conc. HH'!$B$1:$Y$319,23,FALSE)</f>
        <v>0</v>
      </c>
      <c r="G255">
        <f>VLOOKUP(A255,'Targeted HH'!$B$1:$Y$319,23,FALSE)</f>
        <v>73274.368011351442</v>
      </c>
      <c r="H255">
        <f>VLOOKUP(A255,'EFIG HH'!$B$1:$Y$319,23,FALSE)</f>
        <v>100714.81776043444</v>
      </c>
      <c r="I255">
        <f t="shared" si="69"/>
        <v>260943.37038602305</v>
      </c>
      <c r="J255">
        <f t="shared" si="70"/>
        <v>0</v>
      </c>
      <c r="K255" s="43">
        <f t="shared" si="71"/>
        <v>260943.37038602305</v>
      </c>
      <c r="L255">
        <f t="shared" si="72"/>
        <v>0</v>
      </c>
      <c r="M255">
        <f t="shared" si="73"/>
        <v>0</v>
      </c>
      <c r="N255" s="43">
        <f t="shared" si="74"/>
        <v>260943.37038602305</v>
      </c>
      <c r="O255">
        <f t="shared" si="75"/>
        <v>0</v>
      </c>
      <c r="P255">
        <f t="shared" si="76"/>
        <v>0</v>
      </c>
      <c r="Q255" s="43">
        <f t="shared" si="77"/>
        <v>260943.37038602305</v>
      </c>
      <c r="R255">
        <f t="shared" si="78"/>
        <v>0</v>
      </c>
      <c r="S255">
        <f t="shared" si="79"/>
        <v>0</v>
      </c>
      <c r="T255" s="43">
        <f t="shared" si="80"/>
        <v>260943.37038602305</v>
      </c>
      <c r="U255">
        <f t="shared" si="81"/>
        <v>0</v>
      </c>
      <c r="V255">
        <f t="shared" si="82"/>
        <v>0</v>
      </c>
      <c r="W255" s="43">
        <f t="shared" si="83"/>
        <v>260943.37038602305</v>
      </c>
      <c r="X255" s="43">
        <f t="shared" si="84"/>
        <v>0</v>
      </c>
      <c r="Y255" s="27">
        <f t="shared" si="85"/>
        <v>1997.6913949495263</v>
      </c>
      <c r="Z255" s="27">
        <f t="shared" si="86"/>
        <v>258945.67899107351</v>
      </c>
      <c r="AA255">
        <f t="shared" si="87"/>
        <v>0</v>
      </c>
      <c r="AB255" s="27">
        <f t="shared" si="88"/>
        <v>258945.67899107351</v>
      </c>
      <c r="AD255" s="27">
        <f t="shared" si="89"/>
        <v>0</v>
      </c>
      <c r="AE255" s="27">
        <f t="shared" si="90"/>
        <v>258945.67899107351</v>
      </c>
      <c r="AF255" s="50"/>
      <c r="AG255" t="str">
        <f t="shared" si="91"/>
        <v>5308260</v>
      </c>
    </row>
    <row r="256" spans="1:33" x14ac:dyDescent="0.25">
      <c r="A256" s="7" t="s">
        <v>588</v>
      </c>
      <c r="B256" s="2" t="s">
        <v>1142</v>
      </c>
      <c r="C256" s="4" t="s">
        <v>1141</v>
      </c>
      <c r="D256">
        <f>_xlfn.IFNA(VLOOKUP(A256,'Prior Year data'!$A$1:$T$318,12,FALSE),0)</f>
        <v>41964.02507362717</v>
      </c>
      <c r="E256">
        <f>VLOOKUP(A256,'Basic HH'!$B$1:$Y$319,23,FALSE)</f>
        <v>17370.792946084792</v>
      </c>
      <c r="F256">
        <f>VLOOKUP(A256,'Conc. HH'!$B$1:$Y$319,23,FALSE)</f>
        <v>4674.7106403144362</v>
      </c>
      <c r="G256">
        <f>VLOOKUP(A256,'Targeted HH'!$B$1:$Y$319,23,FALSE)</f>
        <v>8677.2147168561896</v>
      </c>
      <c r="H256">
        <f>VLOOKUP(A256,'EFIG HH'!$B$1:$Y$319,23,FALSE)</f>
        <v>11926.988223554987</v>
      </c>
      <c r="I256">
        <f t="shared" si="69"/>
        <v>42649.706526810405</v>
      </c>
      <c r="J256">
        <f t="shared" si="70"/>
        <v>42649.706526810405</v>
      </c>
      <c r="K256" s="43">
        <f t="shared" si="71"/>
        <v>38759.674632006478</v>
      </c>
      <c r="L256">
        <f t="shared" si="72"/>
        <v>3204.3504416206924</v>
      </c>
      <c r="M256">
        <f t="shared" si="73"/>
        <v>0</v>
      </c>
      <c r="N256" s="43">
        <f t="shared" si="74"/>
        <v>41964.02507362717</v>
      </c>
      <c r="O256">
        <f t="shared" si="75"/>
        <v>0</v>
      </c>
      <c r="P256">
        <f t="shared" si="76"/>
        <v>0</v>
      </c>
      <c r="Q256" s="43">
        <f t="shared" si="77"/>
        <v>41964.02507362717</v>
      </c>
      <c r="R256">
        <f t="shared" si="78"/>
        <v>0</v>
      </c>
      <c r="S256">
        <f t="shared" si="79"/>
        <v>0</v>
      </c>
      <c r="T256" s="43">
        <f t="shared" si="80"/>
        <v>41964.02507362717</v>
      </c>
      <c r="U256">
        <f t="shared" si="81"/>
        <v>0</v>
      </c>
      <c r="V256">
        <f t="shared" si="82"/>
        <v>0</v>
      </c>
      <c r="W256" s="43">
        <f t="shared" si="83"/>
        <v>41964.02507362717</v>
      </c>
      <c r="X256" s="43">
        <f t="shared" si="84"/>
        <v>685.68145318323513</v>
      </c>
      <c r="Y256" s="27">
        <f t="shared" si="85"/>
        <v>321.26193381735146</v>
      </c>
      <c r="Z256" s="27">
        <f t="shared" si="86"/>
        <v>41642.763139809816</v>
      </c>
      <c r="AA256">
        <f t="shared" si="87"/>
        <v>0</v>
      </c>
      <c r="AB256" s="27">
        <f t="shared" si="88"/>
        <v>41642.763139809816</v>
      </c>
      <c r="AD256" s="27">
        <f t="shared" si="89"/>
        <v>0</v>
      </c>
      <c r="AE256" s="27">
        <f t="shared" si="90"/>
        <v>41642.763139809816</v>
      </c>
      <c r="AF256" s="50"/>
      <c r="AG256" t="str">
        <f t="shared" si="91"/>
        <v>5308280</v>
      </c>
    </row>
    <row r="257" spans="1:33" x14ac:dyDescent="0.25">
      <c r="A257" s="7" t="s">
        <v>590</v>
      </c>
      <c r="B257" s="2" t="s">
        <v>1144</v>
      </c>
      <c r="C257" s="4" t="s">
        <v>1143</v>
      </c>
      <c r="D257">
        <f>_xlfn.IFNA(VLOOKUP(A257,'Prior Year data'!$A$1:$T$318,12,FALSE),0)</f>
        <v>32812.860163130055</v>
      </c>
      <c r="E257">
        <f>VLOOKUP(A257,'Basic HH'!$B$1:$Y$319,23,FALSE)</f>
        <v>14765.174004172071</v>
      </c>
      <c r="F257">
        <f>VLOOKUP(A257,'Conc. HH'!$B$1:$Y$319,23,FALSE)</f>
        <v>0</v>
      </c>
      <c r="G257">
        <f>VLOOKUP(A257,'Targeted HH'!$B$1:$Y$319,23,FALSE)</f>
        <v>7124.5222170846528</v>
      </c>
      <c r="H257">
        <f>VLOOKUP(A257,'EFIG HH'!$B$1:$Y$319,23,FALSE)</f>
        <v>9693.1753466139598</v>
      </c>
      <c r="I257">
        <f t="shared" si="69"/>
        <v>31582.871567870683</v>
      </c>
      <c r="J257">
        <f t="shared" si="70"/>
        <v>0</v>
      </c>
      <c r="K257" s="43">
        <f t="shared" si="71"/>
        <v>31582.871567870683</v>
      </c>
      <c r="L257">
        <f t="shared" si="72"/>
        <v>0</v>
      </c>
      <c r="M257">
        <f t="shared" si="73"/>
        <v>0</v>
      </c>
      <c r="N257" s="43">
        <f t="shared" si="74"/>
        <v>31582.871567870683</v>
      </c>
      <c r="O257">
        <f t="shared" si="75"/>
        <v>0</v>
      </c>
      <c r="P257">
        <f t="shared" si="76"/>
        <v>0</v>
      </c>
      <c r="Q257" s="43">
        <f t="shared" si="77"/>
        <v>31582.871567870683</v>
      </c>
      <c r="R257">
        <f t="shared" si="78"/>
        <v>0</v>
      </c>
      <c r="S257">
        <f t="shared" si="79"/>
        <v>0</v>
      </c>
      <c r="T257" s="43">
        <f t="shared" si="80"/>
        <v>31582.871567870683</v>
      </c>
      <c r="U257">
        <f t="shared" si="81"/>
        <v>0</v>
      </c>
      <c r="V257">
        <f t="shared" si="82"/>
        <v>0</v>
      </c>
      <c r="W257" s="43">
        <f t="shared" si="83"/>
        <v>31582.871567870683</v>
      </c>
      <c r="X257" s="43">
        <f t="shared" si="84"/>
        <v>0</v>
      </c>
      <c r="Y257" s="27">
        <f t="shared" si="85"/>
        <v>241.78744478388469</v>
      </c>
      <c r="Z257" s="27">
        <f t="shared" si="86"/>
        <v>31341.084123086799</v>
      </c>
      <c r="AA257">
        <f t="shared" si="87"/>
        <v>0</v>
      </c>
      <c r="AB257" s="27">
        <f t="shared" si="88"/>
        <v>31341.084123086799</v>
      </c>
      <c r="AD257" s="27">
        <f t="shared" si="89"/>
        <v>0</v>
      </c>
      <c r="AE257" s="27">
        <f t="shared" si="90"/>
        <v>31341.084123086799</v>
      </c>
      <c r="AF257" s="50"/>
      <c r="AG257" t="str">
        <f t="shared" si="91"/>
        <v>5308310</v>
      </c>
    </row>
    <row r="258" spans="1:33" x14ac:dyDescent="0.25">
      <c r="A258" s="7" t="s">
        <v>223</v>
      </c>
      <c r="B258" s="2" t="s">
        <v>1146</v>
      </c>
      <c r="C258" s="4" t="s">
        <v>1145</v>
      </c>
      <c r="D258">
        <f>_xlfn.IFNA(VLOOKUP(A258,'Prior Year data'!$A$1:$T$318,12,FALSE),0)</f>
        <v>660058.75866914412</v>
      </c>
      <c r="E258">
        <f>VLOOKUP(A258,'Basic HH'!$B$1:$Y$319,23,FALSE)</f>
        <v>373472.04834082292</v>
      </c>
      <c r="F258">
        <f>VLOOKUP(A258,'Conc. HH'!$B$1:$Y$319,23,FALSE)</f>
        <v>0</v>
      </c>
      <c r="G258">
        <f>VLOOKUP(A258,'Targeted HH'!$B$1:$Y$319,23,FALSE)</f>
        <v>180208.50313802352</v>
      </c>
      <c r="H258">
        <f>VLOOKUP(A258,'EFIG HH'!$B$1:$Y$319,23,FALSE)</f>
        <v>245180.31759082372</v>
      </c>
      <c r="I258">
        <f t="shared" si="69"/>
        <v>798860.86906967021</v>
      </c>
      <c r="J258">
        <f t="shared" si="70"/>
        <v>798860.86906967021</v>
      </c>
      <c r="K258" s="43">
        <f t="shared" si="71"/>
        <v>725997.66523406329</v>
      </c>
      <c r="L258">
        <f t="shared" si="72"/>
        <v>0</v>
      </c>
      <c r="M258">
        <f t="shared" si="73"/>
        <v>65938.906564919162</v>
      </c>
      <c r="N258" s="43">
        <f t="shared" si="74"/>
        <v>717378.865842912</v>
      </c>
      <c r="O258">
        <f t="shared" si="75"/>
        <v>0</v>
      </c>
      <c r="P258">
        <f t="shared" si="76"/>
        <v>57320.107173767872</v>
      </c>
      <c r="Q258" s="43">
        <f t="shared" si="77"/>
        <v>717378.865842912</v>
      </c>
      <c r="R258">
        <f t="shared" si="78"/>
        <v>0</v>
      </c>
      <c r="S258">
        <f t="shared" si="79"/>
        <v>57320.107173767872</v>
      </c>
      <c r="T258" s="43">
        <f t="shared" si="80"/>
        <v>717378.865842912</v>
      </c>
      <c r="U258">
        <f t="shared" si="81"/>
        <v>0</v>
      </c>
      <c r="V258">
        <f t="shared" si="82"/>
        <v>57320.107173767872</v>
      </c>
      <c r="W258" s="43">
        <f t="shared" si="83"/>
        <v>717378.865842912</v>
      </c>
      <c r="X258" s="43">
        <f t="shared" si="84"/>
        <v>81482.003226758214</v>
      </c>
      <c r="Y258" s="27">
        <f t="shared" si="85"/>
        <v>5492.0022880558199</v>
      </c>
      <c r="Z258" s="27">
        <f t="shared" si="86"/>
        <v>711886.86355485616</v>
      </c>
      <c r="AA258">
        <f t="shared" si="87"/>
        <v>0</v>
      </c>
      <c r="AB258" s="27">
        <f t="shared" si="88"/>
        <v>711886.86355485616</v>
      </c>
      <c r="AD258" s="27">
        <f t="shared" si="89"/>
        <v>0</v>
      </c>
      <c r="AE258" s="27">
        <f t="shared" si="90"/>
        <v>711886.86355485616</v>
      </c>
      <c r="AF258" s="50"/>
      <c r="AG258" t="str">
        <f t="shared" si="91"/>
        <v>5308340</v>
      </c>
    </row>
    <row r="259" spans="1:33" x14ac:dyDescent="0.25">
      <c r="A259" s="7" t="s">
        <v>225</v>
      </c>
      <c r="B259" s="2" t="s">
        <v>1148</v>
      </c>
      <c r="C259" s="4" t="s">
        <v>1147</v>
      </c>
      <c r="D259">
        <f>_xlfn.IFNA(VLOOKUP(A259,'Prior Year data'!$A$1:$T$318,12,FALSE),0)</f>
        <v>0</v>
      </c>
      <c r="E259">
        <f>VLOOKUP(A259,'Basic HH'!$B$1:$Y$319,23,FALSE)</f>
        <v>0</v>
      </c>
      <c r="F259">
        <f>VLOOKUP(A259,'Conc. HH'!$B$1:$Y$319,23,FALSE)</f>
        <v>0</v>
      </c>
      <c r="G259">
        <f>VLOOKUP(A259,'Targeted HH'!$B$1:$Y$319,23,FALSE)</f>
        <v>0</v>
      </c>
      <c r="H259">
        <f>VLOOKUP(A259,'EFIG HH'!$B$1:$Y$319,23,FALSE)</f>
        <v>0</v>
      </c>
      <c r="I259">
        <f t="shared" si="69"/>
        <v>0</v>
      </c>
      <c r="J259">
        <f t="shared" si="70"/>
        <v>0</v>
      </c>
      <c r="K259" s="43">
        <f t="shared" si="71"/>
        <v>0</v>
      </c>
      <c r="L259">
        <f t="shared" si="72"/>
        <v>0</v>
      </c>
      <c r="M259">
        <f t="shared" si="73"/>
        <v>0</v>
      </c>
      <c r="N259" s="43">
        <f t="shared" si="74"/>
        <v>0</v>
      </c>
      <c r="O259">
        <f t="shared" si="75"/>
        <v>0</v>
      </c>
      <c r="P259">
        <f t="shared" si="76"/>
        <v>0</v>
      </c>
      <c r="Q259" s="43">
        <f t="shared" si="77"/>
        <v>0</v>
      </c>
      <c r="R259">
        <f t="shared" si="78"/>
        <v>0</v>
      </c>
      <c r="S259">
        <f t="shared" si="79"/>
        <v>0</v>
      </c>
      <c r="T259" s="43">
        <f t="shared" si="80"/>
        <v>0</v>
      </c>
      <c r="U259">
        <f t="shared" si="81"/>
        <v>0</v>
      </c>
      <c r="V259">
        <f t="shared" si="82"/>
        <v>0</v>
      </c>
      <c r="W259" s="43">
        <f t="shared" si="83"/>
        <v>0</v>
      </c>
      <c r="X259" s="43">
        <f t="shared" si="84"/>
        <v>0</v>
      </c>
      <c r="Y259" s="27">
        <f t="shared" si="85"/>
        <v>0</v>
      </c>
      <c r="Z259" s="27">
        <f t="shared" si="86"/>
        <v>0</v>
      </c>
      <c r="AA259">
        <f t="shared" si="87"/>
        <v>0</v>
      </c>
      <c r="AB259" s="27">
        <f t="shared" si="88"/>
        <v>0</v>
      </c>
      <c r="AD259" s="27">
        <f t="shared" si="89"/>
        <v>0</v>
      </c>
      <c r="AE259" s="27">
        <f t="shared" si="90"/>
        <v>0</v>
      </c>
      <c r="AF259" s="50"/>
      <c r="AG259" t="str">
        <f t="shared" si="91"/>
        <v>5308370</v>
      </c>
    </row>
    <row r="260" spans="1:33" x14ac:dyDescent="0.25">
      <c r="A260" s="7" t="s">
        <v>592</v>
      </c>
      <c r="B260" s="2" t="s">
        <v>1150</v>
      </c>
      <c r="C260" s="4" t="s">
        <v>1149</v>
      </c>
      <c r="D260">
        <f>_xlfn.IFNA(VLOOKUP(A260,'Prior Year data'!$A$1:$T$318,12,FALSE),0)</f>
        <v>41346.319342670227</v>
      </c>
      <c r="E260">
        <f>VLOOKUP(A260,'Basic HH'!$B$1:$Y$319,23,FALSE)</f>
        <v>0</v>
      </c>
      <c r="F260">
        <f>VLOOKUP(A260,'Conc. HH'!$B$1:$Y$319,23,FALSE)</f>
        <v>2890.2743751790126</v>
      </c>
      <c r="G260">
        <f>VLOOKUP(A260,'Targeted HH'!$B$1:$Y$319,23,FALSE)</f>
        <v>0</v>
      </c>
      <c r="H260">
        <f>VLOOKUP(A260,'EFIG HH'!$B$1:$Y$319,23,FALSE)</f>
        <v>0</v>
      </c>
      <c r="I260">
        <f t="shared" ref="I260:I318" si="92">SUM(E260:H260)</f>
        <v>2890.2743751790126</v>
      </c>
      <c r="J260">
        <f t="shared" ref="J260:J318" si="93">IF(I260&lt;D260,0,I260)</f>
        <v>0</v>
      </c>
      <c r="K260" s="43">
        <f t="shared" ref="K260:K318" si="94">IF(J260=0,I260,I260-$K$1*J260/$J$3)</f>
        <v>2890.2743751790126</v>
      </c>
      <c r="L260">
        <f t="shared" ref="L260:L318" si="95">IF($J260=0,0,IF(K260&lt;$D260,$D260-K260,0))</f>
        <v>0</v>
      </c>
      <c r="M260">
        <f t="shared" ref="M260:M318" si="96">IF($J260=0,0,IF(L260&gt;0,0,K260-$D260))</f>
        <v>0</v>
      </c>
      <c r="N260" s="43">
        <f t="shared" ref="N260:N318" si="97">IF(L260&gt;0,L260+K260,K260-$L$3*M260/$M$3)</f>
        <v>2890.2743751790126</v>
      </c>
      <c r="O260">
        <f t="shared" ref="O260:O318" si="98">IF($J260=0,0,IF(N260&lt;$D260,$D260-N260,0))</f>
        <v>0</v>
      </c>
      <c r="P260">
        <f t="shared" ref="P260:P318" si="99">IF($J260=0,0,IF(O260&gt;0,0,N260-$D260))</f>
        <v>0</v>
      </c>
      <c r="Q260" s="43">
        <f t="shared" ref="Q260:Q318" si="100">IF(O260&gt;0,O260+N260,N260-$O$3*P260/$P$3)</f>
        <v>2890.2743751790126</v>
      </c>
      <c r="R260">
        <f t="shared" ref="R260:R318" si="101">IF($J260=0,0,IF(Q260&lt;$D260,$D260-Q260,0))</f>
        <v>0</v>
      </c>
      <c r="S260">
        <f t="shared" ref="S260:S318" si="102">IF($J260=0,0,IF(R260&gt;0,0,Q260-$D260))</f>
        <v>0</v>
      </c>
      <c r="T260" s="43">
        <f t="shared" ref="T260:T318" si="103">IF(R260&gt;0,R260+Q260,Q260-$R$3*S260/$S$3)</f>
        <v>2890.2743751790126</v>
      </c>
      <c r="U260">
        <f t="shared" ref="U260:U318" si="104">IF($J260=0,0,IF(T260&lt;$D260,$D260-T260,0))</f>
        <v>0</v>
      </c>
      <c r="V260">
        <f t="shared" ref="V260:V318" si="105">IF($J260=0,0,IF(U260&gt;0,0,T260-$D260))</f>
        <v>0</v>
      </c>
      <c r="W260" s="43">
        <f t="shared" ref="W260:W318" si="106">IF(U260&gt;0,U260+T260,T260-$U$3*V260/$V$3)</f>
        <v>2890.2743751790126</v>
      </c>
      <c r="X260" s="43">
        <f t="shared" ref="X260:X318" si="107">I260-W260</f>
        <v>0</v>
      </c>
      <c r="Y260" s="27">
        <f t="shared" ref="Y260:Y318" si="108">W260/$W$3*$Y$1</f>
        <v>22.126932137791911</v>
      </c>
      <c r="Z260" s="27">
        <f t="shared" ref="Z260:Z318" si="109">W260-Y260</f>
        <v>2868.1474430412209</v>
      </c>
      <c r="AA260">
        <f t="shared" ref="AA260:AA318" si="110">Z260/$Z$3*$AA$1</f>
        <v>0</v>
      </c>
      <c r="AB260" s="27">
        <f t="shared" ref="AB260:AB318" si="111">Z260-AA260</f>
        <v>2868.1474430412209</v>
      </c>
      <c r="AD260" s="27">
        <f t="shared" ref="AD260:AD318" si="112">IF(AC260&gt;0,AC260*AB260,0)</f>
        <v>0</v>
      </c>
      <c r="AE260" s="27">
        <f t="shared" ref="AE260:AE318" si="113">AB260-AD260</f>
        <v>2868.1474430412209</v>
      </c>
      <c r="AF260" s="50"/>
      <c r="AG260" t="str">
        <f t="shared" ref="AG260:AG316" si="114">A260</f>
        <v>5308400</v>
      </c>
    </row>
    <row r="261" spans="1:33" x14ac:dyDescent="0.25">
      <c r="A261" s="7" t="s">
        <v>227</v>
      </c>
      <c r="B261" s="2" t="s">
        <v>1152</v>
      </c>
      <c r="C261" s="4" t="s">
        <v>1151</v>
      </c>
      <c r="D261">
        <f>_xlfn.IFNA(VLOOKUP(A261,'Prior Year data'!$A$1:$T$318,12,FALSE),0)</f>
        <v>0</v>
      </c>
      <c r="E261">
        <f>VLOOKUP(A261,'Basic HH'!$B$1:$Y$319,23,FALSE)</f>
        <v>0</v>
      </c>
      <c r="F261">
        <f>VLOOKUP(A261,'Conc. HH'!$B$1:$Y$319,23,FALSE)</f>
        <v>0</v>
      </c>
      <c r="G261">
        <f>VLOOKUP(A261,'Targeted HH'!$B$1:$Y$319,23,FALSE)</f>
        <v>0</v>
      </c>
      <c r="H261">
        <f>VLOOKUP(A261,'EFIG HH'!$B$1:$Y$319,23,FALSE)</f>
        <v>0</v>
      </c>
      <c r="I261">
        <f t="shared" si="92"/>
        <v>0</v>
      </c>
      <c r="J261">
        <f t="shared" si="93"/>
        <v>0</v>
      </c>
      <c r="K261" s="43">
        <f t="shared" si="94"/>
        <v>0</v>
      </c>
      <c r="L261">
        <f t="shared" si="95"/>
        <v>0</v>
      </c>
      <c r="M261">
        <f t="shared" si="96"/>
        <v>0</v>
      </c>
      <c r="N261" s="43">
        <f t="shared" si="97"/>
        <v>0</v>
      </c>
      <c r="O261">
        <f t="shared" si="98"/>
        <v>0</v>
      </c>
      <c r="P261">
        <f t="shared" si="99"/>
        <v>0</v>
      </c>
      <c r="Q261" s="43">
        <f t="shared" si="100"/>
        <v>0</v>
      </c>
      <c r="R261">
        <f t="shared" si="101"/>
        <v>0</v>
      </c>
      <c r="S261">
        <f t="shared" si="102"/>
        <v>0</v>
      </c>
      <c r="T261" s="43">
        <f t="shared" si="103"/>
        <v>0</v>
      </c>
      <c r="U261">
        <f t="shared" si="104"/>
        <v>0</v>
      </c>
      <c r="V261">
        <f t="shared" si="105"/>
        <v>0</v>
      </c>
      <c r="W261" s="43">
        <f t="shared" si="106"/>
        <v>0</v>
      </c>
      <c r="X261" s="43">
        <f t="shared" si="107"/>
        <v>0</v>
      </c>
      <c r="Y261" s="27">
        <f t="shared" si="108"/>
        <v>0</v>
      </c>
      <c r="Z261" s="27">
        <f t="shared" si="109"/>
        <v>0</v>
      </c>
      <c r="AA261">
        <f t="shared" si="110"/>
        <v>0</v>
      </c>
      <c r="AB261" s="27">
        <f t="shared" si="111"/>
        <v>0</v>
      </c>
      <c r="AD261" s="27">
        <f t="shared" si="112"/>
        <v>0</v>
      </c>
      <c r="AE261" s="27">
        <f t="shared" si="113"/>
        <v>0</v>
      </c>
      <c r="AF261" s="50"/>
      <c r="AG261" t="str">
        <f t="shared" si="114"/>
        <v>5308430</v>
      </c>
    </row>
    <row r="262" spans="1:33" x14ac:dyDescent="0.25">
      <c r="A262" s="7" t="s">
        <v>229</v>
      </c>
      <c r="B262" s="2" t="s">
        <v>1154</v>
      </c>
      <c r="C262" s="4" t="s">
        <v>1153</v>
      </c>
      <c r="D262">
        <f>_xlfn.IFNA(VLOOKUP(A262,'Prior Year data'!$A$1:$T$318,12,FALSE),0)</f>
        <v>442179.93023526401</v>
      </c>
      <c r="E262">
        <f>VLOOKUP(A262,'Basic HH'!$B$1:$Y$319,23,FALSE)</f>
        <v>219740.53076797261</v>
      </c>
      <c r="F262">
        <f>VLOOKUP(A262,'Conc. HH'!$B$1:$Y$319,23,FALSE)</f>
        <v>0</v>
      </c>
      <c r="G262">
        <f>VLOOKUP(A262,'Targeted HH'!$B$1:$Y$319,23,FALSE)</f>
        <v>106029.65417190688</v>
      </c>
      <c r="H262">
        <f>VLOOKUP(A262,'EFIG HH'!$B$1:$Y$319,23,FALSE)</f>
        <v>144257.25662901954</v>
      </c>
      <c r="I262">
        <f t="shared" si="92"/>
        <v>470027.44156889897</v>
      </c>
      <c r="J262">
        <f t="shared" si="93"/>
        <v>470027.44156889897</v>
      </c>
      <c r="K262" s="43">
        <f t="shared" si="94"/>
        <v>427156.76582376281</v>
      </c>
      <c r="L262">
        <f t="shared" si="95"/>
        <v>15023.164411501202</v>
      </c>
      <c r="M262">
        <f t="shared" si="96"/>
        <v>0</v>
      </c>
      <c r="N262" s="43">
        <f t="shared" si="97"/>
        <v>442179.93023526401</v>
      </c>
      <c r="O262">
        <f t="shared" si="98"/>
        <v>0</v>
      </c>
      <c r="P262">
        <f t="shared" si="99"/>
        <v>0</v>
      </c>
      <c r="Q262" s="43">
        <f t="shared" si="100"/>
        <v>442179.93023526401</v>
      </c>
      <c r="R262">
        <f t="shared" si="101"/>
        <v>0</v>
      </c>
      <c r="S262">
        <f t="shared" si="102"/>
        <v>0</v>
      </c>
      <c r="T262" s="43">
        <f t="shared" si="103"/>
        <v>442179.93023526401</v>
      </c>
      <c r="U262">
        <f t="shared" si="104"/>
        <v>0</v>
      </c>
      <c r="V262">
        <f t="shared" si="105"/>
        <v>0</v>
      </c>
      <c r="W262" s="43">
        <f t="shared" si="106"/>
        <v>442179.93023526401</v>
      </c>
      <c r="X262" s="43">
        <f t="shared" si="107"/>
        <v>27847.51133363496</v>
      </c>
      <c r="Y262" s="27">
        <f t="shared" si="108"/>
        <v>3385.1752598412945</v>
      </c>
      <c r="Z262" s="27">
        <f t="shared" si="109"/>
        <v>438794.75497542269</v>
      </c>
      <c r="AA262">
        <f t="shared" si="110"/>
        <v>0</v>
      </c>
      <c r="AB262" s="27">
        <f t="shared" si="111"/>
        <v>438794.75497542269</v>
      </c>
      <c r="AD262" s="27">
        <f t="shared" si="112"/>
        <v>0</v>
      </c>
      <c r="AE262" s="27">
        <f t="shared" si="113"/>
        <v>438794.75497542269</v>
      </c>
      <c r="AF262" s="50"/>
      <c r="AG262" t="str">
        <f t="shared" si="114"/>
        <v>5308460</v>
      </c>
    </row>
    <row r="263" spans="1:33" x14ac:dyDescent="0.25">
      <c r="A263" s="7" t="s">
        <v>594</v>
      </c>
      <c r="B263" s="2" t="s">
        <v>1156</v>
      </c>
      <c r="C263" s="4" t="s">
        <v>1155</v>
      </c>
      <c r="D263">
        <f>_xlfn.IFNA(VLOOKUP(A263,'Prior Year data'!$A$1:$T$318,12,FALSE),0)</f>
        <v>1783.2006729242646</v>
      </c>
      <c r="E263">
        <f>VLOOKUP(A263,'Basic HH'!$B$1:$Y$319,23,FALSE)</f>
        <v>0</v>
      </c>
      <c r="F263">
        <f>VLOOKUP(A263,'Conc. HH'!$B$1:$Y$319,23,FALSE)</f>
        <v>1617.3608360838525</v>
      </c>
      <c r="G263">
        <f>VLOOKUP(A263,'Targeted HH'!$B$1:$Y$319,23,FALSE)</f>
        <v>0</v>
      </c>
      <c r="H263">
        <f>VLOOKUP(A263,'EFIG HH'!$B$1:$Y$319,23,FALSE)</f>
        <v>0</v>
      </c>
      <c r="I263">
        <f t="shared" si="92"/>
        <v>1617.3608360838525</v>
      </c>
      <c r="J263">
        <f t="shared" si="93"/>
        <v>0</v>
      </c>
      <c r="K263" s="43">
        <f t="shared" si="94"/>
        <v>1617.3608360838525</v>
      </c>
      <c r="L263">
        <f t="shared" si="95"/>
        <v>0</v>
      </c>
      <c r="M263">
        <f t="shared" si="96"/>
        <v>0</v>
      </c>
      <c r="N263" s="43">
        <f t="shared" si="97"/>
        <v>1617.3608360838525</v>
      </c>
      <c r="O263">
        <f t="shared" si="98"/>
        <v>0</v>
      </c>
      <c r="P263">
        <f t="shared" si="99"/>
        <v>0</v>
      </c>
      <c r="Q263" s="43">
        <f t="shared" si="100"/>
        <v>1617.3608360838525</v>
      </c>
      <c r="R263">
        <f t="shared" si="101"/>
        <v>0</v>
      </c>
      <c r="S263">
        <f t="shared" si="102"/>
        <v>0</v>
      </c>
      <c r="T263" s="43">
        <f t="shared" si="103"/>
        <v>1617.3608360838525</v>
      </c>
      <c r="U263">
        <f t="shared" si="104"/>
        <v>0</v>
      </c>
      <c r="V263">
        <f t="shared" si="105"/>
        <v>0</v>
      </c>
      <c r="W263" s="43">
        <f t="shared" si="106"/>
        <v>1617.3608360838525</v>
      </c>
      <c r="X263" s="43">
        <f t="shared" si="107"/>
        <v>0</v>
      </c>
      <c r="Y263" s="27">
        <f t="shared" si="108"/>
        <v>12.38195022925229</v>
      </c>
      <c r="Z263" s="27">
        <f t="shared" si="109"/>
        <v>1604.9788858546003</v>
      </c>
      <c r="AA263">
        <f t="shared" si="110"/>
        <v>0</v>
      </c>
      <c r="AB263" s="27">
        <f t="shared" si="111"/>
        <v>1604.9788858546003</v>
      </c>
      <c r="AD263" s="27">
        <f t="shared" si="112"/>
        <v>0</v>
      </c>
      <c r="AE263" s="27">
        <f t="shared" si="113"/>
        <v>1604.9788858546003</v>
      </c>
      <c r="AF263" s="50"/>
      <c r="AG263" t="str">
        <f t="shared" si="114"/>
        <v>5308490</v>
      </c>
    </row>
    <row r="264" spans="1:33" x14ac:dyDescent="0.25">
      <c r="A264" s="7" t="s">
        <v>596</v>
      </c>
      <c r="B264" s="2" t="s">
        <v>1158</v>
      </c>
      <c r="C264" s="4" t="s">
        <v>1157</v>
      </c>
      <c r="D264">
        <f>_xlfn.IFNA(VLOOKUP(A264,'Prior Year data'!$A$1:$T$318,12,FALSE),0)</f>
        <v>249597.92951023101</v>
      </c>
      <c r="E264">
        <f>VLOOKUP(A264,'Basic HH'!$B$1:$Y$319,23,FALSE)</f>
        <v>120727.01097528927</v>
      </c>
      <c r="F264">
        <f>VLOOKUP(A264,'Conc. HH'!$B$1:$Y$319,23,FALSE)</f>
        <v>32489.238950185336</v>
      </c>
      <c r="G264">
        <f>VLOOKUP(A264,'Targeted HH'!$B$1:$Y$319,23,FALSE)</f>
        <v>58253.446363221599</v>
      </c>
      <c r="H264">
        <f>VLOOKUP(A264,'EFIG HH'!$B$1:$Y$319,23,FALSE)</f>
        <v>79255.963128196483</v>
      </c>
      <c r="I264">
        <f t="shared" si="92"/>
        <v>290725.65941689268</v>
      </c>
      <c r="J264">
        <f t="shared" si="93"/>
        <v>290725.65941689268</v>
      </c>
      <c r="K264" s="43">
        <f t="shared" si="94"/>
        <v>264208.89811025414</v>
      </c>
      <c r="L264">
        <f t="shared" si="95"/>
        <v>0</v>
      </c>
      <c r="M264">
        <f t="shared" si="96"/>
        <v>14610.96860002313</v>
      </c>
      <c r="N264" s="43">
        <f t="shared" si="97"/>
        <v>262299.11504234676</v>
      </c>
      <c r="O264">
        <f t="shared" si="98"/>
        <v>0</v>
      </c>
      <c r="P264">
        <f t="shared" si="99"/>
        <v>12701.185532115749</v>
      </c>
      <c r="Q264" s="43">
        <f t="shared" si="100"/>
        <v>262299.11504234676</v>
      </c>
      <c r="R264">
        <f t="shared" si="101"/>
        <v>0</v>
      </c>
      <c r="S264">
        <f t="shared" si="102"/>
        <v>12701.185532115749</v>
      </c>
      <c r="T264" s="43">
        <f t="shared" si="103"/>
        <v>262299.11504234676</v>
      </c>
      <c r="U264">
        <f t="shared" si="104"/>
        <v>0</v>
      </c>
      <c r="V264">
        <f t="shared" si="105"/>
        <v>12701.185532115749</v>
      </c>
      <c r="W264" s="43">
        <f t="shared" si="106"/>
        <v>262299.11504234676</v>
      </c>
      <c r="X264" s="43">
        <f t="shared" si="107"/>
        <v>28426.54437454592</v>
      </c>
      <c r="Y264" s="27">
        <f t="shared" si="108"/>
        <v>2008.0705029900182</v>
      </c>
      <c r="Z264" s="27">
        <f t="shared" si="109"/>
        <v>260291.04453935675</v>
      </c>
      <c r="AA264">
        <f t="shared" si="110"/>
        <v>0</v>
      </c>
      <c r="AB264" s="27">
        <f t="shared" si="111"/>
        <v>260291.04453935675</v>
      </c>
      <c r="AD264" s="27">
        <f t="shared" si="112"/>
        <v>0</v>
      </c>
      <c r="AE264" s="27">
        <f t="shared" si="113"/>
        <v>260291.04453935675</v>
      </c>
      <c r="AF264" s="50"/>
      <c r="AG264" t="str">
        <f t="shared" si="114"/>
        <v>5308520</v>
      </c>
    </row>
    <row r="265" spans="1:33" x14ac:dyDescent="0.25">
      <c r="A265" s="7" t="s">
        <v>231</v>
      </c>
      <c r="B265" s="2" t="s">
        <v>1160</v>
      </c>
      <c r="C265" s="4" t="s">
        <v>1159</v>
      </c>
      <c r="D265">
        <f>_xlfn.IFNA(VLOOKUP(A265,'Prior Year data'!$A$1:$T$318,12,FALSE),0)</f>
        <v>386394.27315218165</v>
      </c>
      <c r="E265">
        <f>VLOOKUP(A265,'Basic HH'!$B$1:$Y$319,23,FALSE)</f>
        <v>185867.48452310718</v>
      </c>
      <c r="F265">
        <f>VLOOKUP(A265,'Conc. HH'!$B$1:$Y$319,23,FALSE)</f>
        <v>0</v>
      </c>
      <c r="G265">
        <f>VLOOKUP(A265,'Targeted HH'!$B$1:$Y$319,23,FALSE)</f>
        <v>89685.162026830338</v>
      </c>
      <c r="H265">
        <f>VLOOKUP(A265,'EFIG HH'!$B$1:$Y$319,23,FALSE)</f>
        <v>122019.97201031692</v>
      </c>
      <c r="I265">
        <f t="shared" si="92"/>
        <v>397572.61856025446</v>
      </c>
      <c r="J265">
        <f t="shared" si="93"/>
        <v>397572.61856025446</v>
      </c>
      <c r="K265" s="43">
        <f t="shared" si="94"/>
        <v>361310.46595369664</v>
      </c>
      <c r="L265">
        <f t="shared" si="95"/>
        <v>25083.80719848501</v>
      </c>
      <c r="M265">
        <f t="shared" si="96"/>
        <v>0</v>
      </c>
      <c r="N265" s="43">
        <f t="shared" si="97"/>
        <v>386394.27315218165</v>
      </c>
      <c r="O265">
        <f t="shared" si="98"/>
        <v>0</v>
      </c>
      <c r="P265">
        <f t="shared" si="99"/>
        <v>0</v>
      </c>
      <c r="Q265" s="43">
        <f t="shared" si="100"/>
        <v>386394.27315218165</v>
      </c>
      <c r="R265">
        <f t="shared" si="101"/>
        <v>0</v>
      </c>
      <c r="S265">
        <f t="shared" si="102"/>
        <v>0</v>
      </c>
      <c r="T265" s="43">
        <f t="shared" si="103"/>
        <v>386394.27315218165</v>
      </c>
      <c r="U265">
        <f t="shared" si="104"/>
        <v>0</v>
      </c>
      <c r="V265">
        <f t="shared" si="105"/>
        <v>0</v>
      </c>
      <c r="W265" s="43">
        <f t="shared" si="106"/>
        <v>386394.27315218165</v>
      </c>
      <c r="X265" s="43">
        <f t="shared" si="107"/>
        <v>11178.345408072812</v>
      </c>
      <c r="Y265" s="27">
        <f t="shared" si="108"/>
        <v>2958.0997340227323</v>
      </c>
      <c r="Z265" s="27">
        <f t="shared" si="109"/>
        <v>383436.1734181589</v>
      </c>
      <c r="AA265">
        <f t="shared" si="110"/>
        <v>0</v>
      </c>
      <c r="AB265" s="27">
        <f t="shared" si="111"/>
        <v>383436.1734181589</v>
      </c>
      <c r="AD265" s="27">
        <f t="shared" si="112"/>
        <v>0</v>
      </c>
      <c r="AE265" s="27">
        <f t="shared" si="113"/>
        <v>383436.1734181589</v>
      </c>
      <c r="AF265" s="50"/>
      <c r="AG265" t="str">
        <f t="shared" si="114"/>
        <v>5308550</v>
      </c>
    </row>
    <row r="266" spans="1:33" x14ac:dyDescent="0.25">
      <c r="A266" s="7" t="s">
        <v>72</v>
      </c>
      <c r="B266" s="2" t="s">
        <v>1161</v>
      </c>
      <c r="C266" s="4" t="s">
        <v>25</v>
      </c>
      <c r="D266">
        <f>_xlfn.IFNA(VLOOKUP(A266,'Prior Year data'!$A$1:$T$318,12,FALSE),0)</f>
        <v>257435.32594975817</v>
      </c>
      <c r="E266">
        <f>VLOOKUP(A266,'Basic HH'!$B$1:$Y$319,23,FALSE)</f>
        <v>87840.382781150896</v>
      </c>
      <c r="F266">
        <f>VLOOKUP(A266,'Conc. HH'!$B$1:$Y$319,23,FALSE)</f>
        <v>23639.011374485985</v>
      </c>
      <c r="G266">
        <f>VLOOKUP(A266,'Targeted HH'!$B$1:$Y$319,23,FALSE)</f>
        <v>75572.117816313461</v>
      </c>
      <c r="H266">
        <f>VLOOKUP(A266,'EFIG HH'!$B$1:$Y$319,23,FALSE)</f>
        <v>102818.65463930683</v>
      </c>
      <c r="I266">
        <f t="shared" si="92"/>
        <v>289870.16661125718</v>
      </c>
      <c r="J266">
        <f t="shared" si="93"/>
        <v>289870.16661125718</v>
      </c>
      <c r="K266" s="43">
        <f t="shared" si="94"/>
        <v>263431.43384386791</v>
      </c>
      <c r="L266">
        <f t="shared" si="95"/>
        <v>0</v>
      </c>
      <c r="M266">
        <f t="shared" si="96"/>
        <v>5996.1078941097367</v>
      </c>
      <c r="N266" s="43">
        <f t="shared" si="97"/>
        <v>262647.68940891657</v>
      </c>
      <c r="O266">
        <f t="shared" si="98"/>
        <v>0</v>
      </c>
      <c r="P266">
        <f t="shared" si="99"/>
        <v>5212.3634591583977</v>
      </c>
      <c r="Q266" s="43">
        <f t="shared" si="100"/>
        <v>262647.68940891657</v>
      </c>
      <c r="R266">
        <f t="shared" si="101"/>
        <v>0</v>
      </c>
      <c r="S266">
        <f t="shared" si="102"/>
        <v>5212.3634591583977</v>
      </c>
      <c r="T266" s="43">
        <f t="shared" si="103"/>
        <v>262647.68940891657</v>
      </c>
      <c r="U266">
        <f t="shared" si="104"/>
        <v>0</v>
      </c>
      <c r="V266">
        <f t="shared" si="105"/>
        <v>5212.3634591583977</v>
      </c>
      <c r="W266" s="43">
        <f t="shared" si="106"/>
        <v>262647.68940891657</v>
      </c>
      <c r="X266" s="43">
        <f t="shared" si="107"/>
        <v>27222.477202340611</v>
      </c>
      <c r="Y266" s="27">
        <f t="shared" si="108"/>
        <v>2010.7390667154211</v>
      </c>
      <c r="Z266" s="27">
        <f t="shared" si="109"/>
        <v>260636.95034220116</v>
      </c>
      <c r="AA266">
        <f t="shared" si="110"/>
        <v>0</v>
      </c>
      <c r="AB266" s="27">
        <f t="shared" si="111"/>
        <v>260636.95034220116</v>
      </c>
      <c r="AD266" s="27">
        <f t="shared" si="112"/>
        <v>0</v>
      </c>
      <c r="AE266" s="27">
        <f t="shared" si="113"/>
        <v>260636.95034220116</v>
      </c>
      <c r="AF266" s="50"/>
      <c r="AG266" t="str">
        <f t="shared" si="114"/>
        <v>5308290</v>
      </c>
    </row>
    <row r="267" spans="1:33" x14ac:dyDescent="0.25">
      <c r="A267" s="7" t="s">
        <v>73</v>
      </c>
      <c r="B267" s="2" t="s">
        <v>1163</v>
      </c>
      <c r="C267" s="4" t="s">
        <v>27</v>
      </c>
      <c r="D267">
        <f>_xlfn.IFNA(VLOOKUP(A267,'Prior Year data'!$A$1:$T$318,12,FALSE),0)</f>
        <v>92384.336504161402</v>
      </c>
      <c r="E267">
        <f>VLOOKUP(A267,'Basic HH'!$B$1:$Y$319,23,FALSE)</f>
        <v>31495.345883755865</v>
      </c>
      <c r="F267">
        <f>VLOOKUP(A267,'Conc. HH'!$B$1:$Y$319,23,FALSE)</f>
        <v>0</v>
      </c>
      <c r="G267">
        <f>VLOOKUP(A267,'Targeted HH'!$B$1:$Y$319,23,FALSE)</f>
        <v>26654.066449737082</v>
      </c>
      <c r="H267">
        <f>VLOOKUP(A267,'EFIG HH'!$B$1:$Y$319,23,FALSE)</f>
        <v>36461.089314891666</v>
      </c>
      <c r="I267">
        <f t="shared" si="92"/>
        <v>94610.501648384612</v>
      </c>
      <c r="J267">
        <f t="shared" si="93"/>
        <v>94610.501648384612</v>
      </c>
      <c r="K267" s="43">
        <f t="shared" si="94"/>
        <v>85981.18391171367</v>
      </c>
      <c r="L267">
        <f t="shared" si="95"/>
        <v>6403.1525924477319</v>
      </c>
      <c r="M267">
        <f t="shared" si="96"/>
        <v>0</v>
      </c>
      <c r="N267" s="43">
        <f t="shared" si="97"/>
        <v>92384.336504161402</v>
      </c>
      <c r="O267">
        <f t="shared" si="98"/>
        <v>0</v>
      </c>
      <c r="P267">
        <f t="shared" si="99"/>
        <v>0</v>
      </c>
      <c r="Q267" s="43">
        <f t="shared" si="100"/>
        <v>92384.336504161402</v>
      </c>
      <c r="R267">
        <f t="shared" si="101"/>
        <v>0</v>
      </c>
      <c r="S267">
        <f t="shared" si="102"/>
        <v>0</v>
      </c>
      <c r="T267" s="43">
        <f t="shared" si="103"/>
        <v>92384.336504161402</v>
      </c>
      <c r="U267">
        <f t="shared" si="104"/>
        <v>0</v>
      </c>
      <c r="V267">
        <f t="shared" si="105"/>
        <v>0</v>
      </c>
      <c r="W267" s="43">
        <f t="shared" si="106"/>
        <v>92384.336504161402</v>
      </c>
      <c r="X267" s="43">
        <f t="shared" si="107"/>
        <v>2226.1651442232105</v>
      </c>
      <c r="Y267" s="27">
        <f t="shared" si="108"/>
        <v>707.26224540391695</v>
      </c>
      <c r="Z267" s="27">
        <f t="shared" si="109"/>
        <v>91677.074258757479</v>
      </c>
      <c r="AA267">
        <f t="shared" si="110"/>
        <v>0</v>
      </c>
      <c r="AB267" s="27">
        <f t="shared" si="111"/>
        <v>91677.074258757479</v>
      </c>
      <c r="AD267" s="27">
        <f t="shared" si="112"/>
        <v>0</v>
      </c>
      <c r="AE267" s="27">
        <f t="shared" si="113"/>
        <v>91677.074258757479</v>
      </c>
      <c r="AF267" s="50"/>
      <c r="AG267" t="str">
        <f t="shared" si="114"/>
        <v>5308240</v>
      </c>
    </row>
    <row r="268" spans="1:33" x14ac:dyDescent="0.25">
      <c r="A268" s="7" t="s">
        <v>598</v>
      </c>
      <c r="B268" s="2" t="s">
        <v>1165</v>
      </c>
      <c r="C268" s="4" t="s">
        <v>1164</v>
      </c>
      <c r="D268">
        <f>_xlfn.IFNA(VLOOKUP(A268,'Prior Year data'!$A$1:$T$318,12,FALSE),0)</f>
        <v>52784.022570365159</v>
      </c>
      <c r="E268">
        <f>VLOOKUP(A268,'Basic HH'!$B$1:$Y$319,23,FALSE)</f>
        <v>22582.030829910218</v>
      </c>
      <c r="F268">
        <f>VLOOKUP(A268,'Conc. HH'!$B$1:$Y$319,23,FALSE)</f>
        <v>6077.1238324087672</v>
      </c>
      <c r="G268">
        <f>VLOOKUP(A268,'Targeted HH'!$B$1:$Y$319,23,FALSE)</f>
        <v>13735.680699474135</v>
      </c>
      <c r="H268">
        <f>VLOOKUP(A268,'EFIG HH'!$B$1:$Y$319,23,FALSE)</f>
        <v>18687.900390825867</v>
      </c>
      <c r="I268">
        <f t="shared" si="92"/>
        <v>61082.735752618988</v>
      </c>
      <c r="J268">
        <f t="shared" si="93"/>
        <v>61082.735752618988</v>
      </c>
      <c r="K268" s="43">
        <f t="shared" si="94"/>
        <v>55511.447937304256</v>
      </c>
      <c r="L268">
        <f t="shared" si="95"/>
        <v>0</v>
      </c>
      <c r="M268">
        <f t="shared" si="96"/>
        <v>2727.4253669390964</v>
      </c>
      <c r="N268" s="43">
        <f t="shared" si="97"/>
        <v>55154.949273365361</v>
      </c>
      <c r="O268">
        <f t="shared" si="98"/>
        <v>0</v>
      </c>
      <c r="P268">
        <f t="shared" si="99"/>
        <v>2370.9267030002011</v>
      </c>
      <c r="Q268" s="43">
        <f t="shared" si="100"/>
        <v>55154.949273365361</v>
      </c>
      <c r="R268">
        <f t="shared" si="101"/>
        <v>0</v>
      </c>
      <c r="S268">
        <f t="shared" si="102"/>
        <v>2370.9267030002011</v>
      </c>
      <c r="T268" s="43">
        <f t="shared" si="103"/>
        <v>55154.949273365361</v>
      </c>
      <c r="U268">
        <f t="shared" si="104"/>
        <v>0</v>
      </c>
      <c r="V268">
        <f t="shared" si="105"/>
        <v>2370.9267030002011</v>
      </c>
      <c r="W268" s="43">
        <f t="shared" si="106"/>
        <v>55154.949273365361</v>
      </c>
      <c r="X268" s="43">
        <f t="shared" si="107"/>
        <v>5927.7864792536275</v>
      </c>
      <c r="Y268" s="27">
        <f t="shared" si="108"/>
        <v>422.24704689482053</v>
      </c>
      <c r="Z268" s="27">
        <f t="shared" si="109"/>
        <v>54732.702226470537</v>
      </c>
      <c r="AA268">
        <f t="shared" si="110"/>
        <v>0</v>
      </c>
      <c r="AB268" s="27">
        <f t="shared" si="111"/>
        <v>54732.702226470537</v>
      </c>
      <c r="AD268" s="27">
        <f t="shared" si="112"/>
        <v>0</v>
      </c>
      <c r="AE268" s="27">
        <f t="shared" si="113"/>
        <v>54732.702226470537</v>
      </c>
      <c r="AF268" s="50"/>
      <c r="AG268" t="str">
        <f t="shared" si="114"/>
        <v>5308580</v>
      </c>
    </row>
    <row r="269" spans="1:33" x14ac:dyDescent="0.25">
      <c r="A269" s="7" t="s">
        <v>233</v>
      </c>
      <c r="B269" s="2" t="s">
        <v>1167</v>
      </c>
      <c r="C269" s="4" t="s">
        <v>1166</v>
      </c>
      <c r="D269">
        <f>_xlfn.IFNA(VLOOKUP(A269,'Prior Year data'!$A$1:$T$318,12,FALSE),0)</f>
        <v>993500.48827254912</v>
      </c>
      <c r="E269">
        <f>VLOOKUP(A269,'Basic HH'!$B$1:$Y$319,23,FALSE)</f>
        <v>494199.05931611231</v>
      </c>
      <c r="F269">
        <f>VLOOKUP(A269,'Conc. HH'!$B$1:$Y$319,23,FALSE)</f>
        <v>0</v>
      </c>
      <c r="G269">
        <f>VLOOKUP(A269,'Targeted HH'!$B$1:$Y$319,23,FALSE)</f>
        <v>238461.94950124514</v>
      </c>
      <c r="H269">
        <f>VLOOKUP(A269,'EFIG HH'!$B$1:$Y$319,23,FALSE)</f>
        <v>324436.28071902017</v>
      </c>
      <c r="I269">
        <f t="shared" si="92"/>
        <v>1057097.2895363776</v>
      </c>
      <c r="J269">
        <f t="shared" si="93"/>
        <v>1057097.2895363776</v>
      </c>
      <c r="K269" s="43">
        <f t="shared" si="94"/>
        <v>960680.63143763272</v>
      </c>
      <c r="L269">
        <f t="shared" si="95"/>
        <v>32819.856834916398</v>
      </c>
      <c r="M269">
        <f t="shared" si="96"/>
        <v>0</v>
      </c>
      <c r="N269" s="43">
        <f t="shared" si="97"/>
        <v>993500.48827254912</v>
      </c>
      <c r="O269">
        <f t="shared" si="98"/>
        <v>0</v>
      </c>
      <c r="P269">
        <f t="shared" si="99"/>
        <v>0</v>
      </c>
      <c r="Q269" s="43">
        <f t="shared" si="100"/>
        <v>993500.48827254912</v>
      </c>
      <c r="R269">
        <f t="shared" si="101"/>
        <v>0</v>
      </c>
      <c r="S269">
        <f t="shared" si="102"/>
        <v>0</v>
      </c>
      <c r="T269" s="43">
        <f t="shared" si="103"/>
        <v>993500.48827254912</v>
      </c>
      <c r="U269">
        <f t="shared" si="104"/>
        <v>0</v>
      </c>
      <c r="V269">
        <f t="shared" si="105"/>
        <v>0</v>
      </c>
      <c r="W269" s="43">
        <f t="shared" si="106"/>
        <v>993500.48827254912</v>
      </c>
      <c r="X269" s="43">
        <f t="shared" si="107"/>
        <v>63596.801263828529</v>
      </c>
      <c r="Y269" s="27">
        <f t="shared" si="108"/>
        <v>7605.8930846343173</v>
      </c>
      <c r="Z269" s="27">
        <f t="shared" si="109"/>
        <v>985894.59518791479</v>
      </c>
      <c r="AA269">
        <f t="shared" si="110"/>
        <v>0</v>
      </c>
      <c r="AB269" s="27">
        <f t="shared" si="111"/>
        <v>985894.59518791479</v>
      </c>
      <c r="AD269" s="27">
        <f t="shared" si="112"/>
        <v>0</v>
      </c>
      <c r="AE269" s="27">
        <f t="shared" si="113"/>
        <v>985894.59518791479</v>
      </c>
      <c r="AF269" s="50"/>
      <c r="AG269" t="str">
        <f t="shared" si="114"/>
        <v>5308610</v>
      </c>
    </row>
    <row r="270" spans="1:33" x14ac:dyDescent="0.25">
      <c r="A270" s="7" t="s">
        <v>600</v>
      </c>
      <c r="B270" s="2" t="s">
        <v>1169</v>
      </c>
      <c r="C270" s="4" t="s">
        <v>1168</v>
      </c>
      <c r="D270">
        <f>_xlfn.IFNA(VLOOKUP(A270,'Prior Year data'!$A$1:$T$318,12,FALSE),0)</f>
        <v>2475669.0857468923</v>
      </c>
      <c r="E270">
        <f>VLOOKUP(A270,'Basic HH'!$B$1:$Y$319,23,FALSE)</f>
        <v>1136918.3983212488</v>
      </c>
      <c r="F270">
        <f>VLOOKUP(A270,'Conc. HH'!$B$1:$Y$319,23,FALSE)</f>
        <v>305959.81140857976</v>
      </c>
      <c r="G270">
        <f>VLOOKUP(A270,'Targeted HH'!$B$1:$Y$319,23,FALSE)</f>
        <v>678086.87924958661</v>
      </c>
      <c r="H270">
        <f>VLOOKUP(A270,'EFIG HH'!$B$1:$Y$319,23,FALSE)</f>
        <v>922562.21828361112</v>
      </c>
      <c r="I270">
        <f t="shared" si="92"/>
        <v>3043527.307263026</v>
      </c>
      <c r="J270">
        <f t="shared" si="93"/>
        <v>3043527.307263026</v>
      </c>
      <c r="K270" s="43">
        <f t="shared" si="94"/>
        <v>2765930.5953016579</v>
      </c>
      <c r="L270">
        <f t="shared" si="95"/>
        <v>0</v>
      </c>
      <c r="M270">
        <f t="shared" si="96"/>
        <v>290261.50955476565</v>
      </c>
      <c r="N270" s="43">
        <f t="shared" si="97"/>
        <v>2727990.8439143305</v>
      </c>
      <c r="O270">
        <f t="shared" si="98"/>
        <v>0</v>
      </c>
      <c r="P270">
        <f t="shared" si="99"/>
        <v>252321.75816743821</v>
      </c>
      <c r="Q270" s="43">
        <f t="shared" si="100"/>
        <v>2727990.8439143305</v>
      </c>
      <c r="R270">
        <f t="shared" si="101"/>
        <v>0</v>
      </c>
      <c r="S270">
        <f t="shared" si="102"/>
        <v>252321.75816743821</v>
      </c>
      <c r="T270" s="43">
        <f t="shared" si="103"/>
        <v>2727990.8439143305</v>
      </c>
      <c r="U270">
        <f t="shared" si="104"/>
        <v>0</v>
      </c>
      <c r="V270">
        <f t="shared" si="105"/>
        <v>252321.75816743821</v>
      </c>
      <c r="W270" s="43">
        <f t="shared" si="106"/>
        <v>2727990.8439143305</v>
      </c>
      <c r="X270" s="43">
        <f t="shared" si="107"/>
        <v>315536.46334869554</v>
      </c>
      <c r="Y270" s="27">
        <f t="shared" si="108"/>
        <v>20884.546046626278</v>
      </c>
      <c r="Z270" s="27">
        <f t="shared" si="109"/>
        <v>2707106.2978677042</v>
      </c>
      <c r="AA270">
        <f t="shared" si="110"/>
        <v>0</v>
      </c>
      <c r="AB270" s="27">
        <f t="shared" si="111"/>
        <v>2707106.2978677042</v>
      </c>
      <c r="AD270" s="27">
        <f t="shared" si="112"/>
        <v>0</v>
      </c>
      <c r="AE270" s="27">
        <f t="shared" si="113"/>
        <v>2707106.2978677042</v>
      </c>
      <c r="AF270" s="50"/>
      <c r="AG270" t="str">
        <f t="shared" si="114"/>
        <v>5308670</v>
      </c>
    </row>
    <row r="271" spans="1:33" x14ac:dyDescent="0.25">
      <c r="A271" s="7" t="s">
        <v>67</v>
      </c>
      <c r="B271" s="2" t="s">
        <v>1170</v>
      </c>
      <c r="C271" s="4" t="s">
        <v>11</v>
      </c>
      <c r="D271">
        <f>_xlfn.IFNA(VLOOKUP(A271,'Prior Year data'!$A$1:$T$318,12,FALSE),0)</f>
        <v>35253.301071581576</v>
      </c>
      <c r="E271">
        <f>VLOOKUP(A271,'Basic HH'!$B$1:$Y$319,23,FALSE)</f>
        <v>14779.696180768873</v>
      </c>
      <c r="F271">
        <f>VLOOKUP(A271,'Conc. HH'!$B$1:$Y$319,23,FALSE)</f>
        <v>3891.3299700937328</v>
      </c>
      <c r="G271">
        <f>VLOOKUP(A271,'Targeted HH'!$B$1:$Y$319,23,FALSE)</f>
        <v>8264.1902011720358</v>
      </c>
      <c r="H271">
        <f>VLOOKUP(A271,'EFIG HH'!$B$1:$Y$319,23,FALSE)</f>
        <v>11359.039083348602</v>
      </c>
      <c r="I271">
        <f t="shared" si="92"/>
        <v>38294.255435383246</v>
      </c>
      <c r="J271">
        <f t="shared" si="93"/>
        <v>38294.255435383246</v>
      </c>
      <c r="K271" s="43">
        <f t="shared" si="94"/>
        <v>34801.479349391499</v>
      </c>
      <c r="L271">
        <f t="shared" si="95"/>
        <v>451.82172219007771</v>
      </c>
      <c r="M271">
        <f t="shared" si="96"/>
        <v>0</v>
      </c>
      <c r="N271" s="43">
        <f t="shared" si="97"/>
        <v>35253.301071581576</v>
      </c>
      <c r="O271">
        <f t="shared" si="98"/>
        <v>0</v>
      </c>
      <c r="P271">
        <f t="shared" si="99"/>
        <v>0</v>
      </c>
      <c r="Q271" s="43">
        <f t="shared" si="100"/>
        <v>35253.301071581576</v>
      </c>
      <c r="R271">
        <f t="shared" si="101"/>
        <v>0</v>
      </c>
      <c r="S271">
        <f t="shared" si="102"/>
        <v>0</v>
      </c>
      <c r="T271" s="43">
        <f t="shared" si="103"/>
        <v>35253.301071581576</v>
      </c>
      <c r="U271">
        <f t="shared" si="104"/>
        <v>0</v>
      </c>
      <c r="V271">
        <f t="shared" si="105"/>
        <v>0</v>
      </c>
      <c r="W271" s="43">
        <f t="shared" si="106"/>
        <v>35253.301071581576</v>
      </c>
      <c r="X271" s="43">
        <f t="shared" si="107"/>
        <v>3040.9543638016694</v>
      </c>
      <c r="Y271" s="27">
        <f t="shared" si="108"/>
        <v>269.88697237289773</v>
      </c>
      <c r="Z271" s="27">
        <f t="shared" si="109"/>
        <v>34983.414099208676</v>
      </c>
      <c r="AA271">
        <f t="shared" si="110"/>
        <v>0</v>
      </c>
      <c r="AB271" s="27">
        <f t="shared" si="111"/>
        <v>34983.414099208676</v>
      </c>
      <c r="AD271" s="27">
        <f t="shared" si="112"/>
        <v>0</v>
      </c>
      <c r="AE271" s="27">
        <f t="shared" si="113"/>
        <v>34983.414099208676</v>
      </c>
      <c r="AF271" s="50"/>
      <c r="AG271" t="str">
        <f t="shared" si="114"/>
        <v>5308690</v>
      </c>
    </row>
    <row r="272" spans="1:33" x14ac:dyDescent="0.25">
      <c r="A272" s="7" t="s">
        <v>62</v>
      </c>
      <c r="B272" s="2" t="s">
        <v>1171</v>
      </c>
      <c r="C272" s="4" t="s">
        <v>39</v>
      </c>
      <c r="D272">
        <f>_xlfn.IFNA(VLOOKUP(A272,'Prior Year data'!$A$1:$T$318,12,FALSE),0)</f>
        <v>10236814.259084687</v>
      </c>
      <c r="E272">
        <f>VLOOKUP(A272,'Basic HH'!$B$1:$Y$319,23,FALSE)</f>
        <v>3819091.9496182106</v>
      </c>
      <c r="F272">
        <f>VLOOKUP(A272,'Conc. HH'!$B$1:$Y$319,23,FALSE)</f>
        <v>0</v>
      </c>
      <c r="G272">
        <f>VLOOKUP(A272,'Targeted HH'!$B$1:$Y$319,23,FALSE)</f>
        <v>3073055.4475680529</v>
      </c>
      <c r="H272">
        <f>VLOOKUP(A272,'EFIG HH'!$B$1:$Y$319,23,FALSE)</f>
        <v>4181005.3215517183</v>
      </c>
      <c r="I272">
        <f t="shared" si="92"/>
        <v>11073152.718737982</v>
      </c>
      <c r="J272">
        <f t="shared" si="93"/>
        <v>11073152.718737982</v>
      </c>
      <c r="K272" s="43">
        <f t="shared" si="94"/>
        <v>10063182.87932425</v>
      </c>
      <c r="L272">
        <f t="shared" si="95"/>
        <v>173631.37976043671</v>
      </c>
      <c r="M272">
        <f t="shared" si="96"/>
        <v>0</v>
      </c>
      <c r="N272" s="43">
        <f t="shared" si="97"/>
        <v>10236814.259084687</v>
      </c>
      <c r="O272">
        <f t="shared" si="98"/>
        <v>0</v>
      </c>
      <c r="P272">
        <f t="shared" si="99"/>
        <v>0</v>
      </c>
      <c r="Q272" s="43">
        <f t="shared" si="100"/>
        <v>10236814.259084687</v>
      </c>
      <c r="R272">
        <f t="shared" si="101"/>
        <v>0</v>
      </c>
      <c r="S272">
        <f t="shared" si="102"/>
        <v>0</v>
      </c>
      <c r="T272" s="43">
        <f t="shared" si="103"/>
        <v>10236814.259084687</v>
      </c>
      <c r="U272">
        <f t="shared" si="104"/>
        <v>0</v>
      </c>
      <c r="V272">
        <f t="shared" si="105"/>
        <v>0</v>
      </c>
      <c r="W272" s="43">
        <f t="shared" si="106"/>
        <v>10236814.259084687</v>
      </c>
      <c r="X272" s="43">
        <f t="shared" si="107"/>
        <v>836338.45965329558</v>
      </c>
      <c r="Y272" s="27">
        <f t="shared" si="108"/>
        <v>78369.478123999332</v>
      </c>
      <c r="Z272" s="27">
        <f t="shared" si="109"/>
        <v>10158444.780960687</v>
      </c>
      <c r="AA272">
        <f t="shared" si="110"/>
        <v>0</v>
      </c>
      <c r="AB272" s="27">
        <f t="shared" si="111"/>
        <v>10158444.780960687</v>
      </c>
      <c r="AD272" s="27">
        <f t="shared" si="112"/>
        <v>0</v>
      </c>
      <c r="AE272" s="27">
        <f t="shared" si="113"/>
        <v>10158444.780960687</v>
      </c>
      <c r="AF272" s="50"/>
      <c r="AG272" t="str">
        <f t="shared" si="114"/>
        <v>5308700</v>
      </c>
    </row>
    <row r="273" spans="1:33" x14ac:dyDescent="0.25">
      <c r="A273" s="7" t="s">
        <v>602</v>
      </c>
      <c r="B273" s="2" t="s">
        <v>1173</v>
      </c>
      <c r="C273" s="4" t="s">
        <v>1172</v>
      </c>
      <c r="D273">
        <f>_xlfn.IFNA(VLOOKUP(A273,'Prior Year data'!$A$1:$T$318,12,FALSE),0)</f>
        <v>175791.9873349345</v>
      </c>
      <c r="E273">
        <f>VLOOKUP(A273,'Basic HH'!$B$1:$Y$319,23,FALSE)</f>
        <v>67365.446776716301</v>
      </c>
      <c r="F273">
        <f>VLOOKUP(A273,'Conc. HH'!$B$1:$Y$319,23,FALSE)</f>
        <v>17749.684986393455</v>
      </c>
      <c r="G273">
        <f>VLOOKUP(A273,'Targeted HH'!$B$1:$Y$319,23,FALSE)</f>
        <v>44335.308021352357</v>
      </c>
      <c r="H273">
        <f>VLOOKUP(A273,'EFIG HH'!$B$1:$Y$319,23,FALSE)</f>
        <v>60939.680982094593</v>
      </c>
      <c r="I273">
        <f t="shared" si="92"/>
        <v>190390.12076655671</v>
      </c>
      <c r="J273">
        <f t="shared" si="93"/>
        <v>190390.12076655671</v>
      </c>
      <c r="K273" s="43">
        <f t="shared" si="94"/>
        <v>173024.85140012141</v>
      </c>
      <c r="L273">
        <f t="shared" si="95"/>
        <v>2767.1359348130936</v>
      </c>
      <c r="M273">
        <f t="shared" si="96"/>
        <v>0</v>
      </c>
      <c r="N273" s="43">
        <f t="shared" si="97"/>
        <v>175791.9873349345</v>
      </c>
      <c r="O273">
        <f t="shared" si="98"/>
        <v>0</v>
      </c>
      <c r="P273">
        <f t="shared" si="99"/>
        <v>0</v>
      </c>
      <c r="Q273" s="43">
        <f t="shared" si="100"/>
        <v>175791.9873349345</v>
      </c>
      <c r="R273">
        <f t="shared" si="101"/>
        <v>0</v>
      </c>
      <c r="S273">
        <f t="shared" si="102"/>
        <v>0</v>
      </c>
      <c r="T273" s="43">
        <f t="shared" si="103"/>
        <v>175791.9873349345</v>
      </c>
      <c r="U273">
        <f t="shared" si="104"/>
        <v>0</v>
      </c>
      <c r="V273">
        <f t="shared" si="105"/>
        <v>0</v>
      </c>
      <c r="W273" s="43">
        <f t="shared" si="106"/>
        <v>175791.9873349345</v>
      </c>
      <c r="X273" s="43">
        <f t="shared" si="107"/>
        <v>14598.133431622206</v>
      </c>
      <c r="Y273" s="27">
        <f t="shared" si="108"/>
        <v>1345.8021174500968</v>
      </c>
      <c r="Z273" s="27">
        <f t="shared" si="109"/>
        <v>174446.1852174844</v>
      </c>
      <c r="AA273">
        <f t="shared" si="110"/>
        <v>0</v>
      </c>
      <c r="AB273" s="27">
        <f t="shared" si="111"/>
        <v>174446.1852174844</v>
      </c>
      <c r="AD273" s="27">
        <f t="shared" si="112"/>
        <v>0</v>
      </c>
      <c r="AE273" s="27">
        <f t="shared" si="113"/>
        <v>174446.1852174844</v>
      </c>
      <c r="AF273" s="50"/>
      <c r="AG273" t="str">
        <f t="shared" si="114"/>
        <v>5308730</v>
      </c>
    </row>
    <row r="274" spans="1:33" x14ac:dyDescent="0.25">
      <c r="A274" s="7" t="s">
        <v>235</v>
      </c>
      <c r="B274" s="2" t="s">
        <v>1175</v>
      </c>
      <c r="C274" s="4" t="s">
        <v>1174</v>
      </c>
      <c r="D274">
        <f>_xlfn.IFNA(VLOOKUP(A274,'Prior Year data'!$A$1:$T$318,12,FALSE),0)</f>
        <v>318693.68618135189</v>
      </c>
      <c r="E274">
        <f>VLOOKUP(A274,'Basic HH'!$B$1:$Y$319,23,FALSE)</f>
        <v>359575.41398395516</v>
      </c>
      <c r="F274">
        <f>VLOOKUP(A274,'Conc. HH'!$B$1:$Y$319,23,FALSE)</f>
        <v>0</v>
      </c>
      <c r="G274">
        <f>VLOOKUP(A274,'Targeted HH'!$B$1:$Y$319,23,FALSE)</f>
        <v>0</v>
      </c>
      <c r="H274">
        <f>VLOOKUP(A274,'EFIG HH'!$B$1:$Y$319,23,FALSE)</f>
        <v>0</v>
      </c>
      <c r="I274">
        <f t="shared" si="92"/>
        <v>359575.41398395516</v>
      </c>
      <c r="J274">
        <f t="shared" si="93"/>
        <v>359575.41398395516</v>
      </c>
      <c r="K274" s="43">
        <f t="shared" si="94"/>
        <v>326778.9437877154</v>
      </c>
      <c r="L274">
        <f t="shared" si="95"/>
        <v>0</v>
      </c>
      <c r="M274">
        <f t="shared" si="96"/>
        <v>8085.2576063635061</v>
      </c>
      <c r="N274" s="43">
        <f t="shared" si="97"/>
        <v>325722.12897283188</v>
      </c>
      <c r="O274">
        <f t="shared" si="98"/>
        <v>0</v>
      </c>
      <c r="P274">
        <f t="shared" si="99"/>
        <v>7028.442791479989</v>
      </c>
      <c r="Q274" s="43">
        <f t="shared" si="100"/>
        <v>325722.12897283188</v>
      </c>
      <c r="R274">
        <f t="shared" si="101"/>
        <v>0</v>
      </c>
      <c r="S274">
        <f t="shared" si="102"/>
        <v>7028.442791479989</v>
      </c>
      <c r="T274" s="43">
        <f t="shared" si="103"/>
        <v>325722.12897283188</v>
      </c>
      <c r="U274">
        <f t="shared" si="104"/>
        <v>0</v>
      </c>
      <c r="V274">
        <f t="shared" si="105"/>
        <v>7028.442791479989</v>
      </c>
      <c r="W274" s="43">
        <f t="shared" si="106"/>
        <v>325722.12897283188</v>
      </c>
      <c r="X274" s="43">
        <f t="shared" si="107"/>
        <v>33853.285011123284</v>
      </c>
      <c r="Y274" s="27">
        <f t="shared" si="108"/>
        <v>2493.6149679950599</v>
      </c>
      <c r="Z274" s="27">
        <f t="shared" si="109"/>
        <v>323228.51400483685</v>
      </c>
      <c r="AA274">
        <f t="shared" si="110"/>
        <v>0</v>
      </c>
      <c r="AB274" s="27">
        <f t="shared" si="111"/>
        <v>323228.51400483685</v>
      </c>
      <c r="AD274" s="27">
        <f t="shared" si="112"/>
        <v>0</v>
      </c>
      <c r="AE274" s="27">
        <f t="shared" si="113"/>
        <v>323228.51400483685</v>
      </c>
      <c r="AF274" s="50"/>
      <c r="AG274" t="str">
        <f t="shared" si="114"/>
        <v>5308760</v>
      </c>
    </row>
    <row r="275" spans="1:33" x14ac:dyDescent="0.25">
      <c r="A275" s="7" t="s">
        <v>237</v>
      </c>
      <c r="B275" s="2" t="s">
        <v>1177</v>
      </c>
      <c r="C275" s="4" t="s">
        <v>1176</v>
      </c>
      <c r="D275">
        <f>_xlfn.IFNA(VLOOKUP(A275,'Prior Year data'!$A$1:$T$318,12,FALSE),0)</f>
        <v>51893.907624737665</v>
      </c>
      <c r="E275">
        <f>VLOOKUP(A275,'Basic HH'!$B$1:$Y$319,23,FALSE)</f>
        <v>20476.342698414395</v>
      </c>
      <c r="F275">
        <f>VLOOKUP(A275,'Conc. HH'!$B$1:$Y$319,23,FALSE)</f>
        <v>5395.1788336674917</v>
      </c>
      <c r="G275">
        <f>VLOOKUP(A275,'Targeted HH'!$B$1:$Y$319,23,FALSE)</f>
        <v>10478.496772818438</v>
      </c>
      <c r="H275">
        <f>VLOOKUP(A275,'EFIG HH'!$B$1:$Y$319,23,FALSE)</f>
        <v>14402.882916702147</v>
      </c>
      <c r="I275">
        <f t="shared" si="92"/>
        <v>50752.901221602471</v>
      </c>
      <c r="J275">
        <f t="shared" si="93"/>
        <v>0</v>
      </c>
      <c r="K275" s="43">
        <f t="shared" si="94"/>
        <v>50752.901221602471</v>
      </c>
      <c r="L275">
        <f t="shared" si="95"/>
        <v>0</v>
      </c>
      <c r="M275">
        <f t="shared" si="96"/>
        <v>0</v>
      </c>
      <c r="N275" s="43">
        <f t="shared" si="97"/>
        <v>50752.901221602471</v>
      </c>
      <c r="O275">
        <f t="shared" si="98"/>
        <v>0</v>
      </c>
      <c r="P275">
        <f t="shared" si="99"/>
        <v>0</v>
      </c>
      <c r="Q275" s="43">
        <f t="shared" si="100"/>
        <v>50752.901221602471</v>
      </c>
      <c r="R275">
        <f t="shared" si="101"/>
        <v>0</v>
      </c>
      <c r="S275">
        <f t="shared" si="102"/>
        <v>0</v>
      </c>
      <c r="T275" s="43">
        <f t="shared" si="103"/>
        <v>50752.901221602471</v>
      </c>
      <c r="U275">
        <f t="shared" si="104"/>
        <v>0</v>
      </c>
      <c r="V275">
        <f t="shared" si="105"/>
        <v>0</v>
      </c>
      <c r="W275" s="43">
        <f t="shared" si="106"/>
        <v>50752.901221602471</v>
      </c>
      <c r="X275" s="43">
        <f t="shared" si="107"/>
        <v>0</v>
      </c>
      <c r="Y275" s="27">
        <f t="shared" si="108"/>
        <v>388.54650297928873</v>
      </c>
      <c r="Z275" s="27">
        <f t="shared" si="109"/>
        <v>50364.354718623181</v>
      </c>
      <c r="AA275">
        <f t="shared" si="110"/>
        <v>0</v>
      </c>
      <c r="AB275" s="27">
        <f t="shared" si="111"/>
        <v>50364.354718623181</v>
      </c>
      <c r="AD275" s="27">
        <f t="shared" si="112"/>
        <v>0</v>
      </c>
      <c r="AE275" s="27">
        <f t="shared" si="113"/>
        <v>50364.354718623181</v>
      </c>
      <c r="AF275" s="50"/>
      <c r="AG275" t="str">
        <f t="shared" si="114"/>
        <v>5308790</v>
      </c>
    </row>
    <row r="276" spans="1:33" x14ac:dyDescent="0.25">
      <c r="A276" s="7" t="s">
        <v>304</v>
      </c>
      <c r="B276" s="2" t="s">
        <v>1179</v>
      </c>
      <c r="C276" s="4" t="s">
        <v>1178</v>
      </c>
      <c r="D276">
        <f>_xlfn.IFNA(VLOOKUP(A276,'Prior Year data'!$A$1:$T$318,12,FALSE),0)</f>
        <v>328358.76967477892</v>
      </c>
      <c r="E276">
        <f>VLOOKUP(A276,'Basic HH'!$B$1:$Y$319,23,FALSE)</f>
        <v>142603.10093538597</v>
      </c>
      <c r="F276">
        <f>VLOOKUP(A276,'Conc. HH'!$B$1:$Y$319,23,FALSE)</f>
        <v>0</v>
      </c>
      <c r="G276">
        <f>VLOOKUP(A276,'Targeted HH'!$B$1:$Y$319,23,FALSE)</f>
        <v>68216.077637120121</v>
      </c>
      <c r="H276">
        <f>VLOOKUP(A276,'EFIG HH'!$B$1:$Y$319,23,FALSE)</f>
        <v>93764.229788452358</v>
      </c>
      <c r="I276">
        <f t="shared" si="92"/>
        <v>304583.40836095845</v>
      </c>
      <c r="J276">
        <f t="shared" si="93"/>
        <v>0</v>
      </c>
      <c r="K276" s="43">
        <f t="shared" si="94"/>
        <v>304583.40836095845</v>
      </c>
      <c r="L276">
        <f t="shared" si="95"/>
        <v>0</v>
      </c>
      <c r="M276">
        <f t="shared" si="96"/>
        <v>0</v>
      </c>
      <c r="N276" s="43">
        <f t="shared" si="97"/>
        <v>304583.40836095845</v>
      </c>
      <c r="O276">
        <f t="shared" si="98"/>
        <v>0</v>
      </c>
      <c r="P276">
        <f t="shared" si="99"/>
        <v>0</v>
      </c>
      <c r="Q276" s="43">
        <f t="shared" si="100"/>
        <v>304583.40836095845</v>
      </c>
      <c r="R276">
        <f t="shared" si="101"/>
        <v>0</v>
      </c>
      <c r="S276">
        <f t="shared" si="102"/>
        <v>0</v>
      </c>
      <c r="T276" s="43">
        <f t="shared" si="103"/>
        <v>304583.40836095845</v>
      </c>
      <c r="U276">
        <f t="shared" si="104"/>
        <v>0</v>
      </c>
      <c r="V276">
        <f t="shared" si="105"/>
        <v>0</v>
      </c>
      <c r="W276" s="43">
        <f t="shared" si="106"/>
        <v>304583.40836095845</v>
      </c>
      <c r="X276" s="43">
        <f t="shared" si="107"/>
        <v>0</v>
      </c>
      <c r="Y276" s="27">
        <f t="shared" si="108"/>
        <v>2331.784298742527</v>
      </c>
      <c r="Z276" s="27">
        <f t="shared" si="109"/>
        <v>302251.62406221591</v>
      </c>
      <c r="AA276">
        <f t="shared" si="110"/>
        <v>0</v>
      </c>
      <c r="AB276" s="27">
        <f t="shared" si="111"/>
        <v>302251.62406221591</v>
      </c>
      <c r="AD276" s="27">
        <f t="shared" si="112"/>
        <v>0</v>
      </c>
      <c r="AE276" s="27">
        <f t="shared" si="113"/>
        <v>302251.62406221591</v>
      </c>
      <c r="AF276" s="50"/>
      <c r="AG276" t="str">
        <f t="shared" si="114"/>
        <v>5308820</v>
      </c>
    </row>
    <row r="277" spans="1:33" x14ac:dyDescent="0.25">
      <c r="A277" s="7" t="s">
        <v>239</v>
      </c>
      <c r="B277" s="2" t="s">
        <v>1181</v>
      </c>
      <c r="C277" s="4" t="s">
        <v>1180</v>
      </c>
      <c r="D277">
        <f>_xlfn.IFNA(VLOOKUP(A277,'Prior Year data'!$A$1:$T$318,12,FALSE),0)</f>
        <v>51298.608255417392</v>
      </c>
      <c r="E277">
        <f>VLOOKUP(A277,'Basic HH'!$B$1:$Y$319,23,FALSE)</f>
        <v>27793.268713735662</v>
      </c>
      <c r="F277">
        <f>VLOOKUP(A277,'Conc. HH'!$B$1:$Y$319,23,FALSE)</f>
        <v>7479.5370245030972</v>
      </c>
      <c r="G277">
        <f>VLOOKUP(A277,'Targeted HH'!$B$1:$Y$319,23,FALSE)</f>
        <v>13410.865349806405</v>
      </c>
      <c r="H277">
        <f>VLOOKUP(A277,'EFIG HH'!$B$1:$Y$319,23,FALSE)</f>
        <v>18245.977123038043</v>
      </c>
      <c r="I277">
        <f t="shared" si="92"/>
        <v>66929.648211083215</v>
      </c>
      <c r="J277">
        <f t="shared" si="93"/>
        <v>66929.648211083215</v>
      </c>
      <c r="K277" s="43">
        <f t="shared" si="94"/>
        <v>60825.07006854772</v>
      </c>
      <c r="L277">
        <f t="shared" si="95"/>
        <v>0</v>
      </c>
      <c r="M277">
        <f t="shared" si="96"/>
        <v>9526.4618131303287</v>
      </c>
      <c r="N277" s="43">
        <f t="shared" si="97"/>
        <v>59579.877092925715</v>
      </c>
      <c r="O277">
        <f t="shared" si="98"/>
        <v>0</v>
      </c>
      <c r="P277">
        <f t="shared" si="99"/>
        <v>8281.2688375083235</v>
      </c>
      <c r="Q277" s="43">
        <f t="shared" si="100"/>
        <v>59579.877092925715</v>
      </c>
      <c r="R277">
        <f t="shared" si="101"/>
        <v>0</v>
      </c>
      <c r="S277">
        <f t="shared" si="102"/>
        <v>8281.2688375083235</v>
      </c>
      <c r="T277" s="43">
        <f t="shared" si="103"/>
        <v>59579.877092925715</v>
      </c>
      <c r="U277">
        <f t="shared" si="104"/>
        <v>0</v>
      </c>
      <c r="V277">
        <f t="shared" si="105"/>
        <v>8281.2688375083235</v>
      </c>
      <c r="W277" s="43">
        <f t="shared" si="106"/>
        <v>59579.877092925715</v>
      </c>
      <c r="X277" s="43">
        <f t="shared" si="107"/>
        <v>7349.7711181574996</v>
      </c>
      <c r="Y277" s="27">
        <f t="shared" si="108"/>
        <v>456.12275032936913</v>
      </c>
      <c r="Z277" s="27">
        <f t="shared" si="109"/>
        <v>59123.754342596345</v>
      </c>
      <c r="AA277">
        <f t="shared" si="110"/>
        <v>0</v>
      </c>
      <c r="AB277" s="27">
        <f t="shared" si="111"/>
        <v>59123.754342596345</v>
      </c>
      <c r="AD277" s="27">
        <f t="shared" si="112"/>
        <v>0</v>
      </c>
      <c r="AE277" s="27">
        <f t="shared" si="113"/>
        <v>59123.754342596345</v>
      </c>
      <c r="AF277" s="50"/>
      <c r="AG277" t="str">
        <f t="shared" si="114"/>
        <v>5308850</v>
      </c>
    </row>
    <row r="278" spans="1:33" x14ac:dyDescent="0.25">
      <c r="A278" s="7" t="s">
        <v>241</v>
      </c>
      <c r="B278" s="2" t="s">
        <v>1183</v>
      </c>
      <c r="C278" s="4" t="s">
        <v>1182</v>
      </c>
      <c r="D278">
        <f>_xlfn.IFNA(VLOOKUP(A278,'Prior Year data'!$A$1:$T$318,12,FALSE),0)</f>
        <v>160418.42746419142</v>
      </c>
      <c r="E278">
        <f>VLOOKUP(A278,'Basic HH'!$B$1:$Y$319,23,FALSE)</f>
        <v>64354.21990930241</v>
      </c>
      <c r="F278">
        <f>VLOOKUP(A278,'Conc. HH'!$B$1:$Y$319,23,FALSE)</f>
        <v>0</v>
      </c>
      <c r="G278">
        <f>VLOOKUP(A278,'Targeted HH'!$B$1:$Y$319,23,FALSE)</f>
        <v>30784.691446495235</v>
      </c>
      <c r="H278">
        <f>VLOOKUP(A278,'EFIG HH'!$B$1:$Y$319,23,FALSE)</f>
        <v>42314.113955814399</v>
      </c>
      <c r="I278">
        <f t="shared" si="92"/>
        <v>137453.02531161203</v>
      </c>
      <c r="J278">
        <f t="shared" si="93"/>
        <v>0</v>
      </c>
      <c r="K278" s="43">
        <f t="shared" si="94"/>
        <v>137453.02531161203</v>
      </c>
      <c r="L278">
        <f t="shared" si="95"/>
        <v>0</v>
      </c>
      <c r="M278">
        <f t="shared" si="96"/>
        <v>0</v>
      </c>
      <c r="N278" s="43">
        <f t="shared" si="97"/>
        <v>137453.02531161203</v>
      </c>
      <c r="O278">
        <f t="shared" si="98"/>
        <v>0</v>
      </c>
      <c r="P278">
        <f t="shared" si="99"/>
        <v>0</v>
      </c>
      <c r="Q278" s="43">
        <f t="shared" si="100"/>
        <v>137453.02531161203</v>
      </c>
      <c r="R278">
        <f t="shared" si="101"/>
        <v>0</v>
      </c>
      <c r="S278">
        <f t="shared" si="102"/>
        <v>0</v>
      </c>
      <c r="T278" s="43">
        <f t="shared" si="103"/>
        <v>137453.02531161203</v>
      </c>
      <c r="U278">
        <f t="shared" si="104"/>
        <v>0</v>
      </c>
      <c r="V278">
        <f t="shared" si="105"/>
        <v>0</v>
      </c>
      <c r="W278" s="43">
        <f t="shared" si="106"/>
        <v>137453.02531161203</v>
      </c>
      <c r="X278" s="43">
        <f t="shared" si="107"/>
        <v>0</v>
      </c>
      <c r="Y278" s="27">
        <f t="shared" si="108"/>
        <v>1052.2924014838072</v>
      </c>
      <c r="Z278" s="27">
        <f t="shared" si="109"/>
        <v>136400.73291012822</v>
      </c>
      <c r="AA278">
        <f t="shared" si="110"/>
        <v>0</v>
      </c>
      <c r="AB278" s="27">
        <f t="shared" si="111"/>
        <v>136400.73291012822</v>
      </c>
      <c r="AD278" s="27">
        <f t="shared" si="112"/>
        <v>0</v>
      </c>
      <c r="AE278" s="27">
        <f t="shared" si="113"/>
        <v>136400.73291012822</v>
      </c>
      <c r="AF278" s="50"/>
      <c r="AG278" t="str">
        <f t="shared" si="114"/>
        <v>5308910</v>
      </c>
    </row>
    <row r="279" spans="1:33" x14ac:dyDescent="0.25">
      <c r="A279" s="7" t="s">
        <v>604</v>
      </c>
      <c r="B279" s="2" t="s">
        <v>1185</v>
      </c>
      <c r="C279" s="8" t="s">
        <v>1184</v>
      </c>
      <c r="D279">
        <f>_xlfn.IFNA(VLOOKUP(A279,'Prior Year data'!$A$1:$T$318,12,FALSE),0)</f>
        <v>761076.88853491261</v>
      </c>
      <c r="E279">
        <f>VLOOKUP(A279,'Basic HH'!$B$1:$Y$319,23,FALSE)</f>
        <v>234505.70477214459</v>
      </c>
      <c r="F279">
        <f>VLOOKUP(A279,'Conc. HH'!$B$1:$Y$319,23,FALSE)</f>
        <v>63108.593644244866</v>
      </c>
      <c r="G279">
        <f>VLOOKUP(A279,'Targeted HH'!$B$1:$Y$319,23,FALSE)</f>
        <v>171591.55535728298</v>
      </c>
      <c r="H279">
        <f>VLOOKUP(A279,'EFIG HH'!$B$1:$Y$319,23,FALSE)</f>
        <v>232394.48307314407</v>
      </c>
      <c r="I279">
        <f t="shared" si="92"/>
        <v>701600.33684681647</v>
      </c>
      <c r="J279">
        <f t="shared" si="93"/>
        <v>0</v>
      </c>
      <c r="K279" s="43">
        <f t="shared" si="94"/>
        <v>701600.33684681647</v>
      </c>
      <c r="L279">
        <f t="shared" si="95"/>
        <v>0</v>
      </c>
      <c r="M279">
        <f t="shared" si="96"/>
        <v>0</v>
      </c>
      <c r="N279" s="43">
        <f t="shared" si="97"/>
        <v>701600.33684681647</v>
      </c>
      <c r="O279">
        <f t="shared" si="98"/>
        <v>0</v>
      </c>
      <c r="P279">
        <f t="shared" si="99"/>
        <v>0</v>
      </c>
      <c r="Q279" s="43">
        <f t="shared" si="100"/>
        <v>701600.33684681647</v>
      </c>
      <c r="R279">
        <f t="shared" si="101"/>
        <v>0</v>
      </c>
      <c r="S279">
        <f t="shared" si="102"/>
        <v>0</v>
      </c>
      <c r="T279" s="43">
        <f t="shared" si="103"/>
        <v>701600.33684681647</v>
      </c>
      <c r="U279">
        <f t="shared" si="104"/>
        <v>0</v>
      </c>
      <c r="V279">
        <f t="shared" si="105"/>
        <v>0</v>
      </c>
      <c r="W279" s="43">
        <f t="shared" si="106"/>
        <v>701600.33684681647</v>
      </c>
      <c r="X279" s="43">
        <f t="shared" si="107"/>
        <v>0</v>
      </c>
      <c r="Y279" s="27">
        <f t="shared" si="108"/>
        <v>5371.2073755281253</v>
      </c>
      <c r="Z279" s="27">
        <f t="shared" si="109"/>
        <v>696229.1294712883</v>
      </c>
      <c r="AA279">
        <f t="shared" si="110"/>
        <v>0</v>
      </c>
      <c r="AB279" s="27">
        <f t="shared" si="111"/>
        <v>696229.1294712883</v>
      </c>
      <c r="AD279" s="27">
        <f t="shared" si="112"/>
        <v>0</v>
      </c>
      <c r="AE279" s="27">
        <f t="shared" si="113"/>
        <v>696229.1294712883</v>
      </c>
      <c r="AF279" s="50"/>
      <c r="AG279" t="str">
        <f t="shared" si="114"/>
        <v>5308940</v>
      </c>
    </row>
    <row r="280" spans="1:33" x14ac:dyDescent="0.25">
      <c r="A280" s="7" t="s">
        <v>606</v>
      </c>
      <c r="B280" s="2" t="s">
        <v>1187</v>
      </c>
      <c r="C280" s="4" t="s">
        <v>1186</v>
      </c>
      <c r="D280">
        <f>_xlfn.IFNA(VLOOKUP(A280,'Prior Year data'!$A$1:$T$318,12,FALSE),0)</f>
        <v>1610111.4013662986</v>
      </c>
      <c r="E280">
        <f>VLOOKUP(A280,'Basic HH'!$B$1:$Y$319,23,FALSE)</f>
        <v>583658.64298844885</v>
      </c>
      <c r="F280">
        <f>VLOOKUP(A280,'Conc. HH'!$B$1:$Y$319,23,FALSE)</f>
        <v>157070.27751456504</v>
      </c>
      <c r="G280">
        <f>VLOOKUP(A280,'Targeted HH'!$B$1:$Y$319,23,FALSE)</f>
        <v>322823.3332558361</v>
      </c>
      <c r="H280">
        <f>VLOOKUP(A280,'EFIG HH'!$B$1:$Y$319,23,FALSE)</f>
        <v>439213.05596091895</v>
      </c>
      <c r="I280">
        <f t="shared" si="92"/>
        <v>1502765.3097197691</v>
      </c>
      <c r="J280">
        <f t="shared" si="93"/>
        <v>0</v>
      </c>
      <c r="K280" s="43">
        <f t="shared" si="94"/>
        <v>1502765.3097197691</v>
      </c>
      <c r="L280">
        <f t="shared" si="95"/>
        <v>0</v>
      </c>
      <c r="M280">
        <f t="shared" si="96"/>
        <v>0</v>
      </c>
      <c r="N280" s="43">
        <f t="shared" si="97"/>
        <v>1502765.3097197691</v>
      </c>
      <c r="O280">
        <f t="shared" si="98"/>
        <v>0</v>
      </c>
      <c r="P280">
        <f t="shared" si="99"/>
        <v>0</v>
      </c>
      <c r="Q280" s="43">
        <f t="shared" si="100"/>
        <v>1502765.3097197691</v>
      </c>
      <c r="R280">
        <f t="shared" si="101"/>
        <v>0</v>
      </c>
      <c r="S280">
        <f t="shared" si="102"/>
        <v>0</v>
      </c>
      <c r="T280" s="43">
        <f t="shared" si="103"/>
        <v>1502765.3097197691</v>
      </c>
      <c r="U280">
        <f t="shared" si="104"/>
        <v>0</v>
      </c>
      <c r="V280">
        <f t="shared" si="105"/>
        <v>0</v>
      </c>
      <c r="W280" s="43">
        <f t="shared" si="106"/>
        <v>1502765.3097197691</v>
      </c>
      <c r="X280" s="43">
        <f t="shared" si="107"/>
        <v>0</v>
      </c>
      <c r="Y280" s="27">
        <f t="shared" si="108"/>
        <v>11504.646864240249</v>
      </c>
      <c r="Z280" s="27">
        <f t="shared" si="109"/>
        <v>1491260.6628555288</v>
      </c>
      <c r="AA280">
        <f t="shared" si="110"/>
        <v>0</v>
      </c>
      <c r="AB280" s="27">
        <f t="shared" si="111"/>
        <v>1491260.6628555288</v>
      </c>
      <c r="AD280" s="27">
        <f t="shared" si="112"/>
        <v>0</v>
      </c>
      <c r="AE280" s="27">
        <f t="shared" si="113"/>
        <v>1491260.6628555288</v>
      </c>
      <c r="AF280" s="50"/>
      <c r="AG280" t="str">
        <f t="shared" si="114"/>
        <v>5308970</v>
      </c>
    </row>
    <row r="281" spans="1:33" x14ac:dyDescent="0.25">
      <c r="A281" s="7" t="s">
        <v>243</v>
      </c>
      <c r="B281" s="2" t="s">
        <v>1189</v>
      </c>
      <c r="C281" s="4" t="s">
        <v>1188</v>
      </c>
      <c r="D281">
        <f>_xlfn.IFNA(VLOOKUP(A281,'Prior Year data'!$A$1:$T$318,12,FALSE),0)</f>
        <v>41863.459968998788</v>
      </c>
      <c r="E281">
        <f>VLOOKUP(A281,'Basic HH'!$B$1:$Y$319,23,FALSE)</f>
        <v>20844.951535301749</v>
      </c>
      <c r="F281">
        <f>VLOOKUP(A281,'Conc. HH'!$B$1:$Y$319,23,FALSE)</f>
        <v>0</v>
      </c>
      <c r="G281">
        <f>VLOOKUP(A281,'Targeted HH'!$B$1:$Y$319,23,FALSE)</f>
        <v>10058.149012354806</v>
      </c>
      <c r="H281">
        <f>VLOOKUP(A281,'EFIG HH'!$B$1:$Y$319,23,FALSE)</f>
        <v>13684.48284227853</v>
      </c>
      <c r="I281">
        <f t="shared" si="92"/>
        <v>44587.583389935084</v>
      </c>
      <c r="J281">
        <f t="shared" si="93"/>
        <v>44587.583389935084</v>
      </c>
      <c r="K281" s="43">
        <f t="shared" si="94"/>
        <v>40520.79992004075</v>
      </c>
      <c r="L281">
        <f t="shared" si="95"/>
        <v>1342.6600489580378</v>
      </c>
      <c r="M281">
        <f t="shared" si="96"/>
        <v>0</v>
      </c>
      <c r="N281" s="43">
        <f t="shared" si="97"/>
        <v>41863.459968998788</v>
      </c>
      <c r="O281">
        <f t="shared" si="98"/>
        <v>0</v>
      </c>
      <c r="P281">
        <f t="shared" si="99"/>
        <v>0</v>
      </c>
      <c r="Q281" s="43">
        <f t="shared" si="100"/>
        <v>41863.459968998788</v>
      </c>
      <c r="R281">
        <f t="shared" si="101"/>
        <v>0</v>
      </c>
      <c r="S281">
        <f t="shared" si="102"/>
        <v>0</v>
      </c>
      <c r="T281" s="43">
        <f t="shared" si="103"/>
        <v>41863.459968998788</v>
      </c>
      <c r="U281">
        <f t="shared" si="104"/>
        <v>0</v>
      </c>
      <c r="V281">
        <f t="shared" si="105"/>
        <v>0</v>
      </c>
      <c r="W281" s="43">
        <f t="shared" si="106"/>
        <v>41863.459968998788</v>
      </c>
      <c r="X281" s="43">
        <f t="shared" si="107"/>
        <v>2724.1234209362956</v>
      </c>
      <c r="Y281" s="27">
        <f t="shared" si="108"/>
        <v>320.49204246563352</v>
      </c>
      <c r="Z281" s="27">
        <f t="shared" si="109"/>
        <v>41542.967926533158</v>
      </c>
      <c r="AA281">
        <f t="shared" si="110"/>
        <v>0</v>
      </c>
      <c r="AB281" s="27">
        <f t="shared" si="111"/>
        <v>41542.967926533158</v>
      </c>
      <c r="AD281" s="27">
        <f t="shared" si="112"/>
        <v>0</v>
      </c>
      <c r="AE281" s="27">
        <f t="shared" si="113"/>
        <v>41542.967926533158</v>
      </c>
      <c r="AF281" s="50"/>
      <c r="AG281" t="str">
        <f t="shared" si="114"/>
        <v>5309000</v>
      </c>
    </row>
    <row r="282" spans="1:33" x14ac:dyDescent="0.25">
      <c r="A282" s="7" t="s">
        <v>245</v>
      </c>
      <c r="B282" s="2" t="s">
        <v>1191</v>
      </c>
      <c r="C282" s="4" t="s">
        <v>1190</v>
      </c>
      <c r="D282">
        <f>_xlfn.IFNA(VLOOKUP(A282,'Prior Year data'!$A$1:$T$318,12,FALSE),0)</f>
        <v>132870.75796142218</v>
      </c>
      <c r="E282">
        <f>VLOOKUP(A282,'Basic HH'!$B$1:$Y$319,23,FALSE)</f>
        <v>61666.314958601004</v>
      </c>
      <c r="F282">
        <f>VLOOKUP(A282,'Conc. HH'!$B$1:$Y$319,23,FALSE)</f>
        <v>0</v>
      </c>
      <c r="G282">
        <f>VLOOKUP(A282,'Targeted HH'!$B$1:$Y$319,23,FALSE)</f>
        <v>29755.357494882959</v>
      </c>
      <c r="H282">
        <f>VLOOKUP(A282,'EFIG HH'!$B$1:$Y$319,23,FALSE)</f>
        <v>40483.261741740644</v>
      </c>
      <c r="I282">
        <f t="shared" si="92"/>
        <v>131904.9341952246</v>
      </c>
      <c r="J282">
        <f t="shared" si="93"/>
        <v>0</v>
      </c>
      <c r="K282" s="43">
        <f t="shared" si="94"/>
        <v>131904.9341952246</v>
      </c>
      <c r="L282">
        <f t="shared" si="95"/>
        <v>0</v>
      </c>
      <c r="M282">
        <f t="shared" si="96"/>
        <v>0</v>
      </c>
      <c r="N282" s="43">
        <f t="shared" si="97"/>
        <v>131904.9341952246</v>
      </c>
      <c r="O282">
        <f t="shared" si="98"/>
        <v>0</v>
      </c>
      <c r="P282">
        <f t="shared" si="99"/>
        <v>0</v>
      </c>
      <c r="Q282" s="43">
        <f t="shared" si="100"/>
        <v>131904.9341952246</v>
      </c>
      <c r="R282">
        <f t="shared" si="101"/>
        <v>0</v>
      </c>
      <c r="S282">
        <f t="shared" si="102"/>
        <v>0</v>
      </c>
      <c r="T282" s="43">
        <f t="shared" si="103"/>
        <v>131904.9341952246</v>
      </c>
      <c r="U282">
        <f t="shared" si="104"/>
        <v>0</v>
      </c>
      <c r="V282">
        <f t="shared" si="105"/>
        <v>0</v>
      </c>
      <c r="W282" s="43">
        <f t="shared" si="106"/>
        <v>131904.9341952246</v>
      </c>
      <c r="X282" s="43">
        <f t="shared" si="107"/>
        <v>0</v>
      </c>
      <c r="Y282" s="27">
        <f t="shared" si="108"/>
        <v>1009.8181517444594</v>
      </c>
      <c r="Z282" s="27">
        <f t="shared" si="109"/>
        <v>130895.11604348014</v>
      </c>
      <c r="AA282">
        <f t="shared" si="110"/>
        <v>0</v>
      </c>
      <c r="AB282" s="27">
        <f t="shared" si="111"/>
        <v>130895.11604348014</v>
      </c>
      <c r="AD282" s="27">
        <f t="shared" si="112"/>
        <v>0</v>
      </c>
      <c r="AE282" s="27">
        <f t="shared" si="113"/>
        <v>130895.11604348014</v>
      </c>
      <c r="AF282" s="50"/>
      <c r="AG282" t="str">
        <f t="shared" si="114"/>
        <v>5309030</v>
      </c>
    </row>
    <row r="283" spans="1:33" x14ac:dyDescent="0.25">
      <c r="A283" s="7" t="s">
        <v>608</v>
      </c>
      <c r="B283" s="2" t="s">
        <v>1193</v>
      </c>
      <c r="C283" s="4" t="s">
        <v>1192</v>
      </c>
      <c r="D283">
        <f>_xlfn.IFNA(VLOOKUP(A283,'Prior Year data'!$A$1:$T$318,12,FALSE),0)</f>
        <v>94404.206649515108</v>
      </c>
      <c r="E283">
        <f>VLOOKUP(A283,'Basic HH'!$B$1:$Y$319,23,FALSE)</f>
        <v>35610.125539473825</v>
      </c>
      <c r="F283">
        <f>VLOOKUP(A283,'Conc. HH'!$B$1:$Y$319,23,FALSE)</f>
        <v>9583.1568126445927</v>
      </c>
      <c r="G283">
        <f>VLOOKUP(A283,'Targeted HH'!$B$1:$Y$319,23,FALSE)</f>
        <v>20177.61082473076</v>
      </c>
      <c r="H283">
        <f>VLOOKUP(A283,'EFIG HH'!$B$1:$Y$319,23,FALSE)</f>
        <v>27590.817070741967</v>
      </c>
      <c r="I283">
        <f t="shared" si="92"/>
        <v>92961.710247591138</v>
      </c>
      <c r="J283">
        <f t="shared" si="93"/>
        <v>0</v>
      </c>
      <c r="K283" s="43">
        <f t="shared" si="94"/>
        <v>92961.710247591138</v>
      </c>
      <c r="L283">
        <f t="shared" si="95"/>
        <v>0</v>
      </c>
      <c r="M283">
        <f t="shared" si="96"/>
        <v>0</v>
      </c>
      <c r="N283" s="43">
        <f t="shared" si="97"/>
        <v>92961.710247591138</v>
      </c>
      <c r="O283">
        <f t="shared" si="98"/>
        <v>0</v>
      </c>
      <c r="P283">
        <f t="shared" si="99"/>
        <v>0</v>
      </c>
      <c r="Q283" s="43">
        <f t="shared" si="100"/>
        <v>92961.710247591138</v>
      </c>
      <c r="R283">
        <f t="shared" si="101"/>
        <v>0</v>
      </c>
      <c r="S283">
        <f t="shared" si="102"/>
        <v>0</v>
      </c>
      <c r="T283" s="43">
        <f t="shared" si="103"/>
        <v>92961.710247591138</v>
      </c>
      <c r="U283">
        <f t="shared" si="104"/>
        <v>0</v>
      </c>
      <c r="V283">
        <f t="shared" si="105"/>
        <v>0</v>
      </c>
      <c r="W283" s="43">
        <f t="shared" si="106"/>
        <v>92961.710247591138</v>
      </c>
      <c r="X283" s="43">
        <f t="shared" si="107"/>
        <v>0</v>
      </c>
      <c r="Y283" s="27">
        <f t="shared" si="108"/>
        <v>711.68241732556066</v>
      </c>
      <c r="Z283" s="27">
        <f t="shared" si="109"/>
        <v>92250.027830265579</v>
      </c>
      <c r="AA283">
        <f t="shared" si="110"/>
        <v>0</v>
      </c>
      <c r="AB283" s="27">
        <f t="shared" si="111"/>
        <v>92250.027830265579</v>
      </c>
      <c r="AD283" s="27">
        <f t="shared" si="112"/>
        <v>0</v>
      </c>
      <c r="AE283" s="27">
        <f t="shared" si="113"/>
        <v>92250.027830265579</v>
      </c>
      <c r="AF283" s="50"/>
      <c r="AG283" t="str">
        <f t="shared" si="114"/>
        <v>5309060</v>
      </c>
    </row>
    <row r="284" spans="1:33" x14ac:dyDescent="0.25">
      <c r="A284" s="7" t="s">
        <v>60</v>
      </c>
      <c r="B284" s="2" t="s">
        <v>1194</v>
      </c>
      <c r="C284" s="4" t="s">
        <v>43</v>
      </c>
      <c r="D284">
        <f>_xlfn.IFNA(VLOOKUP(A284,'Prior Year data'!$A$1:$T$318,12,FALSE),0)</f>
        <v>1069809.0099602554</v>
      </c>
      <c r="E284">
        <f>VLOOKUP(A284,'Basic HH'!$B$1:$Y$319,23,FALSE)</f>
        <v>437646.34934246942</v>
      </c>
      <c r="F284">
        <f>VLOOKUP(A284,'Conc. HH'!$B$1:$Y$319,23,FALSE)</f>
        <v>117776.43382866585</v>
      </c>
      <c r="G284">
        <f>VLOOKUP(A284,'Targeted HH'!$B$1:$Y$319,23,FALSE)</f>
        <v>255572.73567510722</v>
      </c>
      <c r="H284">
        <f>VLOOKUP(A284,'EFIG HH'!$B$1:$Y$319,23,FALSE)</f>
        <v>347716.13663748931</v>
      </c>
      <c r="I284">
        <f t="shared" si="92"/>
        <v>1158711.6554837318</v>
      </c>
      <c r="J284">
        <f t="shared" si="93"/>
        <v>1158711.6554837318</v>
      </c>
      <c r="K284" s="43">
        <f t="shared" si="94"/>
        <v>1053026.8650414031</v>
      </c>
      <c r="L284">
        <f t="shared" si="95"/>
        <v>16782.144918852253</v>
      </c>
      <c r="M284">
        <f t="shared" si="96"/>
        <v>0</v>
      </c>
      <c r="N284" s="43">
        <f t="shared" si="97"/>
        <v>1069809.0099602554</v>
      </c>
      <c r="O284">
        <f t="shared" si="98"/>
        <v>0</v>
      </c>
      <c r="P284">
        <f t="shared" si="99"/>
        <v>0</v>
      </c>
      <c r="Q284" s="43">
        <f t="shared" si="100"/>
        <v>1069809.0099602554</v>
      </c>
      <c r="R284">
        <f t="shared" si="101"/>
        <v>0</v>
      </c>
      <c r="S284">
        <f t="shared" si="102"/>
        <v>0</v>
      </c>
      <c r="T284" s="43">
        <f t="shared" si="103"/>
        <v>1069809.0099602554</v>
      </c>
      <c r="U284">
        <f t="shared" si="104"/>
        <v>0</v>
      </c>
      <c r="V284">
        <f t="shared" si="105"/>
        <v>0</v>
      </c>
      <c r="W284" s="43">
        <f t="shared" si="106"/>
        <v>1069809.0099602554</v>
      </c>
      <c r="X284" s="43">
        <f t="shared" si="107"/>
        <v>88902.645523476414</v>
      </c>
      <c r="Y284" s="27">
        <f t="shared" si="108"/>
        <v>8190.0845009992508</v>
      </c>
      <c r="Z284" s="27">
        <f t="shared" si="109"/>
        <v>1061618.9254592562</v>
      </c>
      <c r="AA284">
        <f t="shared" si="110"/>
        <v>0</v>
      </c>
      <c r="AB284" s="27">
        <f t="shared" si="111"/>
        <v>1061618.9254592562</v>
      </c>
      <c r="AD284" s="27">
        <f t="shared" si="112"/>
        <v>0</v>
      </c>
      <c r="AE284" s="27">
        <f t="shared" si="113"/>
        <v>1061618.9254592562</v>
      </c>
      <c r="AF284" s="50"/>
      <c r="AG284" t="str">
        <f t="shared" si="114"/>
        <v>5308130</v>
      </c>
    </row>
    <row r="285" spans="1:33" x14ac:dyDescent="0.25">
      <c r="A285" s="7" t="s">
        <v>247</v>
      </c>
      <c r="B285" s="2" t="s">
        <v>1196</v>
      </c>
      <c r="C285" s="4" t="s">
        <v>1195</v>
      </c>
      <c r="D285">
        <f>_xlfn.IFNA(VLOOKUP(A285,'Prior Year data'!$A$1:$T$318,12,FALSE),0)</f>
        <v>1146358.0521847396</v>
      </c>
      <c r="E285">
        <f>VLOOKUP(A285,'Basic HH'!$B$1:$Y$319,23,FALSE)</f>
        <v>550654.1363908879</v>
      </c>
      <c r="F285">
        <f>VLOOKUP(A285,'Conc. HH'!$B$1:$Y$319,23,FALSE)</f>
        <v>0</v>
      </c>
      <c r="G285">
        <f>VLOOKUP(A285,'Targeted HH'!$B$1:$Y$319,23,FALSE)</f>
        <v>265702.76974303927</v>
      </c>
      <c r="H285">
        <f>VLOOKUP(A285,'EFIG HH'!$B$1:$Y$319,23,FALSE)</f>
        <v>361498.42175019108</v>
      </c>
      <c r="I285">
        <f t="shared" si="92"/>
        <v>1177855.3278841183</v>
      </c>
      <c r="J285">
        <f t="shared" si="93"/>
        <v>1177855.3278841183</v>
      </c>
      <c r="K285" s="43">
        <f t="shared" si="94"/>
        <v>1070424.4645544095</v>
      </c>
      <c r="L285">
        <f t="shared" si="95"/>
        <v>75933.587630330119</v>
      </c>
      <c r="M285">
        <f t="shared" si="96"/>
        <v>0</v>
      </c>
      <c r="N285" s="43">
        <f t="shared" si="97"/>
        <v>1146358.0521847396</v>
      </c>
      <c r="O285">
        <f t="shared" si="98"/>
        <v>0</v>
      </c>
      <c r="P285">
        <f t="shared" si="99"/>
        <v>0</v>
      </c>
      <c r="Q285" s="43">
        <f t="shared" si="100"/>
        <v>1146358.0521847396</v>
      </c>
      <c r="R285">
        <f t="shared" si="101"/>
        <v>0</v>
      </c>
      <c r="S285">
        <f t="shared" si="102"/>
        <v>0</v>
      </c>
      <c r="T285" s="43">
        <f t="shared" si="103"/>
        <v>1146358.0521847396</v>
      </c>
      <c r="U285">
        <f t="shared" si="104"/>
        <v>0</v>
      </c>
      <c r="V285">
        <f t="shared" si="105"/>
        <v>0</v>
      </c>
      <c r="W285" s="43">
        <f t="shared" si="106"/>
        <v>1146358.0521847396</v>
      </c>
      <c r="X285" s="43">
        <f t="shared" si="107"/>
        <v>31497.27569937869</v>
      </c>
      <c r="Y285" s="27">
        <f t="shared" si="108"/>
        <v>8776.1172586709945</v>
      </c>
      <c r="Z285" s="27">
        <f t="shared" si="109"/>
        <v>1137581.9349260686</v>
      </c>
      <c r="AA285">
        <f t="shared" si="110"/>
        <v>0</v>
      </c>
      <c r="AB285" s="27">
        <f t="shared" si="111"/>
        <v>1137581.9349260686</v>
      </c>
      <c r="AD285" s="27">
        <f t="shared" si="112"/>
        <v>0</v>
      </c>
      <c r="AE285" s="27">
        <f t="shared" si="113"/>
        <v>1137581.9349260686</v>
      </c>
      <c r="AF285" s="50"/>
      <c r="AG285" t="str">
        <f t="shared" si="114"/>
        <v>5309100</v>
      </c>
    </row>
    <row r="286" spans="1:33" x14ac:dyDescent="0.25">
      <c r="A286" s="7" t="s">
        <v>610</v>
      </c>
      <c r="B286" s="2" t="s">
        <v>1198</v>
      </c>
      <c r="C286" s="4" t="s">
        <v>1197</v>
      </c>
      <c r="D286">
        <f>_xlfn.IFNA(VLOOKUP(A286,'Prior Year data'!$A$1:$T$318,12,FALSE),0)</f>
        <v>407705.32102218829</v>
      </c>
      <c r="E286">
        <f>VLOOKUP(A286,'Basic HH'!$B$1:$Y$319,23,FALSE)</f>
        <v>218871.99112066839</v>
      </c>
      <c r="F286">
        <f>VLOOKUP(A286,'Conc. HH'!$B$1:$Y$319,23,FALSE)</f>
        <v>58901.354067961896</v>
      </c>
      <c r="G286">
        <f>VLOOKUP(A286,'Targeted HH'!$B$1:$Y$319,23,FALSE)</f>
        <v>170490.34051676351</v>
      </c>
      <c r="H286">
        <f>VLOOKUP(A286,'EFIG HH'!$B$1:$Y$319,23,FALSE)</f>
        <v>231958.39877795347</v>
      </c>
      <c r="I286">
        <f t="shared" si="92"/>
        <v>680222.08448334725</v>
      </c>
      <c r="J286">
        <f t="shared" si="93"/>
        <v>680222.08448334725</v>
      </c>
      <c r="K286" s="43">
        <f t="shared" si="94"/>
        <v>618179.79112015956</v>
      </c>
      <c r="L286">
        <f t="shared" si="95"/>
        <v>0</v>
      </c>
      <c r="M286">
        <f t="shared" si="96"/>
        <v>210474.47009797127</v>
      </c>
      <c r="N286" s="43">
        <f t="shared" si="97"/>
        <v>590668.9128051349</v>
      </c>
      <c r="O286">
        <f t="shared" si="98"/>
        <v>0</v>
      </c>
      <c r="P286">
        <f t="shared" si="99"/>
        <v>182963.59178294661</v>
      </c>
      <c r="Q286" s="43">
        <f t="shared" si="100"/>
        <v>590668.9128051349</v>
      </c>
      <c r="R286">
        <f t="shared" si="101"/>
        <v>0</v>
      </c>
      <c r="S286">
        <f t="shared" si="102"/>
        <v>182963.59178294661</v>
      </c>
      <c r="T286" s="43">
        <f t="shared" si="103"/>
        <v>590668.9128051349</v>
      </c>
      <c r="U286">
        <f t="shared" si="104"/>
        <v>0</v>
      </c>
      <c r="V286">
        <f t="shared" si="105"/>
        <v>182963.59178294661</v>
      </c>
      <c r="W286" s="43">
        <f t="shared" si="106"/>
        <v>590668.9128051349</v>
      </c>
      <c r="X286" s="43">
        <f t="shared" si="107"/>
        <v>89553.171678212355</v>
      </c>
      <c r="Y286" s="27">
        <f t="shared" si="108"/>
        <v>4521.9550994126848</v>
      </c>
      <c r="Z286" s="27">
        <f t="shared" si="109"/>
        <v>586146.95770572219</v>
      </c>
      <c r="AA286">
        <f t="shared" si="110"/>
        <v>0</v>
      </c>
      <c r="AB286" s="27">
        <f t="shared" si="111"/>
        <v>586146.95770572219</v>
      </c>
      <c r="AD286" s="27">
        <f t="shared" si="112"/>
        <v>0</v>
      </c>
      <c r="AE286" s="27">
        <f t="shared" si="113"/>
        <v>586146.95770572219</v>
      </c>
      <c r="AF286" s="50"/>
      <c r="AG286" t="str">
        <f t="shared" si="114"/>
        <v>5309150</v>
      </c>
    </row>
    <row r="287" spans="1:33" x14ac:dyDescent="0.25">
      <c r="A287" s="7" t="s">
        <v>249</v>
      </c>
      <c r="B287" s="2" t="s">
        <v>1200</v>
      </c>
      <c r="C287" s="4" t="s">
        <v>1199</v>
      </c>
      <c r="D287">
        <f>_xlfn.IFNA(VLOOKUP(A287,'Prior Year data'!$A$1:$T$318,12,FALSE),0)</f>
        <v>788343.25046388374</v>
      </c>
      <c r="E287">
        <f>VLOOKUP(A287,'Basic HH'!$B$1:$Y$319,23,FALSE)</f>
        <v>411687.79282220965</v>
      </c>
      <c r="F287">
        <f>VLOOKUP(A287,'Conc. HH'!$B$1:$Y$319,23,FALSE)</f>
        <v>0</v>
      </c>
      <c r="G287">
        <f>VLOOKUP(A287,'Targeted HH'!$B$1:$Y$319,23,FALSE)</f>
        <v>198648.44299400738</v>
      </c>
      <c r="H287">
        <f>VLOOKUP(A287,'EFIG HH'!$B$1:$Y$319,23,FALSE)</f>
        <v>270268.53613500099</v>
      </c>
      <c r="I287">
        <f t="shared" si="92"/>
        <v>880604.77195121802</v>
      </c>
      <c r="J287">
        <f t="shared" si="93"/>
        <v>880604.77195121802</v>
      </c>
      <c r="K287" s="43">
        <f t="shared" si="94"/>
        <v>800285.79842080479</v>
      </c>
      <c r="L287">
        <f t="shared" si="95"/>
        <v>0</v>
      </c>
      <c r="M287">
        <f t="shared" si="96"/>
        <v>11942.547956921044</v>
      </c>
      <c r="N287" s="43">
        <f t="shared" si="97"/>
        <v>798724.8015765734</v>
      </c>
      <c r="O287">
        <f t="shared" si="98"/>
        <v>0</v>
      </c>
      <c r="P287">
        <f t="shared" si="99"/>
        <v>10381.55111268966</v>
      </c>
      <c r="Q287" s="43">
        <f t="shared" si="100"/>
        <v>798724.8015765734</v>
      </c>
      <c r="R287">
        <f t="shared" si="101"/>
        <v>0</v>
      </c>
      <c r="S287">
        <f t="shared" si="102"/>
        <v>10381.55111268966</v>
      </c>
      <c r="T287" s="43">
        <f t="shared" si="103"/>
        <v>798724.8015765734</v>
      </c>
      <c r="U287">
        <f t="shared" si="104"/>
        <v>0</v>
      </c>
      <c r="V287">
        <f t="shared" si="105"/>
        <v>10381.55111268966</v>
      </c>
      <c r="W287" s="43">
        <f t="shared" si="106"/>
        <v>798724.8015765734</v>
      </c>
      <c r="X287" s="43">
        <f t="shared" si="107"/>
        <v>81879.970374644618</v>
      </c>
      <c r="Y287" s="27">
        <f t="shared" si="108"/>
        <v>6114.7583886950288</v>
      </c>
      <c r="Z287" s="27">
        <f t="shared" si="109"/>
        <v>792610.04318787833</v>
      </c>
      <c r="AA287">
        <f t="shared" si="110"/>
        <v>0</v>
      </c>
      <c r="AB287" s="27">
        <f t="shared" si="111"/>
        <v>792610.04318787833</v>
      </c>
      <c r="AD287" s="27">
        <f t="shared" si="112"/>
        <v>0</v>
      </c>
      <c r="AE287" s="27">
        <f t="shared" si="113"/>
        <v>792610.04318787833</v>
      </c>
      <c r="AF287" s="50"/>
      <c r="AG287" t="str">
        <f t="shared" si="114"/>
        <v>5309180</v>
      </c>
    </row>
    <row r="288" spans="1:33" x14ac:dyDescent="0.25">
      <c r="A288" s="7" t="s">
        <v>612</v>
      </c>
      <c r="B288" s="2" t="s">
        <v>1202</v>
      </c>
      <c r="C288" s="4" t="s">
        <v>1201</v>
      </c>
      <c r="D288">
        <f>_xlfn.IFNA(VLOOKUP(A288,'Prior Year data'!$A$1:$T$318,12,FALSE),0)</f>
        <v>144384.58200325069</v>
      </c>
      <c r="E288">
        <f>VLOOKUP(A288,'Basic HH'!$B$1:$Y$319,23,FALSE)</f>
        <v>66009.013195122199</v>
      </c>
      <c r="F288">
        <f>VLOOKUP(A288,'Conc. HH'!$B$1:$Y$319,23,FALSE)</f>
        <v>17763.900433194853</v>
      </c>
      <c r="G288">
        <f>VLOOKUP(A288,'Targeted HH'!$B$1:$Y$319,23,FALSE)</f>
        <v>45271.833476994529</v>
      </c>
      <c r="H288">
        <f>VLOOKUP(A288,'EFIG HH'!$B$1:$Y$319,23,FALSE)</f>
        <v>61593.999819791949</v>
      </c>
      <c r="I288">
        <f t="shared" si="92"/>
        <v>190638.74692510354</v>
      </c>
      <c r="J288">
        <f t="shared" si="93"/>
        <v>190638.74692510354</v>
      </c>
      <c r="K288" s="43">
        <f t="shared" si="94"/>
        <v>173250.80064561559</v>
      </c>
      <c r="L288">
        <f t="shared" si="95"/>
        <v>0</v>
      </c>
      <c r="M288">
        <f t="shared" si="96"/>
        <v>28866.218642364896</v>
      </c>
      <c r="N288" s="43">
        <f t="shared" si="97"/>
        <v>169477.73007741154</v>
      </c>
      <c r="O288">
        <f t="shared" si="98"/>
        <v>0</v>
      </c>
      <c r="P288">
        <f t="shared" si="99"/>
        <v>25093.148074160854</v>
      </c>
      <c r="Q288" s="43">
        <f t="shared" si="100"/>
        <v>169477.73007741154</v>
      </c>
      <c r="R288">
        <f t="shared" si="101"/>
        <v>0</v>
      </c>
      <c r="S288">
        <f t="shared" si="102"/>
        <v>25093.148074160854</v>
      </c>
      <c r="T288" s="43">
        <f t="shared" si="103"/>
        <v>169477.73007741154</v>
      </c>
      <c r="U288">
        <f t="shared" si="104"/>
        <v>0</v>
      </c>
      <c r="V288">
        <f t="shared" si="105"/>
        <v>25093.148074160854</v>
      </c>
      <c r="W288" s="43">
        <f t="shared" si="106"/>
        <v>169477.73007741154</v>
      </c>
      <c r="X288" s="43">
        <f t="shared" si="107"/>
        <v>21161.016847691993</v>
      </c>
      <c r="Y288" s="27">
        <f t="shared" si="108"/>
        <v>1297.4623670659776</v>
      </c>
      <c r="Z288" s="27">
        <f t="shared" si="109"/>
        <v>168180.26771034556</v>
      </c>
      <c r="AA288">
        <f t="shared" si="110"/>
        <v>0</v>
      </c>
      <c r="AB288" s="27">
        <f t="shared" si="111"/>
        <v>168180.26771034556</v>
      </c>
      <c r="AD288" s="27">
        <f t="shared" si="112"/>
        <v>0</v>
      </c>
      <c r="AE288" s="27">
        <f t="shared" si="113"/>
        <v>168180.26771034556</v>
      </c>
      <c r="AF288" s="50"/>
      <c r="AG288" t="str">
        <f t="shared" si="114"/>
        <v>5309240</v>
      </c>
    </row>
    <row r="289" spans="1:33" x14ac:dyDescent="0.25">
      <c r="A289" s="7" t="s">
        <v>63</v>
      </c>
      <c r="B289" s="2" t="s">
        <v>1203</v>
      </c>
      <c r="C289" s="4" t="s">
        <v>49</v>
      </c>
      <c r="D289">
        <f>_xlfn.IFNA(VLOOKUP(A289,'Prior Year data'!$A$1:$T$318,12,FALSE),0)</f>
        <v>6416904.6640526112</v>
      </c>
      <c r="E289">
        <f>VLOOKUP(A289,'Basic HH'!$B$1:$Y$319,23,FALSE)</f>
        <v>2355042.4111720547</v>
      </c>
      <c r="F289">
        <f>VLOOKUP(A289,'Conc. HH'!$B$1:$Y$319,23,FALSE)</f>
        <v>0</v>
      </c>
      <c r="G289">
        <f>VLOOKUP(A289,'Targeted HH'!$B$1:$Y$319,23,FALSE)</f>
        <v>1663041.2740165484</v>
      </c>
      <c r="H289">
        <f>VLOOKUP(A289,'EFIG HH'!$B$1:$Y$319,23,FALSE)</f>
        <v>2262629.0137803834</v>
      </c>
      <c r="I289">
        <f t="shared" si="92"/>
        <v>6280712.698968986</v>
      </c>
      <c r="J289">
        <f t="shared" si="93"/>
        <v>0</v>
      </c>
      <c r="K289" s="43">
        <f t="shared" si="94"/>
        <v>6280712.698968986</v>
      </c>
      <c r="L289">
        <f t="shared" si="95"/>
        <v>0</v>
      </c>
      <c r="M289">
        <f t="shared" si="96"/>
        <v>0</v>
      </c>
      <c r="N289" s="43">
        <f t="shared" si="97"/>
        <v>6280712.698968986</v>
      </c>
      <c r="O289">
        <f t="shared" si="98"/>
        <v>0</v>
      </c>
      <c r="P289">
        <f t="shared" si="99"/>
        <v>0</v>
      </c>
      <c r="Q289" s="43">
        <f t="shared" si="100"/>
        <v>6280712.698968986</v>
      </c>
      <c r="R289">
        <f t="shared" si="101"/>
        <v>0</v>
      </c>
      <c r="S289">
        <f t="shared" si="102"/>
        <v>0</v>
      </c>
      <c r="T289" s="43">
        <f t="shared" si="103"/>
        <v>6280712.698968986</v>
      </c>
      <c r="U289">
        <f t="shared" si="104"/>
        <v>0</v>
      </c>
      <c r="V289">
        <f t="shared" si="105"/>
        <v>0</v>
      </c>
      <c r="W289" s="43">
        <f t="shared" si="106"/>
        <v>6280712.698968986</v>
      </c>
      <c r="X289" s="43">
        <f t="shared" si="107"/>
        <v>0</v>
      </c>
      <c r="Y289" s="27">
        <f t="shared" si="108"/>
        <v>48082.944948244636</v>
      </c>
      <c r="Z289" s="27">
        <f t="shared" si="109"/>
        <v>6232629.7540207412</v>
      </c>
      <c r="AA289">
        <f t="shared" si="110"/>
        <v>0</v>
      </c>
      <c r="AB289" s="27">
        <f t="shared" si="111"/>
        <v>6232629.7540207412</v>
      </c>
      <c r="AD289" s="27">
        <f t="shared" si="112"/>
        <v>0</v>
      </c>
      <c r="AE289" s="27">
        <f t="shared" si="113"/>
        <v>6232629.7540207412</v>
      </c>
      <c r="AF289" s="50"/>
      <c r="AG289" t="str">
        <f t="shared" si="114"/>
        <v>5309270</v>
      </c>
    </row>
    <row r="290" spans="1:33" x14ac:dyDescent="0.25">
      <c r="A290" s="7" t="s">
        <v>251</v>
      </c>
      <c r="B290" s="2" t="s">
        <v>1205</v>
      </c>
      <c r="C290" s="4" t="s">
        <v>1204</v>
      </c>
      <c r="D290">
        <f>_xlfn.IFNA(VLOOKUP(A290,'Prior Year data'!$A$1:$T$318,12,FALSE),0)</f>
        <v>221883.78834066226</v>
      </c>
      <c r="E290">
        <f>VLOOKUP(A290,'Basic HH'!$B$1:$Y$319,23,FALSE)</f>
        <v>96407.900850770573</v>
      </c>
      <c r="F290">
        <f>VLOOKUP(A290,'Conc. HH'!$B$1:$Y$319,23,FALSE)</f>
        <v>0</v>
      </c>
      <c r="G290">
        <f>VLOOKUP(A290,'Targeted HH'!$B$1:$Y$319,23,FALSE)</f>
        <v>46518.939182140959</v>
      </c>
      <c r="H290">
        <f>VLOOKUP(A290,'EFIG HH'!$B$1:$Y$319,23,FALSE)</f>
        <v>63290.733145538201</v>
      </c>
      <c r="I290">
        <f t="shared" si="92"/>
        <v>206217.57317844973</v>
      </c>
      <c r="J290">
        <f t="shared" si="93"/>
        <v>0</v>
      </c>
      <c r="K290" s="43">
        <f t="shared" si="94"/>
        <v>206217.57317844973</v>
      </c>
      <c r="L290">
        <f t="shared" si="95"/>
        <v>0</v>
      </c>
      <c r="M290">
        <f t="shared" si="96"/>
        <v>0</v>
      </c>
      <c r="N290" s="43">
        <f t="shared" si="97"/>
        <v>206217.57317844973</v>
      </c>
      <c r="O290">
        <f t="shared" si="98"/>
        <v>0</v>
      </c>
      <c r="P290">
        <f t="shared" si="99"/>
        <v>0</v>
      </c>
      <c r="Q290" s="43">
        <f t="shared" si="100"/>
        <v>206217.57317844973</v>
      </c>
      <c r="R290">
        <f t="shared" si="101"/>
        <v>0</v>
      </c>
      <c r="S290">
        <f t="shared" si="102"/>
        <v>0</v>
      </c>
      <c r="T290" s="43">
        <f t="shared" si="103"/>
        <v>206217.57317844973</v>
      </c>
      <c r="U290">
        <f t="shared" si="104"/>
        <v>0</v>
      </c>
      <c r="V290">
        <f t="shared" si="105"/>
        <v>0</v>
      </c>
      <c r="W290" s="43">
        <f t="shared" si="106"/>
        <v>206217.57317844973</v>
      </c>
      <c r="X290" s="43">
        <f t="shared" si="107"/>
        <v>0</v>
      </c>
      <c r="Y290" s="27">
        <f t="shared" si="108"/>
        <v>1578.7297865300704</v>
      </c>
      <c r="Z290" s="27">
        <f t="shared" si="109"/>
        <v>204638.84339191965</v>
      </c>
      <c r="AA290">
        <f t="shared" si="110"/>
        <v>0</v>
      </c>
      <c r="AB290" s="27">
        <f t="shared" si="111"/>
        <v>204638.84339191965</v>
      </c>
      <c r="AD290" s="27">
        <f t="shared" si="112"/>
        <v>0</v>
      </c>
      <c r="AE290" s="27">
        <f t="shared" si="113"/>
        <v>204638.84339191965</v>
      </c>
      <c r="AF290" s="50"/>
      <c r="AG290" t="str">
        <f t="shared" si="114"/>
        <v>5309300</v>
      </c>
    </row>
    <row r="291" spans="1:33" x14ac:dyDescent="0.25">
      <c r="A291" s="7" t="s">
        <v>614</v>
      </c>
      <c r="B291" s="2" t="s">
        <v>1207</v>
      </c>
      <c r="C291" s="4" t="s">
        <v>1206</v>
      </c>
      <c r="D291">
        <f>_xlfn.IFNA(VLOOKUP(A291,'Prior Year data'!$A$1:$T$318,12,FALSE),0)</f>
        <v>209699.50165571424</v>
      </c>
      <c r="E291">
        <f>VLOOKUP(A291,'Basic HH'!$B$1:$Y$319,23,FALSE)</f>
        <v>85174.702821135521</v>
      </c>
      <c r="F291">
        <f>VLOOKUP(A291,'Conc. HH'!$B$1:$Y$319,23,FALSE)</f>
        <v>22442.130442566453</v>
      </c>
      <c r="G291">
        <f>VLOOKUP(A291,'Targeted HH'!$B$1:$Y$319,23,FALSE)</f>
        <v>50032.650004897354</v>
      </c>
      <c r="H291">
        <f>VLOOKUP(A291,'EFIG HH'!$B$1:$Y$319,23,FALSE)</f>
        <v>68770.780356794188</v>
      </c>
      <c r="I291">
        <f t="shared" si="92"/>
        <v>226420.26362539351</v>
      </c>
      <c r="J291">
        <f t="shared" si="93"/>
        <v>226420.26362539351</v>
      </c>
      <c r="K291" s="43">
        <f t="shared" si="94"/>
        <v>205768.72534155988</v>
      </c>
      <c r="L291">
        <f t="shared" si="95"/>
        <v>3930.7763141543546</v>
      </c>
      <c r="M291">
        <f t="shared" si="96"/>
        <v>0</v>
      </c>
      <c r="N291" s="43">
        <f t="shared" si="97"/>
        <v>209699.50165571424</v>
      </c>
      <c r="O291">
        <f t="shared" si="98"/>
        <v>0</v>
      </c>
      <c r="P291">
        <f t="shared" si="99"/>
        <v>0</v>
      </c>
      <c r="Q291" s="43">
        <f t="shared" si="100"/>
        <v>209699.50165571424</v>
      </c>
      <c r="R291">
        <f t="shared" si="101"/>
        <v>0</v>
      </c>
      <c r="S291">
        <f t="shared" si="102"/>
        <v>0</v>
      </c>
      <c r="T291" s="43">
        <f t="shared" si="103"/>
        <v>209699.50165571424</v>
      </c>
      <c r="U291">
        <f t="shared" si="104"/>
        <v>0</v>
      </c>
      <c r="V291">
        <f t="shared" si="105"/>
        <v>0</v>
      </c>
      <c r="W291" s="43">
        <f t="shared" si="106"/>
        <v>209699.50165571424</v>
      </c>
      <c r="X291" s="43">
        <f t="shared" si="107"/>
        <v>16720.761969679268</v>
      </c>
      <c r="Y291" s="27">
        <f t="shared" si="108"/>
        <v>1605.3862160326516</v>
      </c>
      <c r="Z291" s="27">
        <f t="shared" si="109"/>
        <v>208094.1154396816</v>
      </c>
      <c r="AA291">
        <f t="shared" si="110"/>
        <v>0</v>
      </c>
      <c r="AB291" s="27">
        <f t="shared" si="111"/>
        <v>208094.1154396816</v>
      </c>
      <c r="AD291" s="27">
        <f t="shared" si="112"/>
        <v>0</v>
      </c>
      <c r="AE291" s="27">
        <f t="shared" si="113"/>
        <v>208094.1154396816</v>
      </c>
      <c r="AF291" s="50"/>
      <c r="AG291" t="str">
        <f t="shared" si="114"/>
        <v>5309330</v>
      </c>
    </row>
    <row r="292" spans="1:33" x14ac:dyDescent="0.25">
      <c r="A292" s="7" t="s">
        <v>616</v>
      </c>
      <c r="B292" s="2" t="s">
        <v>1209</v>
      </c>
      <c r="C292" s="4" t="s">
        <v>1208</v>
      </c>
      <c r="D292">
        <f>_xlfn.IFNA(VLOOKUP(A292,'Prior Year data'!$A$1:$T$318,12,FALSE),0)</f>
        <v>662201.21529031498</v>
      </c>
      <c r="E292">
        <f>VLOOKUP(A292,'Basic HH'!$B$1:$Y$319,23,FALSE)</f>
        <v>260561.89419127183</v>
      </c>
      <c r="F292">
        <f>VLOOKUP(A292,'Conc. HH'!$B$1:$Y$319,23,FALSE)</f>
        <v>67632.420379188872</v>
      </c>
      <c r="G292">
        <f>VLOOKUP(A292,'Targeted HH'!$B$1:$Y$319,23,FALSE)</f>
        <v>132635.77313201691</v>
      </c>
      <c r="H292">
        <f>VLOOKUP(A292,'EFIG HH'!$B$1:$Y$319,23,FALSE)</f>
        <v>182310.26381018563</v>
      </c>
      <c r="I292">
        <f t="shared" si="92"/>
        <v>643140.35151266318</v>
      </c>
      <c r="J292">
        <f t="shared" si="93"/>
        <v>0</v>
      </c>
      <c r="K292" s="43">
        <f t="shared" si="94"/>
        <v>643140.35151266318</v>
      </c>
      <c r="L292">
        <f t="shared" si="95"/>
        <v>0</v>
      </c>
      <c r="M292">
        <f t="shared" si="96"/>
        <v>0</v>
      </c>
      <c r="N292" s="43">
        <f t="shared" si="97"/>
        <v>643140.35151266318</v>
      </c>
      <c r="O292">
        <f t="shared" si="98"/>
        <v>0</v>
      </c>
      <c r="P292">
        <f t="shared" si="99"/>
        <v>0</v>
      </c>
      <c r="Q292" s="43">
        <f t="shared" si="100"/>
        <v>643140.35151266318</v>
      </c>
      <c r="R292">
        <f t="shared" si="101"/>
        <v>0</v>
      </c>
      <c r="S292">
        <f t="shared" si="102"/>
        <v>0</v>
      </c>
      <c r="T292" s="43">
        <f t="shared" si="103"/>
        <v>643140.35151266318</v>
      </c>
      <c r="U292">
        <f t="shared" si="104"/>
        <v>0</v>
      </c>
      <c r="V292">
        <f t="shared" si="105"/>
        <v>0</v>
      </c>
      <c r="W292" s="43">
        <f t="shared" si="106"/>
        <v>643140.35151266318</v>
      </c>
      <c r="X292" s="43">
        <f t="shared" si="107"/>
        <v>0</v>
      </c>
      <c r="Y292" s="27">
        <f t="shared" si="108"/>
        <v>4923.6581257497182</v>
      </c>
      <c r="Z292" s="27">
        <f t="shared" si="109"/>
        <v>638216.69338691351</v>
      </c>
      <c r="AA292">
        <f t="shared" si="110"/>
        <v>0</v>
      </c>
      <c r="AB292" s="27">
        <f t="shared" si="111"/>
        <v>638216.69338691351</v>
      </c>
      <c r="AD292" s="27">
        <f t="shared" si="112"/>
        <v>0</v>
      </c>
      <c r="AE292" s="27">
        <f t="shared" si="113"/>
        <v>638216.69338691351</v>
      </c>
      <c r="AF292" s="50"/>
      <c r="AG292" t="str">
        <f t="shared" si="114"/>
        <v>5309360</v>
      </c>
    </row>
    <row r="293" spans="1:33" x14ac:dyDescent="0.25">
      <c r="A293" s="7" t="s">
        <v>618</v>
      </c>
      <c r="B293" s="2" t="s">
        <v>1211</v>
      </c>
      <c r="C293" s="4" t="s">
        <v>1210</v>
      </c>
      <c r="D293">
        <f>_xlfn.IFNA(VLOOKUP(A293,'Prior Year data'!$A$1:$T$318,12,FALSE),0)</f>
        <v>61248.182854789156</v>
      </c>
      <c r="E293">
        <f>VLOOKUP(A293,'Basic HH'!$B$1:$Y$319,23,FALSE)</f>
        <v>32135.966950256861</v>
      </c>
      <c r="F293">
        <f>VLOOKUP(A293,'Conc. HH'!$B$1:$Y$319,23,FALSE)</f>
        <v>0</v>
      </c>
      <c r="G293">
        <f>VLOOKUP(A293,'Targeted HH'!$B$1:$Y$319,23,FALSE)</f>
        <v>15506.313060713652</v>
      </c>
      <c r="H293">
        <f>VLOOKUP(A293,'EFIG HH'!$B$1:$Y$319,23,FALSE)</f>
        <v>21096.911048512735</v>
      </c>
      <c r="I293">
        <f t="shared" si="92"/>
        <v>68739.191059483244</v>
      </c>
      <c r="J293">
        <f t="shared" si="93"/>
        <v>68739.191059483244</v>
      </c>
      <c r="K293" s="43">
        <f t="shared" si="94"/>
        <v>62469.56654339614</v>
      </c>
      <c r="L293">
        <f t="shared" si="95"/>
        <v>0</v>
      </c>
      <c r="M293">
        <f t="shared" si="96"/>
        <v>1221.3836886069839</v>
      </c>
      <c r="N293" s="43">
        <f t="shared" si="97"/>
        <v>62309.920872272312</v>
      </c>
      <c r="O293">
        <f t="shared" si="98"/>
        <v>0</v>
      </c>
      <c r="P293">
        <f t="shared" si="99"/>
        <v>1061.738017483156</v>
      </c>
      <c r="Q293" s="43">
        <f t="shared" si="100"/>
        <v>62309.920872272312</v>
      </c>
      <c r="R293">
        <f t="shared" si="101"/>
        <v>0</v>
      </c>
      <c r="S293">
        <f t="shared" si="102"/>
        <v>1061.738017483156</v>
      </c>
      <c r="T293" s="43">
        <f t="shared" si="103"/>
        <v>62309.920872272312</v>
      </c>
      <c r="U293">
        <f t="shared" si="104"/>
        <v>0</v>
      </c>
      <c r="V293">
        <f t="shared" si="105"/>
        <v>1061.738017483156</v>
      </c>
      <c r="W293" s="43">
        <f t="shared" si="106"/>
        <v>62309.920872272312</v>
      </c>
      <c r="X293" s="43">
        <f t="shared" si="107"/>
        <v>6429.2701872109319</v>
      </c>
      <c r="Y293" s="27">
        <f t="shared" si="108"/>
        <v>477.02301293335177</v>
      </c>
      <c r="Z293" s="27">
        <f t="shared" si="109"/>
        <v>61832.897859338962</v>
      </c>
      <c r="AA293">
        <f t="shared" si="110"/>
        <v>0</v>
      </c>
      <c r="AB293" s="27">
        <f t="shared" si="111"/>
        <v>61832.897859338962</v>
      </c>
      <c r="AD293" s="27">
        <f t="shared" si="112"/>
        <v>0</v>
      </c>
      <c r="AE293" s="27">
        <f t="shared" si="113"/>
        <v>61832.897859338962</v>
      </c>
      <c r="AF293" s="50"/>
      <c r="AG293" t="str">
        <f t="shared" si="114"/>
        <v>5309390</v>
      </c>
    </row>
    <row r="294" spans="1:33" x14ac:dyDescent="0.25">
      <c r="A294" s="7" t="s">
        <v>620</v>
      </c>
      <c r="B294" s="2" t="s">
        <v>1213</v>
      </c>
      <c r="C294" s="4" t="s">
        <v>1212</v>
      </c>
      <c r="D294">
        <f>_xlfn.IFNA(VLOOKUP(A294,'Prior Year data'!$A$1:$T$318,12,FALSE),0)</f>
        <v>1503879.9079978317</v>
      </c>
      <c r="E294">
        <f>VLOOKUP(A294,'Basic HH'!$B$1:$Y$319,23,FALSE)</f>
        <v>924994.72437901504</v>
      </c>
      <c r="F294">
        <f>VLOOKUP(A294,'Conc. HH'!$B$1:$Y$319,23,FALSE)</f>
        <v>248928.34159674367</v>
      </c>
      <c r="G294">
        <f>VLOOKUP(A294,'Targeted HH'!$B$1:$Y$319,23,FALSE)</f>
        <v>524700.10681117559</v>
      </c>
      <c r="H294">
        <f>VLOOKUP(A294,'EFIG HH'!$B$1:$Y$319,23,FALSE)</f>
        <v>713873.85493886354</v>
      </c>
      <c r="I294">
        <f t="shared" si="92"/>
        <v>2412497.0277257981</v>
      </c>
      <c r="J294">
        <f t="shared" si="93"/>
        <v>2412497.0277257981</v>
      </c>
      <c r="K294" s="43">
        <f t="shared" si="94"/>
        <v>2192455.8797738506</v>
      </c>
      <c r="L294">
        <f t="shared" si="95"/>
        <v>0</v>
      </c>
      <c r="M294">
        <f t="shared" si="96"/>
        <v>688575.97177601885</v>
      </c>
      <c r="N294" s="43">
        <f t="shared" si="97"/>
        <v>2102452.8985982132</v>
      </c>
      <c r="O294">
        <f t="shared" si="98"/>
        <v>0</v>
      </c>
      <c r="P294">
        <f t="shared" si="99"/>
        <v>598572.99060038151</v>
      </c>
      <c r="Q294" s="43">
        <f t="shared" si="100"/>
        <v>2102452.8985982132</v>
      </c>
      <c r="R294">
        <f t="shared" si="101"/>
        <v>0</v>
      </c>
      <c r="S294">
        <f t="shared" si="102"/>
        <v>598572.99060038151</v>
      </c>
      <c r="T294" s="43">
        <f t="shared" si="103"/>
        <v>2102452.8985982132</v>
      </c>
      <c r="U294">
        <f t="shared" si="104"/>
        <v>0</v>
      </c>
      <c r="V294">
        <f t="shared" si="105"/>
        <v>598572.99060038151</v>
      </c>
      <c r="W294" s="43">
        <f t="shared" si="106"/>
        <v>2102452.8985982132</v>
      </c>
      <c r="X294" s="43">
        <f t="shared" si="107"/>
        <v>310044.12912758486</v>
      </c>
      <c r="Y294" s="27">
        <f t="shared" si="108"/>
        <v>16095.645800861119</v>
      </c>
      <c r="Z294" s="27">
        <f t="shared" si="109"/>
        <v>2086357.2527973522</v>
      </c>
      <c r="AA294">
        <f t="shared" si="110"/>
        <v>0</v>
      </c>
      <c r="AB294" s="27">
        <f t="shared" si="111"/>
        <v>2086357.2527973522</v>
      </c>
      <c r="AD294" s="27">
        <f t="shared" si="112"/>
        <v>0</v>
      </c>
      <c r="AE294" s="27">
        <f t="shared" si="113"/>
        <v>2086357.2527973522</v>
      </c>
      <c r="AF294" s="50"/>
      <c r="AG294" t="str">
        <f t="shared" si="114"/>
        <v>5309450</v>
      </c>
    </row>
    <row r="295" spans="1:33" x14ac:dyDescent="0.25">
      <c r="A295" s="7" t="s">
        <v>621</v>
      </c>
      <c r="B295" s="2" t="s">
        <v>1215</v>
      </c>
      <c r="C295" s="4" t="s">
        <v>1214</v>
      </c>
      <c r="D295">
        <f>_xlfn.IFNA(VLOOKUP(A295,'Prior Year data'!$A$1:$T$318,12,FALSE),0)</f>
        <v>1815122.4719472285</v>
      </c>
      <c r="E295">
        <f>VLOOKUP(A295,'Basic HH'!$B$1:$Y$319,23,FALSE)</f>
        <v>661265.42008408858</v>
      </c>
      <c r="F295">
        <f>VLOOKUP(A295,'Conc. HH'!$B$1:$Y$319,23,FALSE)</f>
        <v>177405.26879993279</v>
      </c>
      <c r="G295">
        <f>VLOOKUP(A295,'Targeted HH'!$B$1:$Y$319,23,FALSE)</f>
        <v>425395.79968211905</v>
      </c>
      <c r="H295">
        <f>VLOOKUP(A295,'EFIG HH'!$B$1:$Y$319,23,FALSE)</f>
        <v>584714.20366057509</v>
      </c>
      <c r="I295">
        <f t="shared" si="92"/>
        <v>1848780.6922267154</v>
      </c>
      <c r="J295">
        <f t="shared" si="93"/>
        <v>1848780.6922267154</v>
      </c>
      <c r="K295" s="43">
        <f t="shared" si="94"/>
        <v>1680155.4789503077</v>
      </c>
      <c r="L295">
        <f t="shared" si="95"/>
        <v>134966.99299692083</v>
      </c>
      <c r="M295">
        <f t="shared" si="96"/>
        <v>0</v>
      </c>
      <c r="N295" s="43">
        <f t="shared" si="97"/>
        <v>1815122.4719472285</v>
      </c>
      <c r="O295">
        <f t="shared" si="98"/>
        <v>0</v>
      </c>
      <c r="P295">
        <f t="shared" si="99"/>
        <v>0</v>
      </c>
      <c r="Q295" s="43">
        <f t="shared" si="100"/>
        <v>1815122.4719472285</v>
      </c>
      <c r="R295">
        <f t="shared" si="101"/>
        <v>0</v>
      </c>
      <c r="S295">
        <f t="shared" si="102"/>
        <v>0</v>
      </c>
      <c r="T295" s="43">
        <f t="shared" si="103"/>
        <v>1815122.4719472285</v>
      </c>
      <c r="U295">
        <f t="shared" si="104"/>
        <v>0</v>
      </c>
      <c r="V295">
        <f t="shared" si="105"/>
        <v>0</v>
      </c>
      <c r="W295" s="43">
        <f t="shared" si="106"/>
        <v>1815122.4719472285</v>
      </c>
      <c r="X295" s="43">
        <f t="shared" si="107"/>
        <v>33658.22027948685</v>
      </c>
      <c r="Y295" s="27">
        <f t="shared" si="108"/>
        <v>13895.944310155635</v>
      </c>
      <c r="Z295" s="27">
        <f t="shared" si="109"/>
        <v>1801226.5276370728</v>
      </c>
      <c r="AA295">
        <f t="shared" si="110"/>
        <v>0</v>
      </c>
      <c r="AB295" s="27">
        <f t="shared" si="111"/>
        <v>1801226.5276370728</v>
      </c>
      <c r="AD295" s="27">
        <f t="shared" si="112"/>
        <v>0</v>
      </c>
      <c r="AE295" s="27">
        <f t="shared" si="113"/>
        <v>1801226.5276370728</v>
      </c>
      <c r="AF295" s="50"/>
      <c r="AG295" t="str">
        <f t="shared" si="114"/>
        <v>5309480</v>
      </c>
    </row>
    <row r="296" spans="1:33" x14ac:dyDescent="0.25">
      <c r="A296" s="7" t="s">
        <v>623</v>
      </c>
      <c r="B296" s="2" t="s">
        <v>1217</v>
      </c>
      <c r="C296" s="4" t="s">
        <v>1216</v>
      </c>
      <c r="D296">
        <f>_xlfn.IFNA(VLOOKUP(A296,'Prior Year data'!$A$1:$T$318,12,FALSE),0)</f>
        <v>356759.03281782533</v>
      </c>
      <c r="E296">
        <f>VLOOKUP(A296,'Basic HH'!$B$1:$Y$319,23,FALSE)</f>
        <v>174576.46910815217</v>
      </c>
      <c r="F296">
        <f>VLOOKUP(A296,'Conc. HH'!$B$1:$Y$319,23,FALSE)</f>
        <v>46980.841935160075</v>
      </c>
      <c r="G296">
        <f>VLOOKUP(A296,'Targeted HH'!$B$1:$Y$319,23,FALSE)</f>
        <v>107882.35474274412</v>
      </c>
      <c r="H296">
        <f>VLOOKUP(A296,'EFIG HH'!$B$1:$Y$319,23,FALSE)</f>
        <v>146777.92411389758</v>
      </c>
      <c r="I296">
        <f t="shared" si="92"/>
        <v>476217.58989995392</v>
      </c>
      <c r="J296">
        <f t="shared" si="93"/>
        <v>476217.58989995392</v>
      </c>
      <c r="K296" s="43">
        <f t="shared" si="94"/>
        <v>432782.31766864425</v>
      </c>
      <c r="L296">
        <f t="shared" si="95"/>
        <v>0</v>
      </c>
      <c r="M296">
        <f t="shared" si="96"/>
        <v>76023.28485081892</v>
      </c>
      <c r="N296" s="43">
        <f t="shared" si="97"/>
        <v>422845.40067502594</v>
      </c>
      <c r="O296">
        <f t="shared" si="98"/>
        <v>0</v>
      </c>
      <c r="P296">
        <f t="shared" si="99"/>
        <v>66086.367857200617</v>
      </c>
      <c r="Q296" s="43">
        <f t="shared" si="100"/>
        <v>422845.40067502594</v>
      </c>
      <c r="R296">
        <f t="shared" si="101"/>
        <v>0</v>
      </c>
      <c r="S296">
        <f t="shared" si="102"/>
        <v>66086.367857200617</v>
      </c>
      <c r="T296" s="43">
        <f t="shared" si="103"/>
        <v>422845.40067502594</v>
      </c>
      <c r="U296">
        <f t="shared" si="104"/>
        <v>0</v>
      </c>
      <c r="V296">
        <f t="shared" si="105"/>
        <v>66086.367857200617</v>
      </c>
      <c r="W296" s="43">
        <f t="shared" si="106"/>
        <v>422845.40067502594</v>
      </c>
      <c r="X296" s="43">
        <f t="shared" si="107"/>
        <v>53372.189224927977</v>
      </c>
      <c r="Y296" s="27">
        <f t="shared" si="108"/>
        <v>3237.1568477592159</v>
      </c>
      <c r="Z296" s="27">
        <f t="shared" si="109"/>
        <v>419608.24382726674</v>
      </c>
      <c r="AA296">
        <f t="shared" si="110"/>
        <v>0</v>
      </c>
      <c r="AB296" s="27">
        <f t="shared" si="111"/>
        <v>419608.24382726674</v>
      </c>
      <c r="AD296" s="27">
        <f t="shared" si="112"/>
        <v>0</v>
      </c>
      <c r="AE296" s="27">
        <f t="shared" si="113"/>
        <v>419608.24382726674</v>
      </c>
      <c r="AF296" s="50"/>
      <c r="AG296" t="str">
        <f t="shared" si="114"/>
        <v>5309510</v>
      </c>
    </row>
    <row r="297" spans="1:33" x14ac:dyDescent="0.25">
      <c r="A297" s="7" t="s">
        <v>253</v>
      </c>
      <c r="B297" s="2" t="s">
        <v>1219</v>
      </c>
      <c r="C297" s="4" t="s">
        <v>1218</v>
      </c>
      <c r="D297">
        <f>_xlfn.IFNA(VLOOKUP(A297,'Prior Year data'!$A$1:$T$318,12,FALSE),0)</f>
        <v>478029.27864281752</v>
      </c>
      <c r="E297">
        <f>VLOOKUP(A297,'Basic HH'!$B$1:$Y$319,23,FALSE)</f>
        <v>219740.53076797261</v>
      </c>
      <c r="F297">
        <f>VLOOKUP(A297,'Conc. HH'!$B$1:$Y$319,23,FALSE)</f>
        <v>0</v>
      </c>
      <c r="G297">
        <f>VLOOKUP(A297,'Targeted HH'!$B$1:$Y$319,23,FALSE)</f>
        <v>106029.65417190688</v>
      </c>
      <c r="H297">
        <f>VLOOKUP(A297,'EFIG HH'!$B$1:$Y$319,23,FALSE)</f>
        <v>144257.25662901954</v>
      </c>
      <c r="I297">
        <f t="shared" si="92"/>
        <v>470027.44156889897</v>
      </c>
      <c r="J297">
        <f t="shared" si="93"/>
        <v>0</v>
      </c>
      <c r="K297" s="43">
        <f t="shared" si="94"/>
        <v>470027.44156889897</v>
      </c>
      <c r="L297">
        <f t="shared" si="95"/>
        <v>0</v>
      </c>
      <c r="M297">
        <f t="shared" si="96"/>
        <v>0</v>
      </c>
      <c r="N297" s="43">
        <f t="shared" si="97"/>
        <v>470027.44156889897</v>
      </c>
      <c r="O297">
        <f t="shared" si="98"/>
        <v>0</v>
      </c>
      <c r="P297">
        <f t="shared" si="99"/>
        <v>0</v>
      </c>
      <c r="Q297" s="43">
        <f t="shared" si="100"/>
        <v>470027.44156889897</v>
      </c>
      <c r="R297">
        <f t="shared" si="101"/>
        <v>0</v>
      </c>
      <c r="S297">
        <f t="shared" si="102"/>
        <v>0</v>
      </c>
      <c r="T297" s="43">
        <f t="shared" si="103"/>
        <v>470027.44156889897</v>
      </c>
      <c r="U297">
        <f t="shared" si="104"/>
        <v>0</v>
      </c>
      <c r="V297">
        <f t="shared" si="105"/>
        <v>0</v>
      </c>
      <c r="W297" s="43">
        <f t="shared" si="106"/>
        <v>470027.44156889897</v>
      </c>
      <c r="X297" s="43">
        <f t="shared" si="107"/>
        <v>0</v>
      </c>
      <c r="Y297" s="27">
        <f t="shared" si="108"/>
        <v>3598.3660900189893</v>
      </c>
      <c r="Z297" s="27">
        <f t="shared" si="109"/>
        <v>466429.07547887997</v>
      </c>
      <c r="AA297">
        <f t="shared" si="110"/>
        <v>0</v>
      </c>
      <c r="AB297" s="27">
        <f t="shared" si="111"/>
        <v>466429.07547887997</v>
      </c>
      <c r="AD297" s="27">
        <f t="shared" si="112"/>
        <v>0</v>
      </c>
      <c r="AE297" s="27">
        <f t="shared" si="113"/>
        <v>466429.07547887997</v>
      </c>
      <c r="AF297" s="50"/>
      <c r="AG297" t="str">
        <f t="shared" si="114"/>
        <v>5309540</v>
      </c>
    </row>
    <row r="298" spans="1:33" x14ac:dyDescent="0.25">
      <c r="A298" s="7" t="s">
        <v>625</v>
      </c>
      <c r="B298" s="2" t="s">
        <v>1221</v>
      </c>
      <c r="C298" s="4" t="s">
        <v>1220</v>
      </c>
      <c r="D298">
        <f>_xlfn.IFNA(VLOOKUP(A298,'Prior Year data'!$A$1:$T$318,12,FALSE),0)</f>
        <v>1804.3906687029942</v>
      </c>
      <c r="E298">
        <f>VLOOKUP(A298,'Basic HH'!$B$1:$Y$319,23,FALSE)</f>
        <v>0</v>
      </c>
      <c r="F298">
        <f>VLOOKUP(A298,'Conc. HH'!$B$1:$Y$319,23,FALSE)</f>
        <v>1545.6590177282774</v>
      </c>
      <c r="G298">
        <f>VLOOKUP(A298,'Targeted HH'!$B$1:$Y$319,23,FALSE)</f>
        <v>0</v>
      </c>
      <c r="H298">
        <f>VLOOKUP(A298,'EFIG HH'!$B$1:$Y$319,23,FALSE)</f>
        <v>0</v>
      </c>
      <c r="I298">
        <f t="shared" si="92"/>
        <v>1545.6590177282774</v>
      </c>
      <c r="J298">
        <f t="shared" si="93"/>
        <v>0</v>
      </c>
      <c r="K298" s="43">
        <f t="shared" si="94"/>
        <v>1545.6590177282774</v>
      </c>
      <c r="L298">
        <f t="shared" si="95"/>
        <v>0</v>
      </c>
      <c r="M298">
        <f t="shared" si="96"/>
        <v>0</v>
      </c>
      <c r="N298" s="43">
        <f t="shared" si="97"/>
        <v>1545.6590177282774</v>
      </c>
      <c r="O298">
        <f t="shared" si="98"/>
        <v>0</v>
      </c>
      <c r="P298">
        <f t="shared" si="99"/>
        <v>0</v>
      </c>
      <c r="Q298" s="43">
        <f t="shared" si="100"/>
        <v>1545.6590177282774</v>
      </c>
      <c r="R298">
        <f t="shared" si="101"/>
        <v>0</v>
      </c>
      <c r="S298">
        <f t="shared" si="102"/>
        <v>0</v>
      </c>
      <c r="T298" s="43">
        <f t="shared" si="103"/>
        <v>1545.6590177282774</v>
      </c>
      <c r="U298">
        <f t="shared" si="104"/>
        <v>0</v>
      </c>
      <c r="V298">
        <f t="shared" si="105"/>
        <v>0</v>
      </c>
      <c r="W298" s="43">
        <f t="shared" si="106"/>
        <v>1545.6590177282774</v>
      </c>
      <c r="X298" s="43">
        <f t="shared" si="107"/>
        <v>0</v>
      </c>
      <c r="Y298" s="27">
        <f t="shared" si="108"/>
        <v>11.833026126220782</v>
      </c>
      <c r="Z298" s="27">
        <f t="shared" si="109"/>
        <v>1533.8259916020565</v>
      </c>
      <c r="AA298">
        <f t="shared" si="110"/>
        <v>0</v>
      </c>
      <c r="AB298" s="27">
        <f t="shared" si="111"/>
        <v>1533.8259916020565</v>
      </c>
      <c r="AD298" s="27">
        <f t="shared" si="112"/>
        <v>0</v>
      </c>
      <c r="AE298" s="27">
        <f t="shared" si="113"/>
        <v>1533.8259916020565</v>
      </c>
      <c r="AF298" s="50"/>
      <c r="AG298" t="str">
        <f t="shared" si="114"/>
        <v>5309570</v>
      </c>
    </row>
    <row r="299" spans="1:33" x14ac:dyDescent="0.25">
      <c r="A299" s="7" t="s">
        <v>627</v>
      </c>
      <c r="B299" s="2" t="s">
        <v>1223</v>
      </c>
      <c r="C299" s="4" t="s">
        <v>1222</v>
      </c>
      <c r="D299">
        <f>_xlfn.IFNA(VLOOKUP(A299,'Prior Year data'!$A$1:$T$318,12,FALSE),0)</f>
        <v>86104.344395712717</v>
      </c>
      <c r="E299">
        <f>VLOOKUP(A299,'Basic HH'!$B$1:$Y$319,23,FALSE)</f>
        <v>33873.046244865334</v>
      </c>
      <c r="F299">
        <f>VLOOKUP(A299,'Conc. HH'!$B$1:$Y$319,23,FALSE)</f>
        <v>7949.7449137456952</v>
      </c>
      <c r="G299">
        <f>VLOOKUP(A299,'Targeted HH'!$B$1:$Y$319,23,FALSE)</f>
        <v>16344.492145076552</v>
      </c>
      <c r="H299">
        <f>VLOOKUP(A299,'EFIG HH'!$B$1:$Y$319,23,FALSE)</f>
        <v>22237.284618702608</v>
      </c>
      <c r="I299">
        <f t="shared" si="92"/>
        <v>80404.567922390183</v>
      </c>
      <c r="J299">
        <f t="shared" si="93"/>
        <v>0</v>
      </c>
      <c r="K299" s="43">
        <f t="shared" si="94"/>
        <v>80404.567922390183</v>
      </c>
      <c r="L299">
        <f t="shared" si="95"/>
        <v>0</v>
      </c>
      <c r="M299">
        <f t="shared" si="96"/>
        <v>0</v>
      </c>
      <c r="N299" s="43">
        <f t="shared" si="97"/>
        <v>80404.567922390183</v>
      </c>
      <c r="O299">
        <f t="shared" si="98"/>
        <v>0</v>
      </c>
      <c r="P299">
        <f t="shared" si="99"/>
        <v>0</v>
      </c>
      <c r="Q299" s="43">
        <f t="shared" si="100"/>
        <v>80404.567922390183</v>
      </c>
      <c r="R299">
        <f t="shared" si="101"/>
        <v>0</v>
      </c>
      <c r="S299">
        <f t="shared" si="102"/>
        <v>0</v>
      </c>
      <c r="T299" s="43">
        <f t="shared" si="103"/>
        <v>80404.567922390183</v>
      </c>
      <c r="U299">
        <f t="shared" si="104"/>
        <v>0</v>
      </c>
      <c r="V299">
        <f t="shared" si="105"/>
        <v>0</v>
      </c>
      <c r="W299" s="43">
        <f t="shared" si="106"/>
        <v>80404.567922390183</v>
      </c>
      <c r="X299" s="43">
        <f t="shared" si="107"/>
        <v>0</v>
      </c>
      <c r="Y299" s="27">
        <f t="shared" si="108"/>
        <v>615.5493171394902</v>
      </c>
      <c r="Z299" s="27">
        <f t="shared" si="109"/>
        <v>79789.018605250691</v>
      </c>
      <c r="AA299">
        <f t="shared" si="110"/>
        <v>0</v>
      </c>
      <c r="AB299" s="27">
        <f t="shared" si="111"/>
        <v>79789.018605250691</v>
      </c>
      <c r="AD299" s="27">
        <f t="shared" si="112"/>
        <v>0</v>
      </c>
      <c r="AE299" s="27">
        <f t="shared" si="113"/>
        <v>79789.018605250691</v>
      </c>
      <c r="AF299" s="50"/>
      <c r="AG299" t="str">
        <f t="shared" si="114"/>
        <v>5309600</v>
      </c>
    </row>
    <row r="300" spans="1:33" x14ac:dyDescent="0.25">
      <c r="A300" s="7" t="s">
        <v>629</v>
      </c>
      <c r="B300" s="2" t="s">
        <v>1225</v>
      </c>
      <c r="C300" s="4" t="s">
        <v>1224</v>
      </c>
      <c r="D300">
        <f>_xlfn.IFNA(VLOOKUP(A300,'Prior Year data'!$A$1:$T$318,12,FALSE),0)</f>
        <v>168071.77993523228</v>
      </c>
      <c r="E300">
        <f>VLOOKUP(A300,'Basic HH'!$B$1:$Y$319,23,FALSE)</f>
        <v>63403.394253209488</v>
      </c>
      <c r="F300">
        <f>VLOOKUP(A300,'Conc. HH'!$B$1:$Y$319,23,FALSE)</f>
        <v>17062.693837147683</v>
      </c>
      <c r="G300">
        <f>VLOOKUP(A300,'Targeted HH'!$B$1:$Y$319,23,FALSE)</f>
        <v>38930.076229557832</v>
      </c>
      <c r="H300">
        <f>VLOOKUP(A300,'EFIG HH'!$B$1:$Y$319,23,FALSE)</f>
        <v>52965.805095708703</v>
      </c>
      <c r="I300">
        <f t="shared" si="92"/>
        <v>172361.96941562369</v>
      </c>
      <c r="J300">
        <f t="shared" si="93"/>
        <v>172361.96941562369</v>
      </c>
      <c r="K300" s="43">
        <f t="shared" si="94"/>
        <v>156641.02751285795</v>
      </c>
      <c r="L300">
        <f t="shared" si="95"/>
        <v>11430.752422374324</v>
      </c>
      <c r="M300">
        <f t="shared" si="96"/>
        <v>0</v>
      </c>
      <c r="N300" s="43">
        <f t="shared" si="97"/>
        <v>168071.77993523228</v>
      </c>
      <c r="O300">
        <f t="shared" si="98"/>
        <v>0</v>
      </c>
      <c r="P300">
        <f t="shared" si="99"/>
        <v>0</v>
      </c>
      <c r="Q300" s="43">
        <f t="shared" si="100"/>
        <v>168071.77993523228</v>
      </c>
      <c r="R300">
        <f t="shared" si="101"/>
        <v>0</v>
      </c>
      <c r="S300">
        <f t="shared" si="102"/>
        <v>0</v>
      </c>
      <c r="T300" s="43">
        <f t="shared" si="103"/>
        <v>168071.77993523228</v>
      </c>
      <c r="U300">
        <f t="shared" si="104"/>
        <v>0</v>
      </c>
      <c r="V300">
        <f t="shared" si="105"/>
        <v>0</v>
      </c>
      <c r="W300" s="43">
        <f t="shared" si="106"/>
        <v>168071.77993523228</v>
      </c>
      <c r="X300" s="43">
        <f t="shared" si="107"/>
        <v>4290.1894803914183</v>
      </c>
      <c r="Y300" s="27">
        <f t="shared" si="108"/>
        <v>1286.6989033435436</v>
      </c>
      <c r="Z300" s="27">
        <f t="shared" si="109"/>
        <v>166785.08103188872</v>
      </c>
      <c r="AA300">
        <f t="shared" si="110"/>
        <v>0</v>
      </c>
      <c r="AB300" s="27">
        <f t="shared" si="111"/>
        <v>166785.08103188872</v>
      </c>
      <c r="AD300" s="27">
        <f t="shared" si="112"/>
        <v>0</v>
      </c>
      <c r="AE300" s="27">
        <f t="shared" si="113"/>
        <v>166785.08103188872</v>
      </c>
      <c r="AF300" s="50"/>
      <c r="AG300" t="str">
        <f t="shared" si="114"/>
        <v>5309630</v>
      </c>
    </row>
    <row r="301" spans="1:33" x14ac:dyDescent="0.25">
      <c r="A301" s="7" t="s">
        <v>64</v>
      </c>
      <c r="B301" s="2" t="s">
        <v>1226</v>
      </c>
      <c r="C301" s="4" t="s">
        <v>53</v>
      </c>
      <c r="D301">
        <f>_xlfn.IFNA(VLOOKUP(A301,'Prior Year data'!$A$1:$T$318,12,FALSE),0)</f>
        <v>1992086.0054041618</v>
      </c>
      <c r="E301">
        <f>VLOOKUP(A301,'Basic HH'!$B$1:$Y$319,23,FALSE)</f>
        <v>921909.96831837925</v>
      </c>
      <c r="F301">
        <f>VLOOKUP(A301,'Conc. HH'!$B$1:$Y$319,23,FALSE)</f>
        <v>149048.33912906065</v>
      </c>
      <c r="G301">
        <f>VLOOKUP(A301,'Targeted HH'!$B$1:$Y$319,23,FALSE)</f>
        <v>525610.42879576958</v>
      </c>
      <c r="H301">
        <f>VLOOKUP(A301,'EFIG HH'!$B$1:$Y$319,23,FALSE)</f>
        <v>715112.381586642</v>
      </c>
      <c r="I301">
        <f t="shared" si="92"/>
        <v>2311681.1178298518</v>
      </c>
      <c r="J301">
        <f t="shared" si="93"/>
        <v>2311681.1178298518</v>
      </c>
      <c r="K301" s="43">
        <f t="shared" si="94"/>
        <v>2100835.2759406175</v>
      </c>
      <c r="L301">
        <f t="shared" si="95"/>
        <v>0</v>
      </c>
      <c r="M301">
        <f t="shared" si="96"/>
        <v>108749.27053645579</v>
      </c>
      <c r="N301" s="43">
        <f t="shared" si="97"/>
        <v>2086620.782623763</v>
      </c>
      <c r="O301">
        <f t="shared" si="98"/>
        <v>0</v>
      </c>
      <c r="P301">
        <f t="shared" si="99"/>
        <v>94534.777219601208</v>
      </c>
      <c r="Q301" s="43">
        <f t="shared" si="100"/>
        <v>2086620.782623763</v>
      </c>
      <c r="R301">
        <f t="shared" si="101"/>
        <v>0</v>
      </c>
      <c r="S301">
        <f t="shared" si="102"/>
        <v>94534.777219601208</v>
      </c>
      <c r="T301" s="43">
        <f t="shared" si="103"/>
        <v>2086620.782623763</v>
      </c>
      <c r="U301">
        <f t="shared" si="104"/>
        <v>0</v>
      </c>
      <c r="V301">
        <f t="shared" si="105"/>
        <v>94534.777219601208</v>
      </c>
      <c r="W301" s="43">
        <f t="shared" si="106"/>
        <v>2086620.782623763</v>
      </c>
      <c r="X301" s="43">
        <f t="shared" si="107"/>
        <v>225060.33520608884</v>
      </c>
      <c r="Y301" s="27">
        <f t="shared" si="108"/>
        <v>15974.440645124781</v>
      </c>
      <c r="Z301" s="27">
        <f t="shared" si="109"/>
        <v>2070646.3419786382</v>
      </c>
      <c r="AA301">
        <f t="shared" si="110"/>
        <v>0</v>
      </c>
      <c r="AB301" s="27">
        <f t="shared" si="111"/>
        <v>2070646.3419786382</v>
      </c>
      <c r="AD301" s="27">
        <f t="shared" si="112"/>
        <v>0</v>
      </c>
      <c r="AE301" s="27">
        <f t="shared" si="113"/>
        <v>2070646.3419786382</v>
      </c>
      <c r="AF301" s="50"/>
      <c r="AG301" t="str">
        <f t="shared" si="114"/>
        <v>5309660</v>
      </c>
    </row>
    <row r="302" spans="1:33" x14ac:dyDescent="0.25">
      <c r="A302" s="7" t="s">
        <v>306</v>
      </c>
      <c r="B302" s="2" t="s">
        <v>1228</v>
      </c>
      <c r="C302" s="4" t="s">
        <v>1227</v>
      </c>
      <c r="D302">
        <f>_xlfn.IFNA(VLOOKUP(A302,'Prior Year data'!$A$1:$T$318,12,FALSE),0)</f>
        <v>712153.69481402973</v>
      </c>
      <c r="E302">
        <f>VLOOKUP(A302,'Basic HH'!$B$1:$Y$319,23,FALSE)</f>
        <v>318114.609778938</v>
      </c>
      <c r="F302">
        <f>VLOOKUP(A302,'Conc. HH'!$B$1:$Y$319,23,FALSE)</f>
        <v>0</v>
      </c>
      <c r="G302">
        <f>VLOOKUP(A302,'Targeted HH'!$B$1:$Y$319,23,FALSE)</f>
        <v>152174.3270366526</v>
      </c>
      <c r="H302">
        <f>VLOOKUP(A302,'EFIG HH'!$B$1:$Y$319,23,FALSE)</f>
        <v>209166.35875885526</v>
      </c>
      <c r="I302">
        <f t="shared" si="92"/>
        <v>679455.29557444586</v>
      </c>
      <c r="J302">
        <f t="shared" si="93"/>
        <v>0</v>
      </c>
      <c r="K302" s="43">
        <f t="shared" si="94"/>
        <v>679455.29557444586</v>
      </c>
      <c r="L302">
        <f t="shared" si="95"/>
        <v>0</v>
      </c>
      <c r="M302">
        <f t="shared" si="96"/>
        <v>0</v>
      </c>
      <c r="N302" s="43">
        <f t="shared" si="97"/>
        <v>679455.29557444586</v>
      </c>
      <c r="O302">
        <f t="shared" si="98"/>
        <v>0</v>
      </c>
      <c r="P302">
        <f t="shared" si="99"/>
        <v>0</v>
      </c>
      <c r="Q302" s="43">
        <f t="shared" si="100"/>
        <v>679455.29557444586</v>
      </c>
      <c r="R302">
        <f t="shared" si="101"/>
        <v>0</v>
      </c>
      <c r="S302">
        <f t="shared" si="102"/>
        <v>0</v>
      </c>
      <c r="T302" s="43">
        <f t="shared" si="103"/>
        <v>679455.29557444586</v>
      </c>
      <c r="U302">
        <f t="shared" si="104"/>
        <v>0</v>
      </c>
      <c r="V302">
        <f t="shared" si="105"/>
        <v>0</v>
      </c>
      <c r="W302" s="43">
        <f t="shared" si="106"/>
        <v>679455.29557444586</v>
      </c>
      <c r="X302" s="43">
        <f t="shared" si="107"/>
        <v>0</v>
      </c>
      <c r="Y302" s="27">
        <f t="shared" si="108"/>
        <v>5201.6726664256385</v>
      </c>
      <c r="Z302" s="27">
        <f t="shared" si="109"/>
        <v>674253.62290802028</v>
      </c>
      <c r="AA302">
        <f t="shared" si="110"/>
        <v>0</v>
      </c>
      <c r="AB302" s="27">
        <f t="shared" si="111"/>
        <v>674253.62290802028</v>
      </c>
      <c r="AD302" s="27">
        <f t="shared" si="112"/>
        <v>0</v>
      </c>
      <c r="AE302" s="27">
        <f t="shared" si="113"/>
        <v>674253.62290802028</v>
      </c>
      <c r="AF302" s="50"/>
      <c r="AG302" t="str">
        <f t="shared" si="114"/>
        <v>5309690</v>
      </c>
    </row>
    <row r="303" spans="1:33" x14ac:dyDescent="0.25">
      <c r="A303" s="7" t="s">
        <v>255</v>
      </c>
      <c r="B303" s="2" t="s">
        <v>1230</v>
      </c>
      <c r="C303" s="4" t="s">
        <v>1229</v>
      </c>
      <c r="D303">
        <f>_xlfn.IFNA(VLOOKUP(A303,'Prior Year data'!$A$1:$T$318,12,FALSE),0)</f>
        <v>1227317.1105470448</v>
      </c>
      <c r="E303">
        <f>VLOOKUP(A303,'Basic HH'!$B$1:$Y$319,23,FALSE)</f>
        <v>640113.72006322443</v>
      </c>
      <c r="F303">
        <f>VLOOKUP(A303,'Conc. HH'!$B$1:$Y$319,23,FALSE)</f>
        <v>0</v>
      </c>
      <c r="G303">
        <f>VLOOKUP(A303,'Targeted HH'!$B$1:$Y$319,23,FALSE)</f>
        <v>318508.0520579021</v>
      </c>
      <c r="H303">
        <f>VLOOKUP(A303,'EFIG HH'!$B$1:$Y$319,23,FALSE)</f>
        <v>433341.95667215361</v>
      </c>
      <c r="I303">
        <f t="shared" si="92"/>
        <v>1391963.7287932802</v>
      </c>
      <c r="J303">
        <f t="shared" si="93"/>
        <v>1391963.7287932802</v>
      </c>
      <c r="K303" s="43">
        <f t="shared" si="94"/>
        <v>1265004.2783686395</v>
      </c>
      <c r="L303">
        <f t="shared" si="95"/>
        <v>0</v>
      </c>
      <c r="M303">
        <f t="shared" si="96"/>
        <v>37687.167821594747</v>
      </c>
      <c r="N303" s="43">
        <f t="shared" si="97"/>
        <v>1260078.2315778092</v>
      </c>
      <c r="O303">
        <f t="shared" si="98"/>
        <v>0</v>
      </c>
      <c r="P303">
        <f t="shared" si="99"/>
        <v>32761.121030764421</v>
      </c>
      <c r="Q303" s="43">
        <f t="shared" si="100"/>
        <v>1260078.2315778092</v>
      </c>
      <c r="R303">
        <f t="shared" si="101"/>
        <v>0</v>
      </c>
      <c r="S303">
        <f t="shared" si="102"/>
        <v>32761.121030764421</v>
      </c>
      <c r="T303" s="43">
        <f t="shared" si="103"/>
        <v>1260078.2315778092</v>
      </c>
      <c r="U303">
        <f t="shared" si="104"/>
        <v>0</v>
      </c>
      <c r="V303">
        <f t="shared" si="105"/>
        <v>32761.121030764421</v>
      </c>
      <c r="W303" s="43">
        <f t="shared" si="106"/>
        <v>1260078.2315778092</v>
      </c>
      <c r="X303" s="43">
        <f t="shared" si="107"/>
        <v>131885.497215471</v>
      </c>
      <c r="Y303" s="27">
        <f t="shared" si="108"/>
        <v>9646.7192727002403</v>
      </c>
      <c r="Z303" s="27">
        <f t="shared" si="109"/>
        <v>1250431.5123051091</v>
      </c>
      <c r="AA303">
        <f t="shared" si="110"/>
        <v>0</v>
      </c>
      <c r="AB303" s="27">
        <f t="shared" si="111"/>
        <v>1250431.5123051091</v>
      </c>
      <c r="AD303" s="27">
        <f t="shared" si="112"/>
        <v>0</v>
      </c>
      <c r="AE303" s="27">
        <f t="shared" si="113"/>
        <v>1250431.5123051091</v>
      </c>
      <c r="AF303" s="50"/>
      <c r="AG303" t="str">
        <f t="shared" si="114"/>
        <v>5309720</v>
      </c>
    </row>
    <row r="304" spans="1:33" x14ac:dyDescent="0.25">
      <c r="A304" s="7" t="s">
        <v>68</v>
      </c>
      <c r="B304" s="2" t="s">
        <v>1231</v>
      </c>
      <c r="C304" s="4" t="s">
        <v>13</v>
      </c>
      <c r="D304">
        <f>_xlfn.IFNA(VLOOKUP(A304,'Prior Year data'!$A$1:$T$318,12,FALSE),0)</f>
        <v>0</v>
      </c>
      <c r="E304">
        <f>VLOOKUP(A304,'Basic HH'!$B$1:$Y$319,23,FALSE)</f>
        <v>0</v>
      </c>
      <c r="F304">
        <f>VLOOKUP(A304,'Conc. HH'!$B$1:$Y$319,23,FALSE)</f>
        <v>0</v>
      </c>
      <c r="G304">
        <f>VLOOKUP(A304,'Targeted HH'!$B$1:$Y$319,23,FALSE)</f>
        <v>0</v>
      </c>
      <c r="H304">
        <f>VLOOKUP(A304,'EFIG HH'!$B$1:$Y$319,23,FALSE)</f>
        <v>0</v>
      </c>
      <c r="I304">
        <f t="shared" si="92"/>
        <v>0</v>
      </c>
      <c r="J304">
        <f t="shared" si="93"/>
        <v>0</v>
      </c>
      <c r="K304" s="43">
        <f t="shared" si="94"/>
        <v>0</v>
      </c>
      <c r="L304">
        <f t="shared" si="95"/>
        <v>0</v>
      </c>
      <c r="M304">
        <f t="shared" si="96"/>
        <v>0</v>
      </c>
      <c r="N304" s="43">
        <f t="shared" si="97"/>
        <v>0</v>
      </c>
      <c r="O304">
        <f t="shared" si="98"/>
        <v>0</v>
      </c>
      <c r="P304">
        <f t="shared" si="99"/>
        <v>0</v>
      </c>
      <c r="Q304" s="43">
        <f t="shared" si="100"/>
        <v>0</v>
      </c>
      <c r="R304">
        <f t="shared" si="101"/>
        <v>0</v>
      </c>
      <c r="S304">
        <f t="shared" si="102"/>
        <v>0</v>
      </c>
      <c r="T304" s="43">
        <f t="shared" si="103"/>
        <v>0</v>
      </c>
      <c r="U304">
        <f t="shared" si="104"/>
        <v>0</v>
      </c>
      <c r="V304">
        <f t="shared" si="105"/>
        <v>0</v>
      </c>
      <c r="W304" s="43">
        <f t="shared" si="106"/>
        <v>0</v>
      </c>
      <c r="X304" s="43">
        <f t="shared" si="107"/>
        <v>0</v>
      </c>
      <c r="Y304" s="27">
        <f t="shared" si="108"/>
        <v>0</v>
      </c>
      <c r="Z304" s="27">
        <f t="shared" si="109"/>
        <v>0</v>
      </c>
      <c r="AA304">
        <f t="shared" si="110"/>
        <v>0</v>
      </c>
      <c r="AB304" s="27">
        <f t="shared" si="111"/>
        <v>0</v>
      </c>
      <c r="AD304" s="27">
        <f t="shared" si="112"/>
        <v>0</v>
      </c>
      <c r="AE304" s="27">
        <f t="shared" si="113"/>
        <v>0</v>
      </c>
      <c r="AF304" s="50"/>
      <c r="AG304" t="str">
        <f t="shared" si="114"/>
        <v>5309740</v>
      </c>
    </row>
    <row r="305" spans="1:33" x14ac:dyDescent="0.25">
      <c r="A305" s="7" t="s">
        <v>631</v>
      </c>
      <c r="B305" s="2" t="s">
        <v>1233</v>
      </c>
      <c r="C305" s="4" t="s">
        <v>1232</v>
      </c>
      <c r="D305">
        <f>_xlfn.IFNA(VLOOKUP(A305,'Prior Year data'!$A$1:$T$318,12,FALSE),0)</f>
        <v>212702.66845369089</v>
      </c>
      <c r="E305">
        <f>VLOOKUP(A305,'Basic HH'!$B$1:$Y$319,23,FALSE)</f>
        <v>81642.726846598511</v>
      </c>
      <c r="F305">
        <f>VLOOKUP(A305,'Conc. HH'!$B$1:$Y$319,23,FALSE)</f>
        <v>21971.140009477844</v>
      </c>
      <c r="G305">
        <f>VLOOKUP(A305,'Targeted HH'!$B$1:$Y$319,23,FALSE)</f>
        <v>45679.188511994878</v>
      </c>
      <c r="H305">
        <f>VLOOKUP(A305,'EFIG HH'!$B$1:$Y$319,23,FALSE)</f>
        <v>62148.221374904213</v>
      </c>
      <c r="I305">
        <f t="shared" si="92"/>
        <v>211441.27674297543</v>
      </c>
      <c r="J305">
        <f t="shared" si="93"/>
        <v>0</v>
      </c>
      <c r="K305" s="43">
        <f t="shared" si="94"/>
        <v>211441.27674297543</v>
      </c>
      <c r="L305">
        <f t="shared" si="95"/>
        <v>0</v>
      </c>
      <c r="M305">
        <f t="shared" si="96"/>
        <v>0</v>
      </c>
      <c r="N305" s="43">
        <f t="shared" si="97"/>
        <v>211441.27674297543</v>
      </c>
      <c r="O305">
        <f t="shared" si="98"/>
        <v>0</v>
      </c>
      <c r="P305">
        <f t="shared" si="99"/>
        <v>0</v>
      </c>
      <c r="Q305" s="43">
        <f t="shared" si="100"/>
        <v>211441.27674297543</v>
      </c>
      <c r="R305">
        <f t="shared" si="101"/>
        <v>0</v>
      </c>
      <c r="S305">
        <f t="shared" si="102"/>
        <v>0</v>
      </c>
      <c r="T305" s="43">
        <f t="shared" si="103"/>
        <v>211441.27674297543</v>
      </c>
      <c r="U305">
        <f t="shared" si="104"/>
        <v>0</v>
      </c>
      <c r="V305">
        <f t="shared" si="105"/>
        <v>0</v>
      </c>
      <c r="W305" s="43">
        <f t="shared" si="106"/>
        <v>211441.27674297543</v>
      </c>
      <c r="X305" s="43">
        <f t="shared" si="107"/>
        <v>0</v>
      </c>
      <c r="Y305" s="27">
        <f t="shared" si="108"/>
        <v>1618.7206383581233</v>
      </c>
      <c r="Z305" s="27">
        <f t="shared" si="109"/>
        <v>209822.55610461731</v>
      </c>
      <c r="AA305">
        <f t="shared" si="110"/>
        <v>0</v>
      </c>
      <c r="AB305" s="27">
        <f t="shared" si="111"/>
        <v>209822.55610461731</v>
      </c>
      <c r="AD305" s="27">
        <f t="shared" si="112"/>
        <v>0</v>
      </c>
      <c r="AE305" s="27">
        <f t="shared" si="113"/>
        <v>209822.55610461731</v>
      </c>
      <c r="AF305" s="50"/>
      <c r="AG305" t="str">
        <f t="shared" si="114"/>
        <v>5309750</v>
      </c>
    </row>
    <row r="306" spans="1:33" x14ac:dyDescent="0.25">
      <c r="A306" s="7" t="s">
        <v>256</v>
      </c>
      <c r="B306" s="2" t="s">
        <v>1235</v>
      </c>
      <c r="C306" s="4" t="s">
        <v>1234</v>
      </c>
      <c r="D306">
        <f>_xlfn.IFNA(VLOOKUP(A306,'Prior Year data'!$A$1:$T$318,12,FALSE),0)</f>
        <v>196252.2039415584</v>
      </c>
      <c r="E306">
        <f>VLOOKUP(A306,'Basic HH'!$B$1:$Y$319,23,FALSE)</f>
        <v>168111.5924797818</v>
      </c>
      <c r="F306">
        <f>VLOOKUP(A306,'Conc. HH'!$B$1:$Y$319,23,FALSE)</f>
        <v>0</v>
      </c>
      <c r="G306">
        <f>VLOOKUP(A306,'Targeted HH'!$B$1:$Y$319,23,FALSE)</f>
        <v>0</v>
      </c>
      <c r="H306">
        <f>VLOOKUP(A306,'EFIG HH'!$B$1:$Y$319,23,FALSE)</f>
        <v>0</v>
      </c>
      <c r="I306">
        <f t="shared" si="92"/>
        <v>168111.5924797818</v>
      </c>
      <c r="J306">
        <f t="shared" si="93"/>
        <v>0</v>
      </c>
      <c r="K306" s="43">
        <f t="shared" si="94"/>
        <v>168111.5924797818</v>
      </c>
      <c r="L306">
        <f t="shared" si="95"/>
        <v>0</v>
      </c>
      <c r="M306">
        <f t="shared" si="96"/>
        <v>0</v>
      </c>
      <c r="N306" s="43">
        <f t="shared" si="97"/>
        <v>168111.5924797818</v>
      </c>
      <c r="O306">
        <f t="shared" si="98"/>
        <v>0</v>
      </c>
      <c r="P306">
        <f t="shared" si="99"/>
        <v>0</v>
      </c>
      <c r="Q306" s="43">
        <f t="shared" si="100"/>
        <v>168111.5924797818</v>
      </c>
      <c r="R306">
        <f t="shared" si="101"/>
        <v>0</v>
      </c>
      <c r="S306">
        <f t="shared" si="102"/>
        <v>0</v>
      </c>
      <c r="T306" s="43">
        <f t="shared" si="103"/>
        <v>168111.5924797818</v>
      </c>
      <c r="U306">
        <f t="shared" si="104"/>
        <v>0</v>
      </c>
      <c r="V306">
        <f t="shared" si="105"/>
        <v>0</v>
      </c>
      <c r="W306" s="43">
        <f t="shared" si="106"/>
        <v>168111.5924797818</v>
      </c>
      <c r="X306" s="43">
        <f t="shared" si="107"/>
        <v>0</v>
      </c>
      <c r="Y306" s="27">
        <f t="shared" si="108"/>
        <v>1287.0036942931661</v>
      </c>
      <c r="Z306" s="27">
        <f t="shared" si="109"/>
        <v>166824.58878548862</v>
      </c>
      <c r="AA306">
        <f t="shared" si="110"/>
        <v>0</v>
      </c>
      <c r="AB306" s="27">
        <f t="shared" si="111"/>
        <v>166824.58878548862</v>
      </c>
      <c r="AD306" s="27">
        <f t="shared" si="112"/>
        <v>0</v>
      </c>
      <c r="AE306" s="27">
        <f t="shared" si="113"/>
        <v>166824.58878548862</v>
      </c>
      <c r="AF306" s="50"/>
      <c r="AG306" t="str">
        <f t="shared" si="114"/>
        <v>5309780</v>
      </c>
    </row>
    <row r="307" spans="1:33" x14ac:dyDescent="0.25">
      <c r="A307" s="7" t="s">
        <v>307</v>
      </c>
      <c r="B307" s="2" t="s">
        <v>1237</v>
      </c>
      <c r="C307" s="4" t="s">
        <v>1236</v>
      </c>
      <c r="D307">
        <f>_xlfn.IFNA(VLOOKUP(A307,'Prior Year data'!$A$1:$T$318,12,FALSE),0)</f>
        <v>250469.01500773829</v>
      </c>
      <c r="E307">
        <f>VLOOKUP(A307,'Basic HH'!$B$1:$Y$319,23,FALSE)</f>
        <v>130280.94709563591</v>
      </c>
      <c r="F307">
        <f>VLOOKUP(A307,'Conc. HH'!$B$1:$Y$319,23,FALSE)</f>
        <v>0</v>
      </c>
      <c r="G307">
        <f>VLOOKUP(A307,'Targeted HH'!$B$1:$Y$319,23,FALSE)</f>
        <v>62863.431327217528</v>
      </c>
      <c r="H307">
        <f>VLOOKUP(A307,'EFIG HH'!$B$1:$Y$319,23,FALSE)</f>
        <v>85528.017764240823</v>
      </c>
      <c r="I307">
        <f t="shared" si="92"/>
        <v>278672.39618709427</v>
      </c>
      <c r="J307">
        <f t="shared" si="93"/>
        <v>278672.39618709427</v>
      </c>
      <c r="K307" s="43">
        <f t="shared" si="94"/>
        <v>253254.99950025466</v>
      </c>
      <c r="L307">
        <f t="shared" si="95"/>
        <v>0</v>
      </c>
      <c r="M307">
        <f t="shared" si="96"/>
        <v>2785.9844925163779</v>
      </c>
      <c r="N307" s="43">
        <f t="shared" si="97"/>
        <v>252890.84663969401</v>
      </c>
      <c r="O307">
        <f t="shared" si="98"/>
        <v>0</v>
      </c>
      <c r="P307">
        <f t="shared" si="99"/>
        <v>2421.8316319557198</v>
      </c>
      <c r="Q307" s="43">
        <f t="shared" si="100"/>
        <v>252890.84663969401</v>
      </c>
      <c r="R307">
        <f t="shared" si="101"/>
        <v>0</v>
      </c>
      <c r="S307">
        <f t="shared" si="102"/>
        <v>2421.8316319557198</v>
      </c>
      <c r="T307" s="43">
        <f t="shared" si="103"/>
        <v>252890.84663969401</v>
      </c>
      <c r="U307">
        <f t="shared" si="104"/>
        <v>0</v>
      </c>
      <c r="V307">
        <f t="shared" si="105"/>
        <v>2421.8316319557198</v>
      </c>
      <c r="W307" s="43">
        <f t="shared" si="106"/>
        <v>252890.84663969401</v>
      </c>
      <c r="X307" s="43">
        <f t="shared" si="107"/>
        <v>25781.549547400267</v>
      </c>
      <c r="Y307" s="27">
        <f t="shared" si="108"/>
        <v>1936.0440828454823</v>
      </c>
      <c r="Z307" s="27">
        <f t="shared" si="109"/>
        <v>250954.80255684853</v>
      </c>
      <c r="AA307">
        <f t="shared" si="110"/>
        <v>0</v>
      </c>
      <c r="AB307" s="27">
        <f t="shared" si="111"/>
        <v>250954.80255684853</v>
      </c>
      <c r="AD307" s="27">
        <f t="shared" si="112"/>
        <v>0</v>
      </c>
      <c r="AE307" s="27">
        <f t="shared" si="113"/>
        <v>250954.80255684853</v>
      </c>
      <c r="AF307" s="50"/>
      <c r="AG307" t="str">
        <f t="shared" si="114"/>
        <v>5309810</v>
      </c>
    </row>
    <row r="308" spans="1:33" x14ac:dyDescent="0.25">
      <c r="A308" s="7" t="s">
        <v>70</v>
      </c>
      <c r="B308" s="2" t="s">
        <v>1238</v>
      </c>
      <c r="C308" s="4" t="s">
        <v>19</v>
      </c>
      <c r="D308">
        <f>_xlfn.IFNA(VLOOKUP(A308,'Prior Year data'!$A$1:$T$318,12,FALSE),0)</f>
        <v>82909.542787263592</v>
      </c>
      <c r="E308">
        <f>VLOOKUP(A308,'Basic HH'!$B$1:$Y$319,23,FALSE)</f>
        <v>27938.677967940141</v>
      </c>
      <c r="F308">
        <f>VLOOKUP(A308,'Conc. HH'!$B$1:$Y$319,23,FALSE)</f>
        <v>7361.3811916204668</v>
      </c>
      <c r="G308">
        <f>VLOOKUP(A308,'Targeted HH'!$B$1:$Y$319,23,FALSE)</f>
        <v>20388.675402595105</v>
      </c>
      <c r="H308">
        <f>VLOOKUP(A308,'EFIG HH'!$B$1:$Y$319,23,FALSE)</f>
        <v>28112.107567798615</v>
      </c>
      <c r="I308">
        <f t="shared" si="92"/>
        <v>83800.842129954341</v>
      </c>
      <c r="J308">
        <f t="shared" si="93"/>
        <v>83800.842129954341</v>
      </c>
      <c r="K308" s="43">
        <f t="shared" si="94"/>
        <v>76157.461313440901</v>
      </c>
      <c r="L308">
        <f t="shared" si="95"/>
        <v>6752.0814738226909</v>
      </c>
      <c r="M308">
        <f t="shared" si="96"/>
        <v>0</v>
      </c>
      <c r="N308" s="43">
        <f t="shared" si="97"/>
        <v>82909.542787263592</v>
      </c>
      <c r="O308">
        <f t="shared" si="98"/>
        <v>0</v>
      </c>
      <c r="P308">
        <f t="shared" si="99"/>
        <v>0</v>
      </c>
      <c r="Q308" s="43">
        <f t="shared" si="100"/>
        <v>82909.542787263592</v>
      </c>
      <c r="R308">
        <f t="shared" si="101"/>
        <v>0</v>
      </c>
      <c r="S308">
        <f t="shared" si="102"/>
        <v>0</v>
      </c>
      <c r="T308" s="43">
        <f t="shared" si="103"/>
        <v>82909.542787263592</v>
      </c>
      <c r="U308">
        <f t="shared" si="104"/>
        <v>0</v>
      </c>
      <c r="V308">
        <f t="shared" si="105"/>
        <v>0</v>
      </c>
      <c r="W308" s="43">
        <f t="shared" si="106"/>
        <v>82909.542787263592</v>
      </c>
      <c r="X308" s="43">
        <f t="shared" si="107"/>
        <v>891.29934269074874</v>
      </c>
      <c r="Y308" s="27">
        <f t="shared" si="108"/>
        <v>634.72653066562668</v>
      </c>
      <c r="Z308" s="27">
        <f t="shared" si="109"/>
        <v>82274.816256597958</v>
      </c>
      <c r="AA308">
        <f t="shared" si="110"/>
        <v>0</v>
      </c>
      <c r="AB308" s="27">
        <f t="shared" si="111"/>
        <v>82274.816256597958</v>
      </c>
      <c r="AD308" s="27">
        <f t="shared" si="112"/>
        <v>0</v>
      </c>
      <c r="AE308" s="27">
        <f t="shared" si="113"/>
        <v>82274.816256597958</v>
      </c>
      <c r="AF308" s="50"/>
      <c r="AG308" t="str">
        <f t="shared" si="114"/>
        <v>5300955</v>
      </c>
    </row>
    <row r="309" spans="1:33" x14ac:dyDescent="0.25">
      <c r="A309" s="7" t="s">
        <v>258</v>
      </c>
      <c r="B309" s="2" t="s">
        <v>1240</v>
      </c>
      <c r="C309" s="4" t="s">
        <v>1239</v>
      </c>
      <c r="D309">
        <f>_xlfn.IFNA(VLOOKUP(A309,'Prior Year data'!$A$1:$T$318,12,FALSE),0)</f>
        <v>52129.492671622822</v>
      </c>
      <c r="E309">
        <f>VLOOKUP(A309,'Basic HH'!$B$1:$Y$319,23,FALSE)</f>
        <v>25187.649771822951</v>
      </c>
      <c r="F309">
        <f>VLOOKUP(A309,'Conc. HH'!$B$1:$Y$319,23,FALSE)</f>
        <v>0</v>
      </c>
      <c r="G309">
        <f>VLOOKUP(A309,'Targeted HH'!$B$1:$Y$319,23,FALSE)</f>
        <v>12153.596723262059</v>
      </c>
      <c r="H309">
        <f>VLOOKUP(A309,'EFIG HH'!$B$1:$Y$319,23,FALSE)</f>
        <v>16535.416767753224</v>
      </c>
      <c r="I309">
        <f t="shared" si="92"/>
        <v>53876.663262838236</v>
      </c>
      <c r="J309">
        <f t="shared" si="93"/>
        <v>53876.663262838236</v>
      </c>
      <c r="K309" s="43">
        <f t="shared" si="94"/>
        <v>48962.633236715912</v>
      </c>
      <c r="L309">
        <f t="shared" si="95"/>
        <v>3166.8594349069099</v>
      </c>
      <c r="M309">
        <f t="shared" si="96"/>
        <v>0</v>
      </c>
      <c r="N309" s="43">
        <f t="shared" si="97"/>
        <v>52129.492671622822</v>
      </c>
      <c r="O309">
        <f t="shared" si="98"/>
        <v>0</v>
      </c>
      <c r="P309">
        <f t="shared" si="99"/>
        <v>0</v>
      </c>
      <c r="Q309" s="43">
        <f t="shared" si="100"/>
        <v>52129.492671622822</v>
      </c>
      <c r="R309">
        <f t="shared" si="101"/>
        <v>0</v>
      </c>
      <c r="S309">
        <f t="shared" si="102"/>
        <v>0</v>
      </c>
      <c r="T309" s="43">
        <f t="shared" si="103"/>
        <v>52129.492671622822</v>
      </c>
      <c r="U309">
        <f t="shared" si="104"/>
        <v>0</v>
      </c>
      <c r="V309">
        <f t="shared" si="105"/>
        <v>0</v>
      </c>
      <c r="W309" s="43">
        <f t="shared" si="106"/>
        <v>52129.492671622822</v>
      </c>
      <c r="X309" s="43">
        <f t="shared" si="107"/>
        <v>1747.1705912154139</v>
      </c>
      <c r="Y309" s="27">
        <f t="shared" si="108"/>
        <v>399.08520679842991</v>
      </c>
      <c r="Z309" s="27">
        <f t="shared" si="109"/>
        <v>51730.407464824391</v>
      </c>
      <c r="AA309">
        <f t="shared" si="110"/>
        <v>0</v>
      </c>
      <c r="AB309" s="27">
        <f t="shared" si="111"/>
        <v>51730.407464824391</v>
      </c>
      <c r="AD309" s="27">
        <f t="shared" si="112"/>
        <v>0</v>
      </c>
      <c r="AE309" s="27">
        <f t="shared" si="113"/>
        <v>51730.407464824391</v>
      </c>
      <c r="AF309" s="50"/>
      <c r="AG309" t="str">
        <f t="shared" si="114"/>
        <v>5309840</v>
      </c>
    </row>
    <row r="310" spans="1:33" x14ac:dyDescent="0.25">
      <c r="A310" s="7" t="s">
        <v>633</v>
      </c>
      <c r="B310" s="2" t="s">
        <v>1242</v>
      </c>
      <c r="C310" s="4" t="s">
        <v>1241</v>
      </c>
      <c r="D310">
        <f>_xlfn.IFNA(VLOOKUP(A310,'Prior Year data'!$A$1:$T$318,12,FALSE),0)</f>
        <v>106610.93639153497</v>
      </c>
      <c r="E310">
        <f>VLOOKUP(A310,'Basic HH'!$B$1:$Y$319,23,FALSE)</f>
        <v>37011.539395834203</v>
      </c>
      <c r="F310">
        <f>VLOOKUP(A310,'Conc. HH'!$B$1:$Y$319,23,FALSE)</f>
        <v>9623.296974698922</v>
      </c>
      <c r="G310">
        <f>VLOOKUP(A310,'Targeted HH'!$B$1:$Y$319,23,FALSE)</f>
        <v>19756.00479126177</v>
      </c>
      <c r="H310">
        <f>VLOOKUP(A310,'EFIG HH'!$B$1:$Y$319,23,FALSE)</f>
        <v>24933.148748039624</v>
      </c>
      <c r="I310">
        <f t="shared" si="92"/>
        <v>91323.989909834519</v>
      </c>
      <c r="J310">
        <f t="shared" si="93"/>
        <v>0</v>
      </c>
      <c r="K310" s="43">
        <f t="shared" si="94"/>
        <v>91323.989909834519</v>
      </c>
      <c r="L310">
        <f t="shared" si="95"/>
        <v>0</v>
      </c>
      <c r="M310">
        <f t="shared" si="96"/>
        <v>0</v>
      </c>
      <c r="N310" s="43">
        <f t="shared" si="97"/>
        <v>91323.989909834519</v>
      </c>
      <c r="O310">
        <f t="shared" si="98"/>
        <v>0</v>
      </c>
      <c r="P310">
        <f t="shared" si="99"/>
        <v>0</v>
      </c>
      <c r="Q310" s="43">
        <f t="shared" si="100"/>
        <v>91323.989909834519</v>
      </c>
      <c r="R310">
        <f t="shared" si="101"/>
        <v>0</v>
      </c>
      <c r="S310">
        <f t="shared" si="102"/>
        <v>0</v>
      </c>
      <c r="T310" s="43">
        <f t="shared" si="103"/>
        <v>91323.989909834519</v>
      </c>
      <c r="U310">
        <f t="shared" si="104"/>
        <v>0</v>
      </c>
      <c r="V310">
        <f t="shared" si="105"/>
        <v>0</v>
      </c>
      <c r="W310" s="43">
        <f t="shared" si="106"/>
        <v>91323.989909834519</v>
      </c>
      <c r="X310" s="43">
        <f t="shared" si="107"/>
        <v>0</v>
      </c>
      <c r="Y310" s="27">
        <f t="shared" si="108"/>
        <v>699.14460185536757</v>
      </c>
      <c r="Z310" s="27">
        <f t="shared" si="109"/>
        <v>90624.845307979151</v>
      </c>
      <c r="AA310">
        <f t="shared" si="110"/>
        <v>0</v>
      </c>
      <c r="AB310" s="27">
        <f t="shared" si="111"/>
        <v>90624.845307979151</v>
      </c>
      <c r="AD310" s="27">
        <f t="shared" si="112"/>
        <v>0</v>
      </c>
      <c r="AE310" s="27">
        <f t="shared" si="113"/>
        <v>90624.845307979151</v>
      </c>
      <c r="AF310" s="50"/>
      <c r="AG310" t="str">
        <f t="shared" si="114"/>
        <v>5309870</v>
      </c>
    </row>
    <row r="311" spans="1:33" x14ac:dyDescent="0.25">
      <c r="A311" s="7" t="s">
        <v>635</v>
      </c>
      <c r="B311" s="2" t="s">
        <v>1244</v>
      </c>
      <c r="C311" s="4" t="s">
        <v>1243</v>
      </c>
      <c r="D311">
        <f>_xlfn.IFNA(VLOOKUP(A311,'Prior Year data'!$A$1:$T$318,12,FALSE),0)</f>
        <v>26931.746411086715</v>
      </c>
      <c r="E311">
        <f>VLOOKUP(A311,'Basic HH'!$B$1:$Y$319,23,FALSE)</f>
        <v>13896.634356867831</v>
      </c>
      <c r="F311">
        <f>VLOOKUP(A311,'Conc. HH'!$B$1:$Y$319,23,FALSE)</f>
        <v>2133.5378748984335</v>
      </c>
      <c r="G311">
        <f>VLOOKUP(A311,'Targeted HH'!$B$1:$Y$319,23,FALSE)</f>
        <v>6705.4326749032025</v>
      </c>
      <c r="H311">
        <f>VLOOKUP(A311,'EFIG HH'!$B$1:$Y$319,23,FALSE)</f>
        <v>9122.9885615190215</v>
      </c>
      <c r="I311">
        <f t="shared" si="92"/>
        <v>31858.59346818849</v>
      </c>
      <c r="J311">
        <f t="shared" si="93"/>
        <v>31858.59346818849</v>
      </c>
      <c r="K311" s="43">
        <f t="shared" si="94"/>
        <v>28952.806891745346</v>
      </c>
      <c r="L311">
        <f t="shared" si="95"/>
        <v>0</v>
      </c>
      <c r="M311">
        <f t="shared" si="96"/>
        <v>2021.0604806586307</v>
      </c>
      <c r="N311" s="43">
        <f t="shared" si="97"/>
        <v>28688.636377740375</v>
      </c>
      <c r="O311">
        <f t="shared" si="98"/>
        <v>0</v>
      </c>
      <c r="P311">
        <f t="shared" si="99"/>
        <v>1756.8899666536599</v>
      </c>
      <c r="Q311" s="43">
        <f t="shared" si="100"/>
        <v>28688.636377740375</v>
      </c>
      <c r="R311">
        <f t="shared" si="101"/>
        <v>0</v>
      </c>
      <c r="S311">
        <f t="shared" si="102"/>
        <v>1756.8899666536599</v>
      </c>
      <c r="T311" s="43">
        <f t="shared" si="103"/>
        <v>28688.636377740375</v>
      </c>
      <c r="U311">
        <f t="shared" si="104"/>
        <v>0</v>
      </c>
      <c r="V311">
        <f t="shared" si="105"/>
        <v>1756.8899666536599</v>
      </c>
      <c r="W311" s="43">
        <f t="shared" si="106"/>
        <v>28688.636377740375</v>
      </c>
      <c r="X311" s="43">
        <f t="shared" si="107"/>
        <v>3169.9570904481152</v>
      </c>
      <c r="Y311" s="27">
        <f t="shared" si="108"/>
        <v>219.63019002883874</v>
      </c>
      <c r="Z311" s="27">
        <f t="shared" si="109"/>
        <v>28469.006187711537</v>
      </c>
      <c r="AA311">
        <f t="shared" si="110"/>
        <v>0</v>
      </c>
      <c r="AB311" s="27">
        <f t="shared" si="111"/>
        <v>28469.006187711537</v>
      </c>
      <c r="AD311" s="27">
        <f t="shared" si="112"/>
        <v>0</v>
      </c>
      <c r="AE311" s="27">
        <f t="shared" si="113"/>
        <v>28469.006187711537</v>
      </c>
      <c r="AF311" s="50"/>
      <c r="AG311" t="str">
        <f t="shared" si="114"/>
        <v>5309900</v>
      </c>
    </row>
    <row r="312" spans="1:33" x14ac:dyDescent="0.25">
      <c r="A312" s="7" t="s">
        <v>637</v>
      </c>
      <c r="B312" s="2" t="s">
        <v>1246</v>
      </c>
      <c r="C312" s="4" t="s">
        <v>1245</v>
      </c>
      <c r="D312">
        <f>_xlfn.IFNA(VLOOKUP(A312,'Prior Year data'!$A$1:$T$318,12,FALSE),0)</f>
        <v>209656.21919548104</v>
      </c>
      <c r="E312">
        <f>VLOOKUP(A312,'Basic HH'!$B$1:$Y$319,23,FALSE)</f>
        <v>84248.345788511171</v>
      </c>
      <c r="F312">
        <f>VLOOKUP(A312,'Conc. HH'!$B$1:$Y$319,23,FALSE)</f>
        <v>18754.397102367388</v>
      </c>
      <c r="G312">
        <f>VLOOKUP(A312,'Targeted HH'!$B$1:$Y$319,23,FALSE)</f>
        <v>40651.685591600668</v>
      </c>
      <c r="H312">
        <f>VLOOKUP(A312,'EFIG HH'!$B$1:$Y$319,23,FALSE)</f>
        <v>55308.118154209071</v>
      </c>
      <c r="I312">
        <f t="shared" si="92"/>
        <v>198962.54663668829</v>
      </c>
      <c r="J312">
        <f t="shared" si="93"/>
        <v>0</v>
      </c>
      <c r="K312" s="43">
        <f t="shared" si="94"/>
        <v>198962.54663668829</v>
      </c>
      <c r="L312">
        <f t="shared" si="95"/>
        <v>0</v>
      </c>
      <c r="M312">
        <f t="shared" si="96"/>
        <v>0</v>
      </c>
      <c r="N312" s="43">
        <f t="shared" si="97"/>
        <v>198962.54663668829</v>
      </c>
      <c r="O312">
        <f t="shared" si="98"/>
        <v>0</v>
      </c>
      <c r="P312">
        <f t="shared" si="99"/>
        <v>0</v>
      </c>
      <c r="Q312" s="43">
        <f t="shared" si="100"/>
        <v>198962.54663668829</v>
      </c>
      <c r="R312">
        <f t="shared" si="101"/>
        <v>0</v>
      </c>
      <c r="S312">
        <f t="shared" si="102"/>
        <v>0</v>
      </c>
      <c r="T312" s="43">
        <f t="shared" si="103"/>
        <v>198962.54663668829</v>
      </c>
      <c r="U312">
        <f t="shared" si="104"/>
        <v>0</v>
      </c>
      <c r="V312">
        <f t="shared" si="105"/>
        <v>0</v>
      </c>
      <c r="W312" s="43">
        <f t="shared" si="106"/>
        <v>198962.54663668829</v>
      </c>
      <c r="X312" s="43">
        <f t="shared" si="107"/>
        <v>0</v>
      </c>
      <c r="Y312" s="27">
        <f t="shared" si="108"/>
        <v>1523.1878347603558</v>
      </c>
      <c r="Z312" s="27">
        <f t="shared" si="109"/>
        <v>197439.35880192794</v>
      </c>
      <c r="AA312">
        <f t="shared" si="110"/>
        <v>0</v>
      </c>
      <c r="AB312" s="27">
        <f t="shared" si="111"/>
        <v>197439.35880192794</v>
      </c>
      <c r="AD312" s="27">
        <f t="shared" si="112"/>
        <v>0</v>
      </c>
      <c r="AE312" s="27">
        <f t="shared" si="113"/>
        <v>197439.35880192794</v>
      </c>
      <c r="AF312" s="50"/>
      <c r="AG312" t="str">
        <f t="shared" si="114"/>
        <v>5309930</v>
      </c>
    </row>
    <row r="313" spans="1:33" x14ac:dyDescent="0.25">
      <c r="A313" s="7" t="s">
        <v>639</v>
      </c>
      <c r="B313" s="2" t="s">
        <v>1248</v>
      </c>
      <c r="C313" s="4" t="s">
        <v>1247</v>
      </c>
      <c r="D313">
        <f>_xlfn.IFNA(VLOOKUP(A313,'Prior Year data'!$A$1:$T$318,12,FALSE),0)</f>
        <v>35847.918908725063</v>
      </c>
      <c r="E313">
        <f>VLOOKUP(A313,'Basic HH'!$B$1:$Y$319,23,FALSE)</f>
        <v>24319.110124518695</v>
      </c>
      <c r="F313">
        <f>VLOOKUP(A313,'Conc. HH'!$B$1:$Y$319,23,FALSE)</f>
        <v>6544.5948964402096</v>
      </c>
      <c r="G313">
        <f>VLOOKUP(A313,'Targeted HH'!$B$1:$Y$319,23,FALSE)</f>
        <v>13336.707455317401</v>
      </c>
      <c r="H313">
        <f>VLOOKUP(A313,'EFIG HH'!$B$1:$Y$319,23,FALSE)</f>
        <v>18145.082571415496</v>
      </c>
      <c r="I313">
        <f t="shared" si="92"/>
        <v>62345.495047691802</v>
      </c>
      <c r="J313">
        <f t="shared" si="93"/>
        <v>62345.495047691802</v>
      </c>
      <c r="K313" s="43">
        <f t="shared" si="94"/>
        <v>56659.032373431546</v>
      </c>
      <c r="L313">
        <f t="shared" si="95"/>
        <v>0</v>
      </c>
      <c r="M313">
        <f t="shared" si="96"/>
        <v>20811.113464706483</v>
      </c>
      <c r="N313" s="43">
        <f t="shared" si="97"/>
        <v>53938.835430490151</v>
      </c>
      <c r="O313">
        <f t="shared" si="98"/>
        <v>0</v>
      </c>
      <c r="P313">
        <f t="shared" si="99"/>
        <v>18090.916521765088</v>
      </c>
      <c r="Q313" s="43">
        <f t="shared" si="100"/>
        <v>53938.835430490151</v>
      </c>
      <c r="R313">
        <f t="shared" si="101"/>
        <v>0</v>
      </c>
      <c r="S313">
        <f t="shared" si="102"/>
        <v>18090.916521765088</v>
      </c>
      <c r="T313" s="43">
        <f t="shared" si="103"/>
        <v>53938.835430490151</v>
      </c>
      <c r="U313">
        <f t="shared" si="104"/>
        <v>0</v>
      </c>
      <c r="V313">
        <f t="shared" si="105"/>
        <v>18090.916521765088</v>
      </c>
      <c r="W313" s="43">
        <f t="shared" si="106"/>
        <v>53938.835430490151</v>
      </c>
      <c r="X313" s="43">
        <f t="shared" si="107"/>
        <v>8406.6596172016507</v>
      </c>
      <c r="Y313" s="27">
        <f t="shared" si="108"/>
        <v>412.93690364191139</v>
      </c>
      <c r="Z313" s="27">
        <f t="shared" si="109"/>
        <v>53525.898526848243</v>
      </c>
      <c r="AA313">
        <f t="shared" si="110"/>
        <v>0</v>
      </c>
      <c r="AB313" s="27">
        <f t="shared" si="111"/>
        <v>53525.898526848243</v>
      </c>
      <c r="AD313" s="27">
        <f t="shared" si="112"/>
        <v>0</v>
      </c>
      <c r="AE313" s="27">
        <f t="shared" si="113"/>
        <v>53525.898526848243</v>
      </c>
      <c r="AF313" s="50"/>
      <c r="AG313" t="str">
        <f t="shared" si="114"/>
        <v>5309990</v>
      </c>
    </row>
    <row r="314" spans="1:33" x14ac:dyDescent="0.25">
      <c r="A314" s="7" t="s">
        <v>641</v>
      </c>
      <c r="B314" s="2" t="s">
        <v>1250</v>
      </c>
      <c r="C314" s="4" t="s">
        <v>1249</v>
      </c>
      <c r="D314">
        <f>_xlfn.IFNA(VLOOKUP(A314,'Prior Year data'!$A$1:$T$318,12,FALSE),0)</f>
        <v>40138.863761807464</v>
      </c>
      <c r="E314">
        <f>VLOOKUP(A314,'Basic HH'!$B$1:$Y$319,23,FALSE)</f>
        <v>26924.729066431428</v>
      </c>
      <c r="F314">
        <f>VLOOKUP(A314,'Conc. HH'!$B$1:$Y$319,23,FALSE)</f>
        <v>7245.801492487376</v>
      </c>
      <c r="G314">
        <f>VLOOKUP(A314,'Targeted HH'!$B$1:$Y$319,23,FALSE)</f>
        <v>37294.904085589907</v>
      </c>
      <c r="H314">
        <f>VLOOKUP(A314,'EFIG HH'!$B$1:$Y$319,23,FALSE)</f>
        <v>50741.093061634136</v>
      </c>
      <c r="I314">
        <f t="shared" si="92"/>
        <v>122206.52770614285</v>
      </c>
      <c r="J314">
        <f t="shared" si="93"/>
        <v>122206.52770614285</v>
      </c>
      <c r="K314" s="43">
        <f t="shared" si="94"/>
        <v>111060.20738547904</v>
      </c>
      <c r="L314">
        <f t="shared" si="95"/>
        <v>0</v>
      </c>
      <c r="M314">
        <f t="shared" si="96"/>
        <v>70921.343623671564</v>
      </c>
      <c r="N314" s="43">
        <f t="shared" si="97"/>
        <v>101790.15931997882</v>
      </c>
      <c r="O314">
        <f t="shared" si="98"/>
        <v>0</v>
      </c>
      <c r="P314">
        <f t="shared" si="99"/>
        <v>61651.295558171354</v>
      </c>
      <c r="Q314" s="43">
        <f t="shared" si="100"/>
        <v>101790.15931997882</v>
      </c>
      <c r="R314">
        <f t="shared" si="101"/>
        <v>0</v>
      </c>
      <c r="S314">
        <f t="shared" si="102"/>
        <v>61651.295558171354</v>
      </c>
      <c r="T314" s="43">
        <f t="shared" si="103"/>
        <v>101790.15931997882</v>
      </c>
      <c r="U314">
        <f t="shared" si="104"/>
        <v>0</v>
      </c>
      <c r="V314">
        <f t="shared" si="105"/>
        <v>61651.295558171354</v>
      </c>
      <c r="W314" s="43">
        <f t="shared" si="106"/>
        <v>101790.15931997882</v>
      </c>
      <c r="X314" s="43">
        <f t="shared" si="107"/>
        <v>20416.368386164031</v>
      </c>
      <c r="Y314" s="27">
        <f t="shared" si="108"/>
        <v>779.26994298895909</v>
      </c>
      <c r="Z314" s="27">
        <f t="shared" si="109"/>
        <v>101010.88937698986</v>
      </c>
      <c r="AA314">
        <f t="shared" si="110"/>
        <v>0</v>
      </c>
      <c r="AB314" s="27">
        <f t="shared" si="111"/>
        <v>101010.88937698986</v>
      </c>
      <c r="AD314" s="27">
        <f t="shared" si="112"/>
        <v>0</v>
      </c>
      <c r="AE314" s="27">
        <f t="shared" si="113"/>
        <v>101010.88937698986</v>
      </c>
      <c r="AF314" s="50"/>
      <c r="AG314" t="str">
        <f t="shared" si="114"/>
        <v>5310020</v>
      </c>
    </row>
    <row r="315" spans="1:33" x14ac:dyDescent="0.25">
      <c r="A315" s="7" t="s">
        <v>643</v>
      </c>
      <c r="B315" s="2" t="s">
        <v>1252</v>
      </c>
      <c r="C315" s="4" t="s">
        <v>1251</v>
      </c>
      <c r="D315">
        <f>_xlfn.IFNA(VLOOKUP(A315,'Prior Year data'!$A$1:$T$318,12,FALSE),0)</f>
        <v>408175.30212688737</v>
      </c>
      <c r="E315">
        <f>VLOOKUP(A315,'Basic HH'!$B$1:$Y$319,23,FALSE)</f>
        <v>228425.92724101499</v>
      </c>
      <c r="F315">
        <f>VLOOKUP(A315,'Conc. HH'!$B$1:$Y$319,23,FALSE)</f>
        <v>0</v>
      </c>
      <c r="G315">
        <f>VLOOKUP(A315,'Targeted HH'!$B$1:$Y$319,23,FALSE)</f>
        <v>110220.5495937214</v>
      </c>
      <c r="H315">
        <f>VLOOKUP(A315,'EFIG HH'!$B$1:$Y$319,23,FALSE)</f>
        <v>149959.12447996892</v>
      </c>
      <c r="I315">
        <f t="shared" si="92"/>
        <v>488605.60131470533</v>
      </c>
      <c r="J315">
        <f t="shared" si="93"/>
        <v>488605.60131470533</v>
      </c>
      <c r="K315" s="43">
        <f t="shared" si="94"/>
        <v>444040.43245711323</v>
      </c>
      <c r="L315">
        <f t="shared" si="95"/>
        <v>0</v>
      </c>
      <c r="M315">
        <f t="shared" si="96"/>
        <v>35865.13033022586</v>
      </c>
      <c r="N315" s="43">
        <f t="shared" si="97"/>
        <v>439352.54211198934</v>
      </c>
      <c r="O315">
        <f t="shared" si="98"/>
        <v>0</v>
      </c>
      <c r="P315">
        <f t="shared" si="99"/>
        <v>31177.239985101973</v>
      </c>
      <c r="Q315" s="43">
        <f t="shared" si="100"/>
        <v>439352.54211198934</v>
      </c>
      <c r="R315">
        <f t="shared" si="101"/>
        <v>0</v>
      </c>
      <c r="S315">
        <f t="shared" si="102"/>
        <v>31177.239985101973</v>
      </c>
      <c r="T315" s="43">
        <f t="shared" si="103"/>
        <v>439352.54211198934</v>
      </c>
      <c r="U315">
        <f t="shared" si="104"/>
        <v>0</v>
      </c>
      <c r="V315">
        <f t="shared" si="105"/>
        <v>31177.239985101973</v>
      </c>
      <c r="W315" s="43">
        <f t="shared" si="106"/>
        <v>439352.54211198934</v>
      </c>
      <c r="X315" s="43">
        <f t="shared" si="107"/>
        <v>49253.059202715987</v>
      </c>
      <c r="Y315" s="27">
        <f t="shared" si="108"/>
        <v>3363.5297629057231</v>
      </c>
      <c r="Z315" s="27">
        <f t="shared" si="109"/>
        <v>435989.01234908361</v>
      </c>
      <c r="AA315">
        <f t="shared" si="110"/>
        <v>0</v>
      </c>
      <c r="AB315" s="27">
        <f t="shared" si="111"/>
        <v>435989.01234908361</v>
      </c>
      <c r="AD315" s="27">
        <f t="shared" si="112"/>
        <v>0</v>
      </c>
      <c r="AE315" s="27">
        <f t="shared" si="113"/>
        <v>435989.01234908361</v>
      </c>
      <c r="AF315" s="50"/>
      <c r="AG315" t="str">
        <f t="shared" si="114"/>
        <v>5310050</v>
      </c>
    </row>
    <row r="316" spans="1:33" x14ac:dyDescent="0.25">
      <c r="A316" s="7" t="s">
        <v>645</v>
      </c>
      <c r="B316" s="2" t="s">
        <v>1254</v>
      </c>
      <c r="C316" s="4" t="s">
        <v>1253</v>
      </c>
      <c r="D316">
        <f>_xlfn.IFNA(VLOOKUP(A316,'Prior Year data'!$A$1:$T$318,12,FALSE),0)</f>
        <v>10114173.756166836</v>
      </c>
      <c r="E316">
        <f>VLOOKUP(A316,'Basic HH'!$B$1:$Y$319,23,FALSE)</f>
        <v>3846762.0979104764</v>
      </c>
      <c r="F316">
        <f>VLOOKUP(A316,'Conc. HH'!$B$1:$Y$319,23,FALSE)</f>
        <v>1035214.6712976317</v>
      </c>
      <c r="G316">
        <f>VLOOKUP(A316,'Targeted HH'!$B$1:$Y$319,23,FALSE)</f>
        <v>3093509.4556123745</v>
      </c>
      <c r="H316">
        <f>VLOOKUP(A316,'EFIG HH'!$B$1:$Y$319,23,FALSE)</f>
        <v>4208833.7541782912</v>
      </c>
      <c r="I316">
        <f t="shared" si="92"/>
        <v>12184319.978998773</v>
      </c>
      <c r="J316">
        <f t="shared" si="93"/>
        <v>12184319.978998773</v>
      </c>
      <c r="K316" s="43">
        <f t="shared" si="94"/>
        <v>11073001.820103424</v>
      </c>
      <c r="L316">
        <f t="shared" si="95"/>
        <v>0</v>
      </c>
      <c r="M316">
        <f t="shared" si="96"/>
        <v>958828.06393658742</v>
      </c>
      <c r="N316" s="43">
        <f t="shared" si="97"/>
        <v>10947674.495702932</v>
      </c>
      <c r="O316">
        <f t="shared" si="98"/>
        <v>0</v>
      </c>
      <c r="P316">
        <f t="shared" si="99"/>
        <v>833500.73953609541</v>
      </c>
      <c r="Q316" s="43">
        <f t="shared" si="100"/>
        <v>10947674.495702932</v>
      </c>
      <c r="R316">
        <f t="shared" si="101"/>
        <v>0</v>
      </c>
      <c r="S316">
        <f t="shared" si="102"/>
        <v>833500.73953609541</v>
      </c>
      <c r="T316" s="43">
        <f t="shared" si="103"/>
        <v>10947674.495702932</v>
      </c>
      <c r="U316">
        <f t="shared" si="104"/>
        <v>0</v>
      </c>
      <c r="V316">
        <f t="shared" si="105"/>
        <v>833500.73953609541</v>
      </c>
      <c r="W316" s="43">
        <f t="shared" si="106"/>
        <v>10947674.495702932</v>
      </c>
      <c r="X316" s="43">
        <f t="shared" si="107"/>
        <v>1236645.4832958411</v>
      </c>
      <c r="Y316" s="27">
        <f t="shared" si="108"/>
        <v>83811.576061200321</v>
      </c>
      <c r="Z316" s="27">
        <f t="shared" si="109"/>
        <v>10863862.919641731</v>
      </c>
      <c r="AA316">
        <f t="shared" si="110"/>
        <v>0</v>
      </c>
      <c r="AB316" s="27">
        <f t="shared" si="111"/>
        <v>10863862.919641731</v>
      </c>
      <c r="AD316" s="27">
        <f t="shared" si="112"/>
        <v>0</v>
      </c>
      <c r="AE316" s="27">
        <f t="shared" si="113"/>
        <v>10863862.919641731</v>
      </c>
      <c r="AF316" s="50"/>
      <c r="AG316" t="str">
        <f t="shared" si="114"/>
        <v>5310110</v>
      </c>
    </row>
    <row r="317" spans="1:33" x14ac:dyDescent="0.25">
      <c r="A317" s="7" t="s">
        <v>647</v>
      </c>
      <c r="B317" s="2" t="s">
        <v>1256</v>
      </c>
      <c r="C317" s="4" t="s">
        <v>1255</v>
      </c>
      <c r="D317">
        <f>_xlfn.IFNA(VLOOKUP(A317,'Prior Year data'!$A$1:$T$318,12,FALSE),0)</f>
        <v>1132594.3017873936</v>
      </c>
      <c r="E317">
        <f>VLOOKUP(A317,'Basic HH'!$B$1:$Y$319,23,FALSE)</f>
        <v>475959.72672272322</v>
      </c>
      <c r="F317">
        <f>VLOOKUP(A317,'Conc. HH'!$B$1:$Y$319,23,FALSE)</f>
        <v>0</v>
      </c>
      <c r="G317">
        <f>VLOOKUP(A317,'Targeted HH'!$B$1:$Y$319,23,FALSE)</f>
        <v>229661.06911543469</v>
      </c>
      <c r="H317">
        <f>VLOOKUP(A317,'EFIG HH'!$B$1:$Y$319,23,FALSE)</f>
        <v>312462.35823202645</v>
      </c>
      <c r="I317">
        <f t="shared" si="92"/>
        <v>1018083.1540701843</v>
      </c>
      <c r="J317">
        <f t="shared" si="93"/>
        <v>0</v>
      </c>
      <c r="K317" s="43">
        <f t="shared" si="94"/>
        <v>1018083.1540701843</v>
      </c>
      <c r="L317">
        <f t="shared" si="95"/>
        <v>0</v>
      </c>
      <c r="M317">
        <f t="shared" si="96"/>
        <v>0</v>
      </c>
      <c r="N317" s="43">
        <f t="shared" si="97"/>
        <v>1018083.1540701843</v>
      </c>
      <c r="O317">
        <f t="shared" si="98"/>
        <v>0</v>
      </c>
      <c r="P317">
        <f t="shared" si="99"/>
        <v>0</v>
      </c>
      <c r="Q317" s="43">
        <f t="shared" si="100"/>
        <v>1018083.1540701843</v>
      </c>
      <c r="R317">
        <f t="shared" si="101"/>
        <v>0</v>
      </c>
      <c r="S317">
        <f t="shared" si="102"/>
        <v>0</v>
      </c>
      <c r="T317" s="43">
        <f t="shared" si="103"/>
        <v>1018083.1540701843</v>
      </c>
      <c r="U317">
        <f t="shared" si="104"/>
        <v>0</v>
      </c>
      <c r="V317">
        <f t="shared" si="105"/>
        <v>0</v>
      </c>
      <c r="W317" s="43">
        <f t="shared" si="106"/>
        <v>1018083.1540701843</v>
      </c>
      <c r="X317" s="43">
        <f t="shared" si="107"/>
        <v>0</v>
      </c>
      <c r="Y317" s="27">
        <f t="shared" si="108"/>
        <v>7794.0893965628702</v>
      </c>
      <c r="Z317" s="27">
        <f t="shared" si="109"/>
        <v>1010289.0646736214</v>
      </c>
      <c r="AA317">
        <f t="shared" si="110"/>
        <v>0</v>
      </c>
      <c r="AB317" s="27">
        <f t="shared" si="111"/>
        <v>1010289.0646736214</v>
      </c>
      <c r="AD317" s="27">
        <f t="shared" si="112"/>
        <v>0</v>
      </c>
      <c r="AE317" s="27">
        <f t="shared" si="113"/>
        <v>1010289.0646736214</v>
      </c>
      <c r="AF317" s="50"/>
      <c r="AG317" t="str">
        <f t="shared" ref="AG317:AG318" si="115">A317</f>
        <v>5310140</v>
      </c>
    </row>
    <row r="318" spans="1:33" x14ac:dyDescent="0.25">
      <c r="A318" s="7" t="s">
        <v>649</v>
      </c>
      <c r="B318" s="2" t="s">
        <v>1258</v>
      </c>
      <c r="C318" s="4" t="s">
        <v>1257</v>
      </c>
      <c r="D318">
        <f>_xlfn.IFNA(VLOOKUP(A318,'Prior Year data'!$A$1:$T$318,12,FALSE),0)</f>
        <v>281768.00505895377</v>
      </c>
      <c r="E318">
        <f>VLOOKUP(A318,'Basic HH'!$B$1:$Y$319,23,FALSE)</f>
        <v>130280.94709563591</v>
      </c>
      <c r="F318">
        <f>VLOOKUP(A318,'Conc. HH'!$B$1:$Y$319,23,FALSE)</f>
        <v>24367.248360682115</v>
      </c>
      <c r="G318">
        <f>VLOOKUP(A318,'Targeted HH'!$B$1:$Y$319,23,FALSE)</f>
        <v>62863.431327217528</v>
      </c>
      <c r="H318">
        <f>VLOOKUP(A318,'EFIG HH'!$B$1:$Y$319,23,FALSE)</f>
        <v>85528.017764240823</v>
      </c>
      <c r="I318">
        <f t="shared" si="92"/>
        <v>303039.64454777638</v>
      </c>
      <c r="J318">
        <f t="shared" si="93"/>
        <v>303039.64454777638</v>
      </c>
      <c r="K318" s="43">
        <f t="shared" si="94"/>
        <v>275399.73846917634</v>
      </c>
      <c r="L318">
        <f t="shared" si="95"/>
        <v>6368.2665897774277</v>
      </c>
      <c r="M318">
        <f t="shared" si="96"/>
        <v>0</v>
      </c>
      <c r="N318" s="43">
        <f t="shared" si="97"/>
        <v>281768.00505895377</v>
      </c>
      <c r="O318">
        <f t="shared" si="98"/>
        <v>0</v>
      </c>
      <c r="P318">
        <f t="shared" si="99"/>
        <v>0</v>
      </c>
      <c r="Q318" s="43">
        <f t="shared" si="100"/>
        <v>281768.00505895377</v>
      </c>
      <c r="R318">
        <f t="shared" si="101"/>
        <v>0</v>
      </c>
      <c r="S318">
        <f t="shared" si="102"/>
        <v>0</v>
      </c>
      <c r="T318" s="43">
        <f t="shared" si="103"/>
        <v>281768.00505895377</v>
      </c>
      <c r="U318">
        <f t="shared" si="104"/>
        <v>0</v>
      </c>
      <c r="V318">
        <f t="shared" si="105"/>
        <v>0</v>
      </c>
      <c r="W318" s="43">
        <f t="shared" si="106"/>
        <v>281768.00505895377</v>
      </c>
      <c r="X318" s="43">
        <f t="shared" si="107"/>
        <v>21271.639488822606</v>
      </c>
      <c r="Y318" s="27">
        <f t="shared" si="108"/>
        <v>2157.117531844819</v>
      </c>
      <c r="Z318" s="27">
        <f t="shared" si="109"/>
        <v>279610.88752710895</v>
      </c>
      <c r="AA318">
        <f t="shared" si="110"/>
        <v>0</v>
      </c>
      <c r="AB318" s="27">
        <f t="shared" si="111"/>
        <v>279610.88752710895</v>
      </c>
      <c r="AD318" s="27">
        <f t="shared" si="112"/>
        <v>0</v>
      </c>
      <c r="AE318" s="27">
        <f t="shared" si="113"/>
        <v>279610.88752710895</v>
      </c>
      <c r="AF318" s="50"/>
      <c r="AG318" t="str">
        <f t="shared" si="115"/>
        <v>5310170</v>
      </c>
    </row>
  </sheetData>
  <sheetProtection algorithmName="SHA-512" hashValue="OGATlLqOCxqVxAJwK6LQyHJ3fkb6tJV5kJfslUjPFe7AHyaYNwIpQ+uWn0eJE1jLBOXkDkftkALG00wJTROCQg==" saltValue="KWBBUqKw5r9dUlkk12f4VQ==" spinCount="100000" sheet="1" objects="1" scenarios="1"/>
  <autoFilter ref="A3:AF318" xr:uid="{014E85DC-62F1-4FC0-9717-51C5497BC9D0}"/>
  <mergeCells count="4">
    <mergeCell ref="L1:N1"/>
    <mergeCell ref="O1:Q1"/>
    <mergeCell ref="R1:T1"/>
    <mergeCell ref="U1:W1"/>
  </mergeCells>
  <conditionalFormatting sqref="A2">
    <cfRule type="duplicateValues" dxfId="7" priority="4"/>
  </conditionalFormatting>
  <conditionalFormatting sqref="A3:A314">
    <cfRule type="duplicateValues" dxfId="6" priority="10"/>
  </conditionalFormatting>
  <conditionalFormatting sqref="A317">
    <cfRule type="duplicateValues" dxfId="5" priority="3"/>
  </conditionalFormatting>
  <conditionalFormatting sqref="A318">
    <cfRule type="duplicateValues" dxfId="4" priority="1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DE5-BB40-4AA9-8D85-C1ADA7D89C57}">
  <dimension ref="A1:Z318"/>
  <sheetViews>
    <sheetView topLeftCell="A252" workbookViewId="0">
      <selection activeCell="A264" sqref="A264:XFD264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285156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4.85546875" customWidth="1"/>
    <col min="19" max="19" width="13.5703125" customWidth="1"/>
    <col min="20" max="20" width="12.7109375" customWidth="1"/>
    <col min="22" max="22" width="13.85546875" customWidth="1"/>
    <col min="23" max="23" width="14.140625" customWidth="1"/>
    <col min="24" max="24" width="12" customWidth="1"/>
    <col min="25" max="25" width="11.42578125" customWidth="1"/>
  </cols>
  <sheetData>
    <row r="1" spans="1:26" x14ac:dyDescent="0.25">
      <c r="A1" s="37">
        <v>1</v>
      </c>
      <c r="B1" s="38">
        <f>A1+1</f>
        <v>2</v>
      </c>
      <c r="C1" s="38">
        <f t="shared" ref="C1:X1" si="0">B1+1</f>
        <v>3</v>
      </c>
      <c r="D1" s="38">
        <f t="shared" si="0"/>
        <v>4</v>
      </c>
      <c r="E1" s="38">
        <f t="shared" si="0"/>
        <v>5</v>
      </c>
      <c r="F1" s="80" t="str">
        <f>IF($F$3 = SUM(Model_allocations[Basic Allocation]), "Good", "Check district list")</f>
        <v>Good</v>
      </c>
      <c r="G1" s="38">
        <v>7</v>
      </c>
      <c r="H1" s="38">
        <f t="shared" si="0"/>
        <v>8</v>
      </c>
      <c r="I1" s="38">
        <f t="shared" si="0"/>
        <v>9</v>
      </c>
      <c r="J1" s="38">
        <f t="shared" si="0"/>
        <v>10</v>
      </c>
      <c r="K1" s="38">
        <f t="shared" si="0"/>
        <v>11</v>
      </c>
      <c r="L1" s="38">
        <f t="shared" si="0"/>
        <v>12</v>
      </c>
      <c r="M1" s="38">
        <f t="shared" si="0"/>
        <v>13</v>
      </c>
      <c r="N1" s="38">
        <f t="shared" si="0"/>
        <v>14</v>
      </c>
      <c r="O1" s="38">
        <f t="shared" si="0"/>
        <v>15</v>
      </c>
      <c r="P1" s="38">
        <f t="shared" si="0"/>
        <v>16</v>
      </c>
      <c r="Q1" s="38">
        <f t="shared" si="0"/>
        <v>17</v>
      </c>
      <c r="R1" s="38">
        <f t="shared" si="0"/>
        <v>18</v>
      </c>
      <c r="S1" s="38">
        <f t="shared" si="0"/>
        <v>19</v>
      </c>
      <c r="T1" s="38">
        <f t="shared" si="0"/>
        <v>20</v>
      </c>
      <c r="U1" s="38">
        <f t="shared" si="0"/>
        <v>21</v>
      </c>
      <c r="V1" s="38">
        <f t="shared" si="0"/>
        <v>22</v>
      </c>
      <c r="W1" s="38">
        <f t="shared" si="0"/>
        <v>23</v>
      </c>
      <c r="X1" s="38">
        <f t="shared" si="0"/>
        <v>24</v>
      </c>
      <c r="Y1" s="38"/>
      <c r="Z1" s="46"/>
    </row>
    <row r="2" spans="1:26" ht="63.75" x14ac:dyDescent="0.25">
      <c r="A2" s="1" t="s">
        <v>0</v>
      </c>
      <c r="B2" s="5" t="s">
        <v>4</v>
      </c>
      <c r="C2" s="3" t="s">
        <v>1279</v>
      </c>
      <c r="D2" s="33" t="s">
        <v>1365</v>
      </c>
      <c r="E2" s="36" t="s">
        <v>1296</v>
      </c>
      <c r="F2" s="33" t="s">
        <v>1298</v>
      </c>
      <c r="G2" s="35" t="s">
        <v>654</v>
      </c>
      <c r="H2" s="34" t="s">
        <v>1299</v>
      </c>
      <c r="I2" s="34" t="s">
        <v>1368</v>
      </c>
      <c r="J2" s="34" t="s">
        <v>1369</v>
      </c>
      <c r="K2" s="34" t="s">
        <v>1370</v>
      </c>
      <c r="L2" s="34" t="s">
        <v>1371</v>
      </c>
      <c r="M2" s="32" t="s">
        <v>1293</v>
      </c>
      <c r="N2" s="34" t="s">
        <v>1369</v>
      </c>
      <c r="O2" s="32" t="s">
        <v>1370</v>
      </c>
      <c r="P2" s="32" t="s">
        <v>1371</v>
      </c>
      <c r="Q2" s="32" t="s">
        <v>1372</v>
      </c>
      <c r="R2" s="32" t="s">
        <v>1369</v>
      </c>
      <c r="S2" s="32" t="s">
        <v>1370</v>
      </c>
      <c r="T2" s="32" t="s">
        <v>1371</v>
      </c>
      <c r="U2" s="32" t="s">
        <v>1373</v>
      </c>
      <c r="V2" s="32" t="s">
        <v>1369</v>
      </c>
      <c r="W2" s="32" t="s">
        <v>1370</v>
      </c>
      <c r="X2" s="32" t="s">
        <v>1371</v>
      </c>
      <c r="Y2" s="32" t="s">
        <v>1374</v>
      </c>
      <c r="Z2" s="32"/>
    </row>
    <row r="3" spans="1:26" x14ac:dyDescent="0.25">
      <c r="A3" s="1"/>
      <c r="B3" s="5"/>
      <c r="C3" s="6"/>
      <c r="D3" s="33">
        <f>SUM(D4:D318)</f>
        <v>118839169.65192392</v>
      </c>
      <c r="E3" s="33"/>
      <c r="F3" s="33" cm="1">
        <f t="array" ref="F3">SUM(IF(ISERROR($F$4:$F$318),"",$F$4:$F$318))</f>
        <v>121398317.49194549</v>
      </c>
      <c r="G3" s="33"/>
      <c r="H3" s="33" cm="1">
        <f t="array" ref="H3">SUM(IF(ISERROR($H$4:$H$318),"",$H$4:$H$318))</f>
        <v>102811294.1546184</v>
      </c>
      <c r="I3" s="33" cm="1">
        <f t="array" ref="I3">SUM(IF(ISERROR($I$4:$I$318),"",$I$4:$I$318))</f>
        <v>2585503.2485910407</v>
      </c>
      <c r="J3" s="33" cm="1">
        <f t="array" ref="J3">SUM(IF(ISERROR($J$4:$J$318),"",$J$4:$J$318))</f>
        <v>118867112.26976733</v>
      </c>
      <c r="K3" s="33" cm="1">
        <f t="array" ref="K3">SUM(IF(ISERROR($K$4:$K$318),"",$K$4:$K$318))</f>
        <v>118812814.24335444</v>
      </c>
      <c r="L3" s="33" cm="1">
        <f t="array" ref="L3">SUM(IF(ISERROR($L$4:$L$318),0,$L$4:$L$318))</f>
        <v>121398317.49194549</v>
      </c>
      <c r="M3" s="33" cm="1">
        <f t="array" ref="M3">SUM(IF(ISERROR($M$4:$M$318),0,$M$4:$M$318))</f>
        <v>12147385.529706564</v>
      </c>
      <c r="N3" s="33" cm="1">
        <f t="array" ref="N3">SUM(IF(ISERROR($N$4:$N$318),0,$N$4:$N$318))</f>
        <v>106670839.10581505</v>
      </c>
      <c r="O3" s="33" cm="1">
        <f t="array" ref="O3">SUM(IF(ISERROR($O$4:$O$318),0,$O$4:$O$318))</f>
        <v>106665428.71364783</v>
      </c>
      <c r="P3" s="33" cm="1">
        <f t="array" ref="P3">SUM(IF(ISERROR($P$4:$P$318),0,$P$4:$P$318))</f>
        <v>121398317.49194543</v>
      </c>
      <c r="Q3" s="33" cm="1">
        <f t="array" ref="Q3">SUM(IF(ISERROR($Q$4:$Q$318),0,$Q$4:$Q$318))</f>
        <v>0</v>
      </c>
      <c r="R3" s="33" cm="1">
        <f t="array" ref="R3">SUM(IF(ISERROR($R$4:$R$318),0,$R$4:$R$318))</f>
        <v>106665428.71364783</v>
      </c>
      <c r="S3" s="33" cm="1">
        <f t="array" ref="S3">SUM(IF(ISERROR($S$4:$S$318),0,$S$4:$S$318))</f>
        <v>106665428.71364787</v>
      </c>
      <c r="T3" s="33" cm="1">
        <f t="array" ref="T3">SUM(IF(ISERROR($T$4:$T$318),0,$T$4:$T$318))</f>
        <v>121398317.49194549</v>
      </c>
      <c r="U3" s="33" cm="1">
        <f t="array" ref="U3">SUM(IF(ISERROR($U$4:$U$318),0,$U$4:$U$318))</f>
        <v>0</v>
      </c>
      <c r="V3" s="33" cm="1">
        <f t="array" ref="V3">SUM(IF(ISERROR($V$4:$V$318),0,$V$4:$V$318))</f>
        <v>106665428.71364787</v>
      </c>
      <c r="W3" s="33" cm="1">
        <f t="array" ref="W3">SUM(IF(ISERROR($W$4:$W$318),0,$W$4:$W$318))</f>
        <v>106665428.71364787</v>
      </c>
      <c r="X3" s="33" cm="1">
        <f t="array" ref="X3">SUM(IF(ISERROR($X$4:$X$318),0,$X$4:$X$318))</f>
        <v>121398317.49194549</v>
      </c>
      <c r="Y3" s="33" cm="1">
        <f t="array" ref="Y3">SUM(IF(ISERROR($Y$4:$Y$318),0,$Y$4:$Y$318))</f>
        <v>0</v>
      </c>
      <c r="Z3" s="32"/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allocations'!$A$1:$L$317,3,FALSE)</f>
        <v>705487.43750839541</v>
      </c>
      <c r="E4" s="31">
        <f>VLOOKUP(B4,'Initial adjusted formula count'!$A$1:$P$317,12,FALSE)</f>
        <v>0.20096783376031899</v>
      </c>
      <c r="F4">
        <f>VLOOKUP(B4,'Model allocations'!$A$1:$L$317,8,FALSE)</f>
        <v>634755.13241215039</v>
      </c>
      <c r="G4" s="30">
        <f>IF(E4&lt;0.15,0.85,IF(AND(E4&gt;=0.15,E4&lt;0.3),0.9,0.95))</f>
        <v>0.9</v>
      </c>
      <c r="H4">
        <f>IF(F4 = 0, 0, D4*G4)</f>
        <v>634938.69375755591</v>
      </c>
      <c r="I4">
        <f t="shared" ref="I4:I67" si="1">IF(F4&lt;H4,H4,0)</f>
        <v>634938.69375755591</v>
      </c>
      <c r="J4">
        <f t="shared" ref="J4:J67" si="2">IF(I4=0,F4,0)</f>
        <v>0</v>
      </c>
      <c r="K4">
        <f t="shared" ref="K4:K67" si="3">(J4/$J$3)*($F$3-$I$3)</f>
        <v>0</v>
      </c>
      <c r="L4">
        <f>I4+K4</f>
        <v>634938.69375755591</v>
      </c>
      <c r="M4">
        <f t="shared" ref="M4:M67" si="4">IF(L4&lt;H4,H4,0)</f>
        <v>0</v>
      </c>
      <c r="N4" s="29">
        <f>IF($I4+$M4=0,L4,0)</f>
        <v>0</v>
      </c>
      <c r="O4" s="29">
        <f t="shared" ref="O4:O67" si="5">((N4/$N$3)*($F$3-$I$3-$M$3))</f>
        <v>0</v>
      </c>
      <c r="P4" s="29">
        <f>$I4+$M4+O4</f>
        <v>634938.69375755591</v>
      </c>
      <c r="Q4">
        <f>IF(P4&lt;H4,H4,0)</f>
        <v>0</v>
      </c>
      <c r="R4" s="29">
        <f>IF($I4+$M4+$Q4=0,P4,0)</f>
        <v>0</v>
      </c>
      <c r="S4" s="29">
        <f t="shared" ref="S4:S67" si="6">((R4/$R$3)*($F$3-$I$3-$M$3-$Q$3))</f>
        <v>0</v>
      </c>
      <c r="T4" s="29">
        <f>$I4+$M4+$Q4+S4</f>
        <v>634938.69375755591</v>
      </c>
      <c r="U4">
        <f>IF(T4&lt;H4,H4,0)</f>
        <v>0</v>
      </c>
      <c r="V4" s="29">
        <f>IF($I4+$M4+$Q4+U4=0,T4,0)</f>
        <v>0</v>
      </c>
      <c r="W4" s="29">
        <f t="shared" ref="W4:W67" si="7">((V4/$V$3)*($F$3-$I$3-$M$3-$Q$3-$U$3))</f>
        <v>0</v>
      </c>
      <c r="X4" s="29">
        <f>$I4+$M4+$Q4+$U4+W4</f>
        <v>634938.69375755591</v>
      </c>
      <c r="Y4">
        <f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allocations'!$A$1:$L$317,3,FALSE)</f>
        <v>32693.320274779297</v>
      </c>
      <c r="E5" s="31">
        <f>VLOOKUP(B5,'Initial adjusted formula count'!$A$1:$P$317,12,FALSE)</f>
        <v>8.8235294117647106E-2</v>
      </c>
      <c r="F5">
        <f>VLOOKUP(B5,'Model allocations'!$A$1:$L$317,8,FALSE)</f>
        <v>57352.722845560602</v>
      </c>
      <c r="G5" s="30">
        <f t="shared" ref="G5:G68" si="8">IF(E5&lt;0.15,0.85,IF(AND(E5&gt;=0.15,E5&lt;0.3),0.9,0.95))</f>
        <v>0.85</v>
      </c>
      <c r="H5">
        <f t="shared" ref="H5:H68" si="9">IF(F5 = 0, 0, D5*G5)</f>
        <v>27789.322233562401</v>
      </c>
      <c r="I5">
        <f t="shared" si="1"/>
        <v>0</v>
      </c>
      <c r="J5">
        <f t="shared" si="2"/>
        <v>57352.722845560602</v>
      </c>
      <c r="K5">
        <f t="shared" si="3"/>
        <v>57326.524348764862</v>
      </c>
      <c r="L5">
        <f t="shared" ref="L5:L68" si="10">I5+K5</f>
        <v>57326.524348764862</v>
      </c>
      <c r="M5">
        <f t="shared" si="4"/>
        <v>0</v>
      </c>
      <c r="N5" s="29">
        <f t="shared" ref="N5:N68" si="11">IF($I5+$M5=0,L5,0)</f>
        <v>57326.524348764862</v>
      </c>
      <c r="O5" s="29">
        <f t="shared" si="5"/>
        <v>57323.616722079751</v>
      </c>
      <c r="P5" s="29">
        <f t="shared" ref="P5:P68" si="12">$I5+$M5+O5</f>
        <v>57323.616722079751</v>
      </c>
      <c r="Q5">
        <f t="shared" ref="Q5:Q68" si="13">IF(P5&lt;H5,H5,0)</f>
        <v>0</v>
      </c>
      <c r="R5" s="29">
        <f t="shared" ref="R5:R68" si="14">IF($I5+$M5+$Q5=0,P5,0)</f>
        <v>57323.616722079751</v>
      </c>
      <c r="S5" s="29">
        <f t="shared" si="6"/>
        <v>57323.616722079787</v>
      </c>
      <c r="T5" s="29">
        <f t="shared" ref="T5:T68" si="15">$I5+$M5+$Q5+S5</f>
        <v>57323.616722079787</v>
      </c>
      <c r="U5">
        <f t="shared" ref="U5:U68" si="16">IF(T5&lt;H5,H5,0)</f>
        <v>0</v>
      </c>
      <c r="V5" s="29">
        <f t="shared" ref="V5:V68" si="17">IF($I5+$M5+$Q5+U5=0,T5,0)</f>
        <v>57323.616722079787</v>
      </c>
      <c r="W5" s="29">
        <f t="shared" si="7"/>
        <v>57323.616722079794</v>
      </c>
      <c r="X5" s="29">
        <f t="shared" ref="X5:X68" si="18">$I5+$M5+$Q5+$U5+W5</f>
        <v>57323.616722079794</v>
      </c>
      <c r="Y5">
        <f t="shared" ref="Y5:Y68" si="19">IF(X5&lt;H5,H5,0)</f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allocations'!$A$1:$L$317,3,FALSE)</f>
        <v>0</v>
      </c>
      <c r="E6" s="31">
        <f>VLOOKUP(B6,'Initial adjusted formula count'!$A$1:$P$317,12,FALSE)</f>
        <v>0.18181818181818199</v>
      </c>
      <c r="F6">
        <f>VLOOKUP(B6,'Model allocations'!$A$1:$L$317,8,FALSE)</f>
        <v>15641.651685152894</v>
      </c>
      <c r="G6" s="30">
        <f t="shared" si="8"/>
        <v>0.9</v>
      </c>
      <c r="H6">
        <f t="shared" si="9"/>
        <v>0</v>
      </c>
      <c r="I6">
        <f t="shared" si="1"/>
        <v>0</v>
      </c>
      <c r="J6">
        <f t="shared" si="2"/>
        <v>15641.651685152894</v>
      </c>
      <c r="K6">
        <f t="shared" si="3"/>
        <v>15634.506640572237</v>
      </c>
      <c r="L6">
        <f t="shared" si="10"/>
        <v>15634.506640572237</v>
      </c>
      <c r="M6">
        <f t="shared" si="4"/>
        <v>0</v>
      </c>
      <c r="N6" s="29">
        <f t="shared" si="11"/>
        <v>15634.506640572237</v>
      </c>
      <c r="O6" s="29">
        <f t="shared" si="5"/>
        <v>15633.713651476297</v>
      </c>
      <c r="P6" s="29">
        <f t="shared" si="12"/>
        <v>15633.713651476297</v>
      </c>
      <c r="Q6">
        <f t="shared" si="13"/>
        <v>0</v>
      </c>
      <c r="R6" s="29">
        <f t="shared" si="14"/>
        <v>15633.713651476297</v>
      </c>
      <c r="S6" s="29">
        <f t="shared" si="6"/>
        <v>15633.713651476306</v>
      </c>
      <c r="T6" s="29">
        <f t="shared" si="15"/>
        <v>15633.713651476306</v>
      </c>
      <c r="U6">
        <f t="shared" si="16"/>
        <v>0</v>
      </c>
      <c r="V6" s="29">
        <f t="shared" si="17"/>
        <v>15633.713651476306</v>
      </c>
      <c r="W6" s="29">
        <f t="shared" si="7"/>
        <v>15633.713651476308</v>
      </c>
      <c r="X6" s="29">
        <f t="shared" si="18"/>
        <v>15633.713651476308</v>
      </c>
      <c r="Y6">
        <f t="shared" si="19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allocations'!$A$1:$L$317,3,FALSE)</f>
        <v>229713.59245700185</v>
      </c>
      <c r="E7" s="31">
        <f>VLOOKUP(B7,'Initial adjusted formula count'!$A$1:$P$317,12,FALSE)</f>
        <v>8.5037674919268003E-2</v>
      </c>
      <c r="F7">
        <f>VLOOKUP(B7,'Model allocations'!$A$1:$L$317,8,FALSE)</f>
        <v>205948.4138545132</v>
      </c>
      <c r="G7" s="30">
        <f t="shared" si="8"/>
        <v>0.85</v>
      </c>
      <c r="H7">
        <f t="shared" si="9"/>
        <v>195256.55358845158</v>
      </c>
      <c r="I7">
        <f t="shared" si="1"/>
        <v>0</v>
      </c>
      <c r="J7">
        <f t="shared" si="2"/>
        <v>205948.4138545132</v>
      </c>
      <c r="K7">
        <f t="shared" si="3"/>
        <v>205854.33743420121</v>
      </c>
      <c r="L7">
        <f t="shared" si="10"/>
        <v>205854.33743420121</v>
      </c>
      <c r="M7">
        <f t="shared" si="4"/>
        <v>0</v>
      </c>
      <c r="N7" s="29">
        <f t="shared" si="11"/>
        <v>205854.33743420121</v>
      </c>
      <c r="O7" s="29">
        <f t="shared" si="5"/>
        <v>205843.89641110468</v>
      </c>
      <c r="P7" s="29">
        <f t="shared" si="12"/>
        <v>205843.89641110468</v>
      </c>
      <c r="Q7">
        <f t="shared" si="13"/>
        <v>0</v>
      </c>
      <c r="R7" s="29">
        <f t="shared" si="14"/>
        <v>205843.89641110468</v>
      </c>
      <c r="S7" s="29">
        <f t="shared" si="6"/>
        <v>205843.8964111048</v>
      </c>
      <c r="T7" s="29">
        <f t="shared" si="15"/>
        <v>205843.8964111048</v>
      </c>
      <c r="U7">
        <f t="shared" si="16"/>
        <v>0</v>
      </c>
      <c r="V7" s="29">
        <f t="shared" si="17"/>
        <v>205843.8964111048</v>
      </c>
      <c r="W7" s="29">
        <f t="shared" si="7"/>
        <v>205843.89641110483</v>
      </c>
      <c r="X7" s="29">
        <f t="shared" si="18"/>
        <v>205843.89641110483</v>
      </c>
      <c r="Y7">
        <f t="shared" si="19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allocations'!$A$1:$L$317,3,FALSE)</f>
        <v>484377.35038686154</v>
      </c>
      <c r="E8" s="31">
        <f>VLOOKUP(B8,'Initial adjusted formula count'!$A$1:$P$317,12,FALSE)</f>
        <v>9.0970124202752606E-2</v>
      </c>
      <c r="F8">
        <f>VLOOKUP(B8,'Model allocations'!$A$1:$L$317,8,FALSE)</f>
        <v>470987.51185293705</v>
      </c>
      <c r="G8" s="30">
        <f t="shared" si="8"/>
        <v>0.85</v>
      </c>
      <c r="H8">
        <f t="shared" si="9"/>
        <v>411720.7478288323</v>
      </c>
      <c r="I8">
        <f t="shared" si="1"/>
        <v>0</v>
      </c>
      <c r="J8">
        <f t="shared" si="2"/>
        <v>470987.51185293705</v>
      </c>
      <c r="K8">
        <f t="shared" si="3"/>
        <v>470772.36662167503</v>
      </c>
      <c r="L8">
        <f t="shared" si="10"/>
        <v>470772.36662167503</v>
      </c>
      <c r="M8">
        <f t="shared" si="4"/>
        <v>0</v>
      </c>
      <c r="N8" s="29">
        <f t="shared" si="11"/>
        <v>470772.36662167503</v>
      </c>
      <c r="O8" s="29">
        <f t="shared" si="5"/>
        <v>470748.48883889726</v>
      </c>
      <c r="P8" s="29">
        <f t="shared" si="12"/>
        <v>470748.48883889726</v>
      </c>
      <c r="Q8">
        <f t="shared" si="13"/>
        <v>0</v>
      </c>
      <c r="R8" s="29">
        <f t="shared" si="14"/>
        <v>470748.48883889726</v>
      </c>
      <c r="S8" s="29">
        <f t="shared" si="6"/>
        <v>470748.48883889755</v>
      </c>
      <c r="T8" s="29">
        <f t="shared" si="15"/>
        <v>470748.48883889755</v>
      </c>
      <c r="U8">
        <f t="shared" si="16"/>
        <v>0</v>
      </c>
      <c r="V8" s="29">
        <f t="shared" si="17"/>
        <v>470748.48883889755</v>
      </c>
      <c r="W8" s="29">
        <f t="shared" si="7"/>
        <v>470748.48883889767</v>
      </c>
      <c r="X8" s="29">
        <f t="shared" si="18"/>
        <v>470748.48883889767</v>
      </c>
      <c r="Y8">
        <f t="shared" si="19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allocations'!$A$1:$L$317,3,FALSE)</f>
        <v>43950.743131969139</v>
      </c>
      <c r="E9" s="31">
        <f>VLOOKUP(B9,'Initial adjusted formula count'!$A$1:$P$317,12,FALSE)</f>
        <v>5.72597137014315E-2</v>
      </c>
      <c r="F9">
        <f>VLOOKUP(B9,'Model allocations'!$A$1:$L$317,8,FALSE)</f>
        <v>37227.280062656522</v>
      </c>
      <c r="G9" s="30">
        <f t="shared" si="8"/>
        <v>0.85</v>
      </c>
      <c r="H9">
        <f t="shared" si="9"/>
        <v>37358.131662173764</v>
      </c>
      <c r="I9">
        <f t="shared" si="1"/>
        <v>37358.131662173764</v>
      </c>
      <c r="J9">
        <f t="shared" si="2"/>
        <v>0</v>
      </c>
      <c r="K9">
        <f t="shared" si="3"/>
        <v>0</v>
      </c>
      <c r="L9">
        <f t="shared" si="10"/>
        <v>37358.131662173764</v>
      </c>
      <c r="M9">
        <f t="shared" si="4"/>
        <v>0</v>
      </c>
      <c r="N9" s="29">
        <f t="shared" si="11"/>
        <v>0</v>
      </c>
      <c r="O9" s="29">
        <f t="shared" si="5"/>
        <v>0</v>
      </c>
      <c r="P9" s="29">
        <f t="shared" si="12"/>
        <v>37358.131662173764</v>
      </c>
      <c r="Q9">
        <f t="shared" si="13"/>
        <v>0</v>
      </c>
      <c r="R9" s="29">
        <f t="shared" si="14"/>
        <v>0</v>
      </c>
      <c r="S9" s="29">
        <f t="shared" si="6"/>
        <v>0</v>
      </c>
      <c r="T9" s="29">
        <f t="shared" si="15"/>
        <v>37358.131662173764</v>
      </c>
      <c r="U9">
        <f t="shared" si="16"/>
        <v>0</v>
      </c>
      <c r="V9" s="29">
        <f t="shared" si="17"/>
        <v>0</v>
      </c>
      <c r="W9" s="29">
        <f t="shared" si="7"/>
        <v>0</v>
      </c>
      <c r="X9" s="29">
        <f t="shared" si="18"/>
        <v>37358.131662173764</v>
      </c>
      <c r="Y9">
        <f t="shared" si="19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allocations'!$A$1:$L$317,3,FALSE)</f>
        <v>2598258.6113114059</v>
      </c>
      <c r="E10" s="31">
        <f>VLOOKUP(B10,'Initial adjusted formula count'!$A$1:$P$317,12,FALSE)</f>
        <v>0.15617690257302899</v>
      </c>
      <c r="F10">
        <f>VLOOKUP(B10,'Model allocations'!$A$1:$L$317,8,FALSE)</f>
        <v>2494843.4437818867</v>
      </c>
      <c r="G10" s="30">
        <f t="shared" si="8"/>
        <v>0.9</v>
      </c>
      <c r="H10">
        <f t="shared" si="9"/>
        <v>2338432.7501802654</v>
      </c>
      <c r="I10">
        <f t="shared" si="1"/>
        <v>0</v>
      </c>
      <c r="J10">
        <f t="shared" si="2"/>
        <v>2494843.4437818867</v>
      </c>
      <c r="K10">
        <f t="shared" si="3"/>
        <v>2493703.809171272</v>
      </c>
      <c r="L10">
        <f t="shared" si="10"/>
        <v>2493703.809171272</v>
      </c>
      <c r="M10">
        <f t="shared" si="4"/>
        <v>0</v>
      </c>
      <c r="N10" s="29">
        <f t="shared" si="11"/>
        <v>2493703.809171272</v>
      </c>
      <c r="O10" s="29">
        <f t="shared" si="5"/>
        <v>2493577.3274104698</v>
      </c>
      <c r="P10" s="29">
        <f t="shared" si="12"/>
        <v>2493577.3274104698</v>
      </c>
      <c r="Q10">
        <f t="shared" si="13"/>
        <v>0</v>
      </c>
      <c r="R10" s="29">
        <f t="shared" si="14"/>
        <v>2493577.3274104698</v>
      </c>
      <c r="S10" s="29">
        <f t="shared" si="6"/>
        <v>2493577.3274104712</v>
      </c>
      <c r="T10" s="29">
        <f t="shared" si="15"/>
        <v>2493577.3274104712</v>
      </c>
      <c r="U10">
        <f t="shared" si="16"/>
        <v>0</v>
      </c>
      <c r="V10" s="29">
        <f t="shared" si="17"/>
        <v>2493577.3274104712</v>
      </c>
      <c r="W10" s="29">
        <f t="shared" si="7"/>
        <v>2493577.3274104716</v>
      </c>
      <c r="X10" s="29">
        <f t="shared" si="18"/>
        <v>2493577.3274104716</v>
      </c>
      <c r="Y10">
        <f t="shared" si="19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allocations'!$A$1:$L$317,3,FALSE)</f>
        <v>122169.77576364891</v>
      </c>
      <c r="E11" s="31">
        <f>VLOOKUP(B11,'Initial adjusted formula count'!$A$1:$P$317,12,FALSE)</f>
        <v>3.8016112789526699E-2</v>
      </c>
      <c r="F11">
        <f>VLOOKUP(B11,'Model allocations'!$A$1:$L$317,8,FALSE)</f>
        <v>131216.0780254493</v>
      </c>
      <c r="G11" s="30">
        <f t="shared" si="8"/>
        <v>0.85</v>
      </c>
      <c r="H11">
        <f t="shared" si="9"/>
        <v>103844.30939910158</v>
      </c>
      <c r="I11">
        <f t="shared" si="1"/>
        <v>0</v>
      </c>
      <c r="J11">
        <f t="shared" si="2"/>
        <v>131216.0780254493</v>
      </c>
      <c r="K11">
        <f t="shared" si="3"/>
        <v>131156.13904035601</v>
      </c>
      <c r="L11">
        <f t="shared" si="10"/>
        <v>131156.13904035601</v>
      </c>
      <c r="M11">
        <f t="shared" si="4"/>
        <v>0</v>
      </c>
      <c r="N11" s="29">
        <f t="shared" si="11"/>
        <v>131156.13904035601</v>
      </c>
      <c r="O11" s="29">
        <f t="shared" si="5"/>
        <v>131149.48674294006</v>
      </c>
      <c r="P11" s="29">
        <f t="shared" si="12"/>
        <v>131149.48674294006</v>
      </c>
      <c r="Q11">
        <f t="shared" si="13"/>
        <v>0</v>
      </c>
      <c r="R11" s="29">
        <f t="shared" si="14"/>
        <v>131149.48674294006</v>
      </c>
      <c r="S11" s="29">
        <f t="shared" si="6"/>
        <v>131149.48674294015</v>
      </c>
      <c r="T11" s="29">
        <f t="shared" si="15"/>
        <v>131149.48674294015</v>
      </c>
      <c r="U11">
        <f t="shared" si="16"/>
        <v>0</v>
      </c>
      <c r="V11" s="29">
        <f t="shared" si="17"/>
        <v>131149.48674294015</v>
      </c>
      <c r="W11" s="29">
        <f t="shared" si="7"/>
        <v>131149.48674294015</v>
      </c>
      <c r="X11" s="29">
        <f t="shared" si="18"/>
        <v>131149.48674294015</v>
      </c>
      <c r="Y11">
        <f t="shared" si="19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allocations'!$A$1:$L$317,3,FALSE)</f>
        <v>774631.84770095581</v>
      </c>
      <c r="E12" s="31">
        <f>VLOOKUP(B12,'Initial adjusted formula count'!$A$1:$P$317,12,FALSE)</f>
        <v>5.5959849435382701E-2</v>
      </c>
      <c r="F12">
        <f>VLOOKUP(B12,'Model allocations'!$A$1:$L$317,8,FALSE)</f>
        <v>775130.73906424362</v>
      </c>
      <c r="G12" s="30">
        <f t="shared" si="8"/>
        <v>0.85</v>
      </c>
      <c r="H12">
        <f t="shared" si="9"/>
        <v>658437.07054581237</v>
      </c>
      <c r="I12">
        <f t="shared" si="1"/>
        <v>0</v>
      </c>
      <c r="J12">
        <f t="shared" si="2"/>
        <v>775130.73906424362</v>
      </c>
      <c r="K12">
        <f t="shared" si="3"/>
        <v>774776.66241057997</v>
      </c>
      <c r="L12">
        <f t="shared" si="10"/>
        <v>774776.66241057997</v>
      </c>
      <c r="M12">
        <f t="shared" si="4"/>
        <v>0</v>
      </c>
      <c r="N12" s="29">
        <f t="shared" si="11"/>
        <v>774776.66241057997</v>
      </c>
      <c r="O12" s="29">
        <f t="shared" si="5"/>
        <v>774737.36539538112</v>
      </c>
      <c r="P12" s="29">
        <f t="shared" si="12"/>
        <v>774737.36539538112</v>
      </c>
      <c r="Q12">
        <f t="shared" si="13"/>
        <v>0</v>
      </c>
      <c r="R12" s="29">
        <f t="shared" si="14"/>
        <v>774737.36539538112</v>
      </c>
      <c r="S12" s="29">
        <f t="shared" si="6"/>
        <v>774737.36539538158</v>
      </c>
      <c r="T12" s="29">
        <f t="shared" si="15"/>
        <v>774737.36539538158</v>
      </c>
      <c r="U12">
        <f t="shared" si="16"/>
        <v>0</v>
      </c>
      <c r="V12" s="29">
        <f t="shared" si="17"/>
        <v>774737.36539538158</v>
      </c>
      <c r="W12" s="29">
        <f t="shared" si="7"/>
        <v>774737.3653953817</v>
      </c>
      <c r="X12" s="29">
        <f t="shared" si="18"/>
        <v>774737.3653953817</v>
      </c>
      <c r="Y12">
        <f t="shared" si="19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allocations'!$A$1:$L$317,3,FALSE)</f>
        <v>1159752.519221118</v>
      </c>
      <c r="E13" s="31">
        <f>VLOOKUP(B13,'Initial adjusted formula count'!$A$1:$P$317,12,FALSE)</f>
        <v>6.4986442636795996E-2</v>
      </c>
      <c r="F13">
        <f>VLOOKUP(B13,'Model allocations'!$A$1:$L$317,8,FALSE)</f>
        <v>1270449.7090940855</v>
      </c>
      <c r="G13" s="30">
        <f t="shared" si="8"/>
        <v>0.85</v>
      </c>
      <c r="H13">
        <f t="shared" si="9"/>
        <v>985789.64133795025</v>
      </c>
      <c r="I13">
        <f t="shared" si="1"/>
        <v>0</v>
      </c>
      <c r="J13">
        <f t="shared" si="2"/>
        <v>1270449.7090940855</v>
      </c>
      <c r="K13">
        <f t="shared" si="3"/>
        <v>1269869.3726953678</v>
      </c>
      <c r="L13">
        <f t="shared" si="10"/>
        <v>1269869.3726953678</v>
      </c>
      <c r="M13">
        <f t="shared" si="4"/>
        <v>0</v>
      </c>
      <c r="N13" s="29">
        <f t="shared" si="11"/>
        <v>1269869.3726953678</v>
      </c>
      <c r="O13" s="29">
        <f t="shared" si="5"/>
        <v>1269804.9643587975</v>
      </c>
      <c r="P13" s="29">
        <f t="shared" si="12"/>
        <v>1269804.9643587975</v>
      </c>
      <c r="Q13">
        <f t="shared" si="13"/>
        <v>0</v>
      </c>
      <c r="R13" s="29">
        <f t="shared" si="14"/>
        <v>1269804.9643587975</v>
      </c>
      <c r="S13" s="29">
        <f t="shared" si="6"/>
        <v>1269804.9643587982</v>
      </c>
      <c r="T13" s="29">
        <f t="shared" si="15"/>
        <v>1269804.9643587982</v>
      </c>
      <c r="U13">
        <f t="shared" si="16"/>
        <v>0</v>
      </c>
      <c r="V13" s="29">
        <f t="shared" si="17"/>
        <v>1269804.9643587982</v>
      </c>
      <c r="W13" s="29">
        <f t="shared" si="7"/>
        <v>1269804.9643587982</v>
      </c>
      <c r="X13" s="29">
        <f t="shared" si="18"/>
        <v>1269804.9643587982</v>
      </c>
      <c r="Y13">
        <f t="shared" si="19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allocations'!$A$1:$L$317,3,FALSE)</f>
        <v>1235715.3716398529</v>
      </c>
      <c r="E14" s="31">
        <f>VLOOKUP(B14,'Initial adjusted formula count'!$A$1:$P$317,12,FALSE)</f>
        <v>0.107857707696931</v>
      </c>
      <c r="F14">
        <f>VLOOKUP(B14,'Model allocations'!$A$1:$L$317,8,FALSE)</f>
        <v>1167679.7789691328</v>
      </c>
      <c r="G14" s="30">
        <f t="shared" si="8"/>
        <v>0.85</v>
      </c>
      <c r="H14">
        <f t="shared" si="9"/>
        <v>1050358.065893875</v>
      </c>
      <c r="I14">
        <f t="shared" si="1"/>
        <v>0</v>
      </c>
      <c r="J14">
        <f t="shared" si="2"/>
        <v>1167679.7789691328</v>
      </c>
      <c r="K14">
        <f t="shared" si="3"/>
        <v>1167146.3874677364</v>
      </c>
      <c r="L14">
        <f t="shared" si="10"/>
        <v>1167146.3874677364</v>
      </c>
      <c r="M14">
        <f t="shared" si="4"/>
        <v>0</v>
      </c>
      <c r="N14" s="29">
        <f t="shared" si="11"/>
        <v>1167146.3874677364</v>
      </c>
      <c r="O14" s="29">
        <f t="shared" si="5"/>
        <v>1167087.1892864376</v>
      </c>
      <c r="P14" s="29">
        <f t="shared" si="12"/>
        <v>1167087.1892864376</v>
      </c>
      <c r="Q14">
        <f t="shared" si="13"/>
        <v>0</v>
      </c>
      <c r="R14" s="29">
        <f t="shared" si="14"/>
        <v>1167087.1892864376</v>
      </c>
      <c r="S14" s="29">
        <f t="shared" si="6"/>
        <v>1167087.1892864383</v>
      </c>
      <c r="T14" s="29">
        <f t="shared" si="15"/>
        <v>1167087.1892864383</v>
      </c>
      <c r="U14">
        <f t="shared" si="16"/>
        <v>0</v>
      </c>
      <c r="V14" s="29">
        <f t="shared" si="17"/>
        <v>1167087.1892864383</v>
      </c>
      <c r="W14" s="29">
        <f t="shared" si="7"/>
        <v>1167087.1892864385</v>
      </c>
      <c r="X14" s="29">
        <f t="shared" si="18"/>
        <v>1167087.1892864385</v>
      </c>
      <c r="Y14">
        <f t="shared" si="19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allocations'!$A$1:$L$317,3,FALSE)</f>
        <v>0</v>
      </c>
      <c r="E15" s="31">
        <f>VLOOKUP(B15,'Initial adjusted formula count'!$A$1:$P$317,12,FALSE)</f>
        <v>0.125</v>
      </c>
      <c r="F15">
        <f>VLOOKUP(B15,'Model allocations'!$A$1:$L$317,8,FALSE)</f>
        <v>0</v>
      </c>
      <c r="G15" s="30">
        <f t="shared" si="8"/>
        <v>0.85</v>
      </c>
      <c r="H15">
        <f t="shared" si="9"/>
        <v>0</v>
      </c>
      <c r="I15">
        <f t="shared" si="1"/>
        <v>0</v>
      </c>
      <c r="J15">
        <f t="shared" si="2"/>
        <v>0</v>
      </c>
      <c r="K15">
        <f t="shared" si="3"/>
        <v>0</v>
      </c>
      <c r="L15">
        <f t="shared" si="10"/>
        <v>0</v>
      </c>
      <c r="M15">
        <f t="shared" si="4"/>
        <v>0</v>
      </c>
      <c r="N15" s="29">
        <f t="shared" si="11"/>
        <v>0</v>
      </c>
      <c r="O15" s="29">
        <f t="shared" si="5"/>
        <v>0</v>
      </c>
      <c r="P15" s="29">
        <f t="shared" si="12"/>
        <v>0</v>
      </c>
      <c r="Q15">
        <f t="shared" si="13"/>
        <v>0</v>
      </c>
      <c r="R15" s="29">
        <f t="shared" si="14"/>
        <v>0</v>
      </c>
      <c r="S15" s="29">
        <f t="shared" si="6"/>
        <v>0</v>
      </c>
      <c r="T15" s="29">
        <f t="shared" si="15"/>
        <v>0</v>
      </c>
      <c r="U15">
        <f t="shared" si="16"/>
        <v>0</v>
      </c>
      <c r="V15" s="29">
        <f t="shared" si="17"/>
        <v>0</v>
      </c>
      <c r="W15" s="29">
        <f t="shared" si="7"/>
        <v>0</v>
      </c>
      <c r="X15" s="29">
        <f t="shared" si="18"/>
        <v>0</v>
      </c>
      <c r="Y15">
        <f t="shared" si="19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allocations'!$A$1:$L$317,3,FALSE)</f>
        <v>1977085.5260905998</v>
      </c>
      <c r="E16" s="31">
        <f>VLOOKUP(B16,'Initial adjusted formula count'!$A$1:$P$317,12,FALSE)</f>
        <v>0.103202993297973</v>
      </c>
      <c r="F16">
        <f>VLOOKUP(B16,'Model allocations'!$A$1:$L$317,8,FALSE)</f>
        <v>2181141.4294296536</v>
      </c>
      <c r="G16" s="30">
        <f t="shared" si="8"/>
        <v>0.85</v>
      </c>
      <c r="H16">
        <f t="shared" si="9"/>
        <v>1680522.6971770099</v>
      </c>
      <c r="I16">
        <f t="shared" si="1"/>
        <v>0</v>
      </c>
      <c r="J16">
        <f t="shared" si="2"/>
        <v>2181141.4294296536</v>
      </c>
      <c r="K16">
        <f t="shared" si="3"/>
        <v>2180145.0926575731</v>
      </c>
      <c r="L16">
        <f t="shared" si="10"/>
        <v>2180145.0926575731</v>
      </c>
      <c r="M16">
        <f t="shared" si="4"/>
        <v>0</v>
      </c>
      <c r="N16" s="29">
        <f t="shared" si="11"/>
        <v>2180145.0926575731</v>
      </c>
      <c r="O16" s="29">
        <f t="shared" si="5"/>
        <v>2180034.5147336391</v>
      </c>
      <c r="P16" s="29">
        <f t="shared" si="12"/>
        <v>2180034.5147336391</v>
      </c>
      <c r="Q16">
        <f t="shared" si="13"/>
        <v>0</v>
      </c>
      <c r="R16" s="29">
        <f t="shared" si="14"/>
        <v>2180034.5147336391</v>
      </c>
      <c r="S16" s="29">
        <f t="shared" si="6"/>
        <v>2180034.5147336405</v>
      </c>
      <c r="T16" s="29">
        <f t="shared" si="15"/>
        <v>2180034.5147336405</v>
      </c>
      <c r="U16">
        <f t="shared" si="16"/>
        <v>0</v>
      </c>
      <c r="V16" s="29">
        <f t="shared" si="17"/>
        <v>2180034.5147336405</v>
      </c>
      <c r="W16" s="29">
        <f t="shared" si="7"/>
        <v>2180034.5147336405</v>
      </c>
      <c r="X16" s="29">
        <f t="shared" si="18"/>
        <v>2180034.5147336405</v>
      </c>
      <c r="Y16">
        <f t="shared" si="19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allocations'!$A$1:$L$317,3,FALSE)</f>
        <v>10906.893975764393</v>
      </c>
      <c r="E17" s="31">
        <f>VLOOKUP(B17,'Initial adjusted formula count'!$A$1:$P$317,12,FALSE)</f>
        <v>0.113924050632911</v>
      </c>
      <c r="F17">
        <f>VLOOKUP(B17,'Model allocations'!$A$1:$L$317,8,FALSE)</f>
        <v>0</v>
      </c>
      <c r="G17" s="30">
        <f t="shared" si="8"/>
        <v>0.85</v>
      </c>
      <c r="H17">
        <f t="shared" si="9"/>
        <v>0</v>
      </c>
      <c r="I17">
        <f t="shared" si="1"/>
        <v>0</v>
      </c>
      <c r="J17">
        <f t="shared" si="2"/>
        <v>0</v>
      </c>
      <c r="K17">
        <f t="shared" si="3"/>
        <v>0</v>
      </c>
      <c r="L17">
        <f t="shared" si="10"/>
        <v>0</v>
      </c>
      <c r="M17">
        <f t="shared" si="4"/>
        <v>0</v>
      </c>
      <c r="N17" s="29">
        <f t="shared" si="11"/>
        <v>0</v>
      </c>
      <c r="O17" s="29">
        <f t="shared" si="5"/>
        <v>0</v>
      </c>
      <c r="P17" s="29">
        <f t="shared" si="12"/>
        <v>0</v>
      </c>
      <c r="Q17">
        <f t="shared" si="13"/>
        <v>0</v>
      </c>
      <c r="R17" s="29">
        <f t="shared" si="14"/>
        <v>0</v>
      </c>
      <c r="S17" s="29">
        <f t="shared" si="6"/>
        <v>0</v>
      </c>
      <c r="T17" s="29">
        <f t="shared" si="15"/>
        <v>0</v>
      </c>
      <c r="U17">
        <f t="shared" si="16"/>
        <v>0</v>
      </c>
      <c r="V17" s="29">
        <f t="shared" si="17"/>
        <v>0</v>
      </c>
      <c r="W17" s="29">
        <f t="shared" si="7"/>
        <v>0</v>
      </c>
      <c r="X17" s="29">
        <f t="shared" si="18"/>
        <v>0</v>
      </c>
      <c r="Y17">
        <f t="shared" si="19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allocations'!$A$1:$L$317,3,FALSE)</f>
        <v>267138.11059899989</v>
      </c>
      <c r="E18" s="31">
        <f>VLOOKUP(B18,'Initial adjusted formula count'!$A$1:$P$317,12,FALSE)</f>
        <v>0.12424364663170601</v>
      </c>
      <c r="F18">
        <f>VLOOKUP(B18,'Model allocations'!$A$1:$L$317,8,FALSE)</f>
        <v>267646.03994594951</v>
      </c>
      <c r="G18" s="30">
        <f t="shared" si="8"/>
        <v>0.85</v>
      </c>
      <c r="H18">
        <f t="shared" si="9"/>
        <v>227067.3940091499</v>
      </c>
      <c r="I18">
        <f t="shared" si="1"/>
        <v>0</v>
      </c>
      <c r="J18">
        <f t="shared" si="2"/>
        <v>267646.03994594951</v>
      </c>
      <c r="K18">
        <f t="shared" si="3"/>
        <v>267523.78029423609</v>
      </c>
      <c r="L18">
        <f t="shared" si="10"/>
        <v>267523.78029423609</v>
      </c>
      <c r="M18">
        <f t="shared" si="4"/>
        <v>0</v>
      </c>
      <c r="N18" s="29">
        <f t="shared" si="11"/>
        <v>267523.78029423609</v>
      </c>
      <c r="O18" s="29">
        <f t="shared" si="5"/>
        <v>267510.21136970556</v>
      </c>
      <c r="P18" s="29">
        <f t="shared" si="12"/>
        <v>267510.21136970556</v>
      </c>
      <c r="Q18">
        <f t="shared" si="13"/>
        <v>0</v>
      </c>
      <c r="R18" s="29">
        <f t="shared" si="14"/>
        <v>267510.21136970556</v>
      </c>
      <c r="S18" s="29">
        <f t="shared" si="6"/>
        <v>267510.21136970568</v>
      </c>
      <c r="T18" s="29">
        <f t="shared" si="15"/>
        <v>267510.21136970568</v>
      </c>
      <c r="U18">
        <f t="shared" si="16"/>
        <v>0</v>
      </c>
      <c r="V18" s="29">
        <f t="shared" si="17"/>
        <v>267510.21136970568</v>
      </c>
      <c r="W18" s="29">
        <f t="shared" si="7"/>
        <v>267510.21136970574</v>
      </c>
      <c r="X18" s="29">
        <f t="shared" si="18"/>
        <v>267510.21136970574</v>
      </c>
      <c r="Y18">
        <f t="shared" si="19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allocations'!$A$1:$L$317,3,FALSE)</f>
        <v>24089.814939311054</v>
      </c>
      <c r="E19" s="31">
        <f>VLOOKUP(B19,'Initial adjusted formula count'!$A$1:$P$317,12,FALSE)</f>
        <v>0.100917431192661</v>
      </c>
      <c r="F19">
        <f>VLOOKUP(B19,'Model allocations'!$A$1:$L$317,8,FALSE)</f>
        <v>20476.342698414395</v>
      </c>
      <c r="G19" s="30">
        <f t="shared" si="8"/>
        <v>0.85</v>
      </c>
      <c r="H19">
        <f t="shared" si="9"/>
        <v>20476.342698414395</v>
      </c>
      <c r="I19">
        <f t="shared" si="1"/>
        <v>0</v>
      </c>
      <c r="J19">
        <f t="shared" si="2"/>
        <v>20476.342698414395</v>
      </c>
      <c r="K19">
        <f t="shared" si="3"/>
        <v>20466.989186114421</v>
      </c>
      <c r="L19">
        <f t="shared" si="10"/>
        <v>20466.989186114421</v>
      </c>
      <c r="M19">
        <f t="shared" si="4"/>
        <v>20476.342698414395</v>
      </c>
      <c r="N19" s="29">
        <f t="shared" si="11"/>
        <v>0</v>
      </c>
      <c r="O19" s="29">
        <f t="shared" si="5"/>
        <v>0</v>
      </c>
      <c r="P19" s="29">
        <f t="shared" si="12"/>
        <v>20476.342698414395</v>
      </c>
      <c r="Q19">
        <f t="shared" si="13"/>
        <v>0</v>
      </c>
      <c r="R19" s="29">
        <f t="shared" si="14"/>
        <v>0</v>
      </c>
      <c r="S19" s="29">
        <f t="shared" si="6"/>
        <v>0</v>
      </c>
      <c r="T19" s="29">
        <f t="shared" si="15"/>
        <v>20476.342698414395</v>
      </c>
      <c r="U19">
        <f t="shared" si="16"/>
        <v>0</v>
      </c>
      <c r="V19" s="29">
        <f t="shared" si="17"/>
        <v>0</v>
      </c>
      <c r="W19" s="29">
        <f t="shared" si="7"/>
        <v>0</v>
      </c>
      <c r="X19" s="29">
        <f t="shared" si="18"/>
        <v>20476.342698414395</v>
      </c>
      <c r="Y19">
        <f t="shared" si="19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allocations'!$A$1:$L$317,3,FALSE)</f>
        <v>819124.2124931392</v>
      </c>
      <c r="E20" s="31">
        <f>VLOOKUP(B20,'Initial adjusted formula count'!$A$1:$P$317,12,FALSE)</f>
        <v>0.162490957352972</v>
      </c>
      <c r="F20">
        <f>VLOOKUP(B20,'Model allocations'!$A$1:$L$317,8,FALSE)</f>
        <v>732359.48458403081</v>
      </c>
      <c r="G20" s="30">
        <f t="shared" si="8"/>
        <v>0.9</v>
      </c>
      <c r="H20">
        <f t="shared" si="9"/>
        <v>737211.79124382534</v>
      </c>
      <c r="I20">
        <f t="shared" si="1"/>
        <v>737211.79124382534</v>
      </c>
      <c r="J20">
        <f t="shared" si="2"/>
        <v>0</v>
      </c>
      <c r="K20">
        <f t="shared" si="3"/>
        <v>0</v>
      </c>
      <c r="L20">
        <f t="shared" si="10"/>
        <v>737211.79124382534</v>
      </c>
      <c r="M20">
        <f t="shared" si="4"/>
        <v>0</v>
      </c>
      <c r="N20" s="29">
        <f t="shared" si="11"/>
        <v>0</v>
      </c>
      <c r="O20" s="29">
        <f t="shared" si="5"/>
        <v>0</v>
      </c>
      <c r="P20" s="29">
        <f t="shared" si="12"/>
        <v>737211.79124382534</v>
      </c>
      <c r="Q20">
        <f t="shared" si="13"/>
        <v>0</v>
      </c>
      <c r="R20" s="29">
        <f t="shared" si="14"/>
        <v>0</v>
      </c>
      <c r="S20" s="29">
        <f t="shared" si="6"/>
        <v>0</v>
      </c>
      <c r="T20" s="29">
        <f t="shared" si="15"/>
        <v>737211.79124382534</v>
      </c>
      <c r="U20">
        <f t="shared" si="16"/>
        <v>0</v>
      </c>
      <c r="V20" s="29">
        <f t="shared" si="17"/>
        <v>0</v>
      </c>
      <c r="W20" s="29">
        <f t="shared" si="7"/>
        <v>0</v>
      </c>
      <c r="X20" s="29">
        <f t="shared" si="18"/>
        <v>737211.79124382534</v>
      </c>
      <c r="Y20">
        <f t="shared" si="19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allocations'!$A$1:$L$317,3,FALSE)</f>
        <v>208567.25116782496</v>
      </c>
      <c r="E21" s="31">
        <f>VLOOKUP(B21,'Initial adjusted formula count'!$A$1:$P$317,12,FALSE)</f>
        <v>0.255005268703899</v>
      </c>
      <c r="F21">
        <f>VLOOKUP(B21,'Model allocations'!$A$1:$L$317,8,FALSE)</f>
        <v>210293.3171003889</v>
      </c>
      <c r="G21" s="30">
        <f t="shared" si="8"/>
        <v>0.9</v>
      </c>
      <c r="H21">
        <f t="shared" si="9"/>
        <v>187710.52605104246</v>
      </c>
      <c r="I21">
        <f t="shared" si="1"/>
        <v>0</v>
      </c>
      <c r="J21">
        <f t="shared" si="2"/>
        <v>210293.3171003889</v>
      </c>
      <c r="K21">
        <f t="shared" si="3"/>
        <v>210197.25594547117</v>
      </c>
      <c r="L21">
        <f t="shared" si="10"/>
        <v>210197.25594547117</v>
      </c>
      <c r="M21">
        <f t="shared" si="4"/>
        <v>0</v>
      </c>
      <c r="N21" s="29">
        <f t="shared" si="11"/>
        <v>210197.25594547117</v>
      </c>
      <c r="O21" s="29">
        <f t="shared" si="5"/>
        <v>210186.59464762575</v>
      </c>
      <c r="P21" s="29">
        <f t="shared" si="12"/>
        <v>210186.59464762575</v>
      </c>
      <c r="Q21">
        <f t="shared" si="13"/>
        <v>0</v>
      </c>
      <c r="R21" s="29">
        <f t="shared" si="14"/>
        <v>210186.59464762575</v>
      </c>
      <c r="S21" s="29">
        <f t="shared" si="6"/>
        <v>210186.59464762587</v>
      </c>
      <c r="T21" s="29">
        <f t="shared" si="15"/>
        <v>210186.59464762587</v>
      </c>
      <c r="U21">
        <f t="shared" si="16"/>
        <v>0</v>
      </c>
      <c r="V21" s="29">
        <f t="shared" si="17"/>
        <v>210186.59464762587</v>
      </c>
      <c r="W21" s="29">
        <f t="shared" si="7"/>
        <v>210186.59464762587</v>
      </c>
      <c r="X21" s="29">
        <f t="shared" si="18"/>
        <v>210186.59464762587</v>
      </c>
      <c r="Y21">
        <f t="shared" si="19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allocations'!$A$1:$L$317,3,FALSE)</f>
        <v>152217.50260669328</v>
      </c>
      <c r="E22" s="31">
        <f>VLOOKUP(B22,'Initial adjusted formula count'!$A$1:$P$317,12,FALSE)</f>
        <v>0.22727272727272699</v>
      </c>
      <c r="F22">
        <f>VLOOKUP(B22,'Model allocations'!$A$1:$L$317,8,FALSE)</f>
        <v>136995.75234602395</v>
      </c>
      <c r="G22" s="30">
        <f t="shared" si="8"/>
        <v>0.9</v>
      </c>
      <c r="H22">
        <f t="shared" si="9"/>
        <v>136995.75234602395</v>
      </c>
      <c r="I22">
        <f t="shared" si="1"/>
        <v>0</v>
      </c>
      <c r="J22">
        <f t="shared" si="2"/>
        <v>136995.75234602395</v>
      </c>
      <c r="K22">
        <f t="shared" si="3"/>
        <v>136933.17322857678</v>
      </c>
      <c r="L22">
        <f t="shared" si="10"/>
        <v>136933.17322857678</v>
      </c>
      <c r="M22">
        <f t="shared" si="4"/>
        <v>136995.75234602395</v>
      </c>
      <c r="N22" s="29">
        <f t="shared" si="11"/>
        <v>0</v>
      </c>
      <c r="O22" s="29">
        <f t="shared" si="5"/>
        <v>0</v>
      </c>
      <c r="P22" s="29">
        <f t="shared" si="12"/>
        <v>136995.75234602395</v>
      </c>
      <c r="Q22">
        <f t="shared" si="13"/>
        <v>0</v>
      </c>
      <c r="R22" s="29">
        <f t="shared" si="14"/>
        <v>0</v>
      </c>
      <c r="S22" s="29">
        <f t="shared" si="6"/>
        <v>0</v>
      </c>
      <c r="T22" s="29">
        <f t="shared" si="15"/>
        <v>136995.75234602395</v>
      </c>
      <c r="U22">
        <f t="shared" si="16"/>
        <v>0</v>
      </c>
      <c r="V22" s="29">
        <f t="shared" si="17"/>
        <v>0</v>
      </c>
      <c r="W22" s="29">
        <f t="shared" si="7"/>
        <v>0</v>
      </c>
      <c r="X22" s="29">
        <f t="shared" si="18"/>
        <v>136995.75234602395</v>
      </c>
      <c r="Y22">
        <f t="shared" si="19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allocations'!$A$1:$L$317,3,FALSE)</f>
        <v>23268.04048163072</v>
      </c>
      <c r="E23" s="31">
        <f>VLOOKUP(B23,'Initial adjusted formula count'!$A$1:$P$317,12,FALSE)</f>
        <v>0.223214285714286</v>
      </c>
      <c r="F23">
        <f>VLOOKUP(B23,'Model allocations'!$A$1:$L$317,8,FALSE)</f>
        <v>21724.51622937902</v>
      </c>
      <c r="G23" s="30">
        <f t="shared" si="8"/>
        <v>0.9</v>
      </c>
      <c r="H23">
        <f t="shared" si="9"/>
        <v>20941.236433467649</v>
      </c>
      <c r="I23">
        <f t="shared" si="1"/>
        <v>0</v>
      </c>
      <c r="J23">
        <f t="shared" si="2"/>
        <v>21724.51622937902</v>
      </c>
      <c r="K23">
        <f t="shared" si="3"/>
        <v>21714.59255635033</v>
      </c>
      <c r="L23">
        <f t="shared" si="10"/>
        <v>21714.59255635033</v>
      </c>
      <c r="M23">
        <f t="shared" si="4"/>
        <v>0</v>
      </c>
      <c r="N23" s="29">
        <f t="shared" si="11"/>
        <v>21714.59255635033</v>
      </c>
      <c r="O23" s="29">
        <f t="shared" si="5"/>
        <v>21713.491182605969</v>
      </c>
      <c r="P23" s="29">
        <f t="shared" si="12"/>
        <v>21713.491182605969</v>
      </c>
      <c r="Q23">
        <f t="shared" si="13"/>
        <v>0</v>
      </c>
      <c r="R23" s="29">
        <f t="shared" si="14"/>
        <v>21713.491182605969</v>
      </c>
      <c r="S23" s="29">
        <f t="shared" si="6"/>
        <v>21713.491182605983</v>
      </c>
      <c r="T23" s="29">
        <f t="shared" si="15"/>
        <v>21713.491182605983</v>
      </c>
      <c r="U23">
        <f t="shared" si="16"/>
        <v>0</v>
      </c>
      <c r="V23" s="29">
        <f t="shared" si="17"/>
        <v>21713.491182605983</v>
      </c>
      <c r="W23" s="29">
        <f t="shared" si="7"/>
        <v>21713.491182605987</v>
      </c>
      <c r="X23" s="29">
        <f t="shared" si="18"/>
        <v>21713.491182605987</v>
      </c>
      <c r="Y23">
        <f t="shared" si="19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allocations'!$A$1:$L$317,3,FALSE)</f>
        <v>383870.28646256687</v>
      </c>
      <c r="E24" s="31">
        <f>VLOOKUP(B24,'Initial adjusted formula count'!$A$1:$P$317,12,FALSE)</f>
        <v>0.10826288519225501</v>
      </c>
      <c r="F24">
        <f>VLOOKUP(B24,'Model allocations'!$A$1:$L$317,8,FALSE)</f>
        <v>344985.31772253884</v>
      </c>
      <c r="G24" s="30">
        <f t="shared" si="8"/>
        <v>0.85</v>
      </c>
      <c r="H24">
        <f t="shared" si="9"/>
        <v>326289.74349318183</v>
      </c>
      <c r="I24">
        <f t="shared" si="1"/>
        <v>0</v>
      </c>
      <c r="J24">
        <f t="shared" si="2"/>
        <v>344985.31772253884</v>
      </c>
      <c r="K24">
        <f t="shared" si="3"/>
        <v>344827.72979484324</v>
      </c>
      <c r="L24">
        <f t="shared" si="10"/>
        <v>344827.72979484324</v>
      </c>
      <c r="M24">
        <f t="shared" si="4"/>
        <v>0</v>
      </c>
      <c r="N24" s="29">
        <f t="shared" si="11"/>
        <v>344827.72979484324</v>
      </c>
      <c r="O24" s="29">
        <f t="shared" si="5"/>
        <v>344810.23997978278</v>
      </c>
      <c r="P24" s="29">
        <f t="shared" si="12"/>
        <v>344810.23997978278</v>
      </c>
      <c r="Q24">
        <f t="shared" si="13"/>
        <v>0</v>
      </c>
      <c r="R24" s="29">
        <f t="shared" si="14"/>
        <v>344810.23997978278</v>
      </c>
      <c r="S24" s="29">
        <f t="shared" si="6"/>
        <v>344810.23997978296</v>
      </c>
      <c r="T24" s="29">
        <f t="shared" si="15"/>
        <v>344810.23997978296</v>
      </c>
      <c r="U24">
        <f t="shared" si="16"/>
        <v>0</v>
      </c>
      <c r="V24" s="29">
        <f t="shared" si="17"/>
        <v>344810.23997978296</v>
      </c>
      <c r="W24" s="29">
        <f t="shared" si="7"/>
        <v>344810.23997978301</v>
      </c>
      <c r="X24" s="29">
        <f t="shared" si="18"/>
        <v>344810.23997978301</v>
      </c>
      <c r="Y24">
        <f t="shared" si="19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allocations'!$A$1:$L$317,3,FALSE)</f>
        <v>226621.01927421574</v>
      </c>
      <c r="E25" s="31">
        <f>VLOOKUP(B25,'Initial adjusted formula count'!$A$1:$P$317,12,FALSE)</f>
        <v>3.6446469248291598E-2</v>
      </c>
      <c r="F25">
        <f>VLOOKUP(B25,'Model allocations'!$A$1:$L$317,8,FALSE)</f>
        <v>236362.73657564376</v>
      </c>
      <c r="G25" s="30">
        <f t="shared" si="8"/>
        <v>0.85</v>
      </c>
      <c r="H25">
        <f t="shared" si="9"/>
        <v>192627.86638308337</v>
      </c>
      <c r="I25">
        <f t="shared" si="1"/>
        <v>0</v>
      </c>
      <c r="J25">
        <f t="shared" si="2"/>
        <v>236362.73657564376</v>
      </c>
      <c r="K25">
        <f t="shared" si="3"/>
        <v>236254.76701309162</v>
      </c>
      <c r="L25">
        <f t="shared" si="10"/>
        <v>236254.76701309162</v>
      </c>
      <c r="M25">
        <f t="shared" si="4"/>
        <v>0</v>
      </c>
      <c r="N25" s="29">
        <f t="shared" si="11"/>
        <v>236254.76701309162</v>
      </c>
      <c r="O25" s="29">
        <f t="shared" si="5"/>
        <v>236242.78406675297</v>
      </c>
      <c r="P25" s="29">
        <f t="shared" si="12"/>
        <v>236242.78406675297</v>
      </c>
      <c r="Q25">
        <f t="shared" si="13"/>
        <v>0</v>
      </c>
      <c r="R25" s="29">
        <f t="shared" si="14"/>
        <v>236242.78406675297</v>
      </c>
      <c r="S25" s="29">
        <f t="shared" si="6"/>
        <v>236242.78406675311</v>
      </c>
      <c r="T25" s="29">
        <f t="shared" si="15"/>
        <v>236242.78406675311</v>
      </c>
      <c r="U25">
        <f t="shared" si="16"/>
        <v>0</v>
      </c>
      <c r="V25" s="29">
        <f t="shared" si="17"/>
        <v>236242.78406675311</v>
      </c>
      <c r="W25" s="29">
        <f t="shared" si="7"/>
        <v>236242.78406675314</v>
      </c>
      <c r="X25" s="29">
        <f t="shared" si="18"/>
        <v>236242.78406675314</v>
      </c>
      <c r="Y25">
        <f t="shared" si="19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allocations'!$A$1:$L$317,3,FALSE)</f>
        <v>96359.259757244217</v>
      </c>
      <c r="E26" s="31">
        <f>VLOOKUP(B26,'Initial adjusted formula count'!$A$1:$P$317,12,FALSE)</f>
        <v>0.14862385321100899</v>
      </c>
      <c r="F26">
        <f>VLOOKUP(B26,'Model allocations'!$A$1:$L$317,8,FALSE)</f>
        <v>81905.370793657581</v>
      </c>
      <c r="G26" s="30">
        <f t="shared" si="8"/>
        <v>0.85</v>
      </c>
      <c r="H26">
        <f t="shared" si="9"/>
        <v>81905.370793657581</v>
      </c>
      <c r="I26">
        <f t="shared" si="1"/>
        <v>0</v>
      </c>
      <c r="J26">
        <f t="shared" si="2"/>
        <v>81905.370793657581</v>
      </c>
      <c r="K26">
        <f t="shared" si="3"/>
        <v>81867.956744457682</v>
      </c>
      <c r="L26">
        <f t="shared" si="10"/>
        <v>81867.956744457682</v>
      </c>
      <c r="M26">
        <f t="shared" si="4"/>
        <v>81905.370793657581</v>
      </c>
      <c r="N26" s="29">
        <f t="shared" si="11"/>
        <v>0</v>
      </c>
      <c r="O26" s="29">
        <f t="shared" si="5"/>
        <v>0</v>
      </c>
      <c r="P26" s="29">
        <f t="shared" si="12"/>
        <v>81905.370793657581</v>
      </c>
      <c r="Q26">
        <f t="shared" si="13"/>
        <v>0</v>
      </c>
      <c r="R26" s="29">
        <f t="shared" si="14"/>
        <v>0</v>
      </c>
      <c r="S26" s="29">
        <f t="shared" si="6"/>
        <v>0</v>
      </c>
      <c r="T26" s="29">
        <f t="shared" si="15"/>
        <v>81905.370793657581</v>
      </c>
      <c r="U26">
        <f t="shared" si="16"/>
        <v>0</v>
      </c>
      <c r="V26" s="29">
        <f t="shared" si="17"/>
        <v>0</v>
      </c>
      <c r="W26" s="29">
        <f t="shared" si="7"/>
        <v>0</v>
      </c>
      <c r="X26" s="29">
        <f t="shared" si="18"/>
        <v>81905.370793657581</v>
      </c>
      <c r="Y26">
        <f t="shared" si="19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allocations'!$A$1:$L$317,3,FALSE)</f>
        <v>0</v>
      </c>
      <c r="E27" s="31">
        <f>VLOOKUP(B27,'Initial adjusted formula count'!$A$1:$P$317,12,FALSE)</f>
        <v>1.9138755980861202E-2</v>
      </c>
      <c r="F27">
        <f>VLOOKUP(B27,'Model allocations'!$A$1:$L$317,8,FALSE)</f>
        <v>0</v>
      </c>
      <c r="G27" s="30">
        <f t="shared" si="8"/>
        <v>0.85</v>
      </c>
      <c r="H27">
        <f t="shared" si="9"/>
        <v>0</v>
      </c>
      <c r="I27">
        <f t="shared" si="1"/>
        <v>0</v>
      </c>
      <c r="J27">
        <f t="shared" si="2"/>
        <v>0</v>
      </c>
      <c r="K27">
        <f t="shared" si="3"/>
        <v>0</v>
      </c>
      <c r="L27">
        <f t="shared" si="10"/>
        <v>0</v>
      </c>
      <c r="M27">
        <f t="shared" si="4"/>
        <v>0</v>
      </c>
      <c r="N27" s="29">
        <f t="shared" si="11"/>
        <v>0</v>
      </c>
      <c r="O27" s="29">
        <f t="shared" si="5"/>
        <v>0</v>
      </c>
      <c r="P27" s="29">
        <f t="shared" si="12"/>
        <v>0</v>
      </c>
      <c r="Q27">
        <f t="shared" si="13"/>
        <v>0</v>
      </c>
      <c r="R27" s="29">
        <f t="shared" si="14"/>
        <v>0</v>
      </c>
      <c r="S27" s="29">
        <f t="shared" si="6"/>
        <v>0</v>
      </c>
      <c r="T27" s="29">
        <f t="shared" si="15"/>
        <v>0</v>
      </c>
      <c r="U27">
        <f t="shared" si="16"/>
        <v>0</v>
      </c>
      <c r="V27" s="29">
        <f t="shared" si="17"/>
        <v>0</v>
      </c>
      <c r="W27" s="29">
        <f t="shared" si="7"/>
        <v>0</v>
      </c>
      <c r="X27" s="29">
        <f t="shared" si="18"/>
        <v>0</v>
      </c>
      <c r="Y27">
        <f t="shared" si="19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allocations'!$A$1:$L$317,3,FALSE)</f>
        <v>151421.69390424096</v>
      </c>
      <c r="E28" s="31">
        <f>VLOOKUP(B28,'Initial adjusted formula count'!$A$1:$P$317,12,FALSE)</f>
        <v>9.7763578274760399E-2</v>
      </c>
      <c r="F28">
        <f>VLOOKUP(B28,'Model allocations'!$A$1:$L$317,8,FALSE)</f>
        <v>132954.0393237996</v>
      </c>
      <c r="G28" s="30">
        <f t="shared" si="8"/>
        <v>0.85</v>
      </c>
      <c r="H28">
        <f t="shared" si="9"/>
        <v>128708.43981860482</v>
      </c>
      <c r="I28">
        <f t="shared" si="1"/>
        <v>0</v>
      </c>
      <c r="J28">
        <f t="shared" si="2"/>
        <v>132954.0393237996</v>
      </c>
      <c r="K28">
        <f t="shared" si="3"/>
        <v>132893.30644486402</v>
      </c>
      <c r="L28">
        <f t="shared" si="10"/>
        <v>132893.30644486402</v>
      </c>
      <c r="M28">
        <f t="shared" si="4"/>
        <v>0</v>
      </c>
      <c r="N28" s="29">
        <f t="shared" si="11"/>
        <v>132893.30644486402</v>
      </c>
      <c r="O28" s="29">
        <f t="shared" si="5"/>
        <v>132886.56603754853</v>
      </c>
      <c r="P28" s="29">
        <f t="shared" si="12"/>
        <v>132886.56603754853</v>
      </c>
      <c r="Q28">
        <f t="shared" si="13"/>
        <v>0</v>
      </c>
      <c r="R28" s="29">
        <f t="shared" si="14"/>
        <v>132886.56603754853</v>
      </c>
      <c r="S28" s="29">
        <f t="shared" si="6"/>
        <v>132886.56603754862</v>
      </c>
      <c r="T28" s="29">
        <f t="shared" si="15"/>
        <v>132886.56603754862</v>
      </c>
      <c r="U28">
        <f t="shared" si="16"/>
        <v>0</v>
      </c>
      <c r="V28" s="29">
        <f t="shared" si="17"/>
        <v>132886.56603754862</v>
      </c>
      <c r="W28" s="29">
        <f t="shared" si="7"/>
        <v>132886.56603754865</v>
      </c>
      <c r="X28" s="29">
        <f t="shared" si="18"/>
        <v>132886.56603754865</v>
      </c>
      <c r="Y28">
        <f t="shared" si="19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allocations'!$A$1:$L$317,3,FALSE)</f>
        <v>142818.18856877266</v>
      </c>
      <c r="E29" s="31">
        <f>VLOOKUP(B29,'Initial adjusted formula count'!$A$1:$P$317,12,FALSE)</f>
        <v>0.108825481088255</v>
      </c>
      <c r="F29">
        <f>VLOOKUP(B29,'Model allocations'!$A$1:$L$317,8,FALSE)</f>
        <v>142512.82646472641</v>
      </c>
      <c r="G29" s="30">
        <f t="shared" si="8"/>
        <v>0.85</v>
      </c>
      <c r="H29">
        <f t="shared" si="9"/>
        <v>121395.46028345676</v>
      </c>
      <c r="I29">
        <f t="shared" si="1"/>
        <v>0</v>
      </c>
      <c r="J29">
        <f t="shared" si="2"/>
        <v>142512.82646472641</v>
      </c>
      <c r="K29">
        <f t="shared" si="3"/>
        <v>142447.7271696582</v>
      </c>
      <c r="L29">
        <f t="shared" si="10"/>
        <v>142447.7271696582</v>
      </c>
      <c r="M29">
        <f t="shared" si="4"/>
        <v>0</v>
      </c>
      <c r="N29" s="29">
        <f t="shared" si="11"/>
        <v>142447.7271696582</v>
      </c>
      <c r="O29" s="29">
        <f t="shared" si="5"/>
        <v>142440.50215789519</v>
      </c>
      <c r="P29" s="29">
        <f t="shared" si="12"/>
        <v>142440.50215789519</v>
      </c>
      <c r="Q29">
        <f t="shared" si="13"/>
        <v>0</v>
      </c>
      <c r="R29" s="29">
        <f t="shared" si="14"/>
        <v>142440.50215789519</v>
      </c>
      <c r="S29" s="29">
        <f t="shared" si="6"/>
        <v>142440.50215789527</v>
      </c>
      <c r="T29" s="29">
        <f t="shared" si="15"/>
        <v>142440.50215789527</v>
      </c>
      <c r="U29">
        <f t="shared" si="16"/>
        <v>0</v>
      </c>
      <c r="V29" s="29">
        <f t="shared" si="17"/>
        <v>142440.50215789527</v>
      </c>
      <c r="W29" s="29">
        <f t="shared" si="7"/>
        <v>142440.5021578953</v>
      </c>
      <c r="X29" s="29">
        <f t="shared" si="18"/>
        <v>142440.5021578953</v>
      </c>
      <c r="Y29">
        <f t="shared" si="19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allocations'!$A$1:$L$317,3,FALSE)</f>
        <v>160025.19923970915</v>
      </c>
      <c r="E30" s="31">
        <f>VLOOKUP(B30,'Initial adjusted formula count'!$A$1:$P$317,12,FALSE)</f>
        <v>0.116195063214931</v>
      </c>
      <c r="F30">
        <f>VLOOKUP(B30,'Model allocations'!$A$1:$L$317,8,FALSE)</f>
        <v>167713.26529080601</v>
      </c>
      <c r="G30" s="30">
        <f t="shared" si="8"/>
        <v>0.85</v>
      </c>
      <c r="H30">
        <f t="shared" si="9"/>
        <v>136021.41935375278</v>
      </c>
      <c r="I30">
        <f t="shared" si="1"/>
        <v>0</v>
      </c>
      <c r="J30">
        <f t="shared" si="2"/>
        <v>167713.26529080601</v>
      </c>
      <c r="K30">
        <f t="shared" si="3"/>
        <v>167636.65453502451</v>
      </c>
      <c r="L30">
        <f t="shared" si="10"/>
        <v>167636.65453502451</v>
      </c>
      <c r="M30">
        <f t="shared" si="4"/>
        <v>0</v>
      </c>
      <c r="N30" s="29">
        <f t="shared" si="11"/>
        <v>167636.65453502451</v>
      </c>
      <c r="O30" s="29">
        <f t="shared" si="5"/>
        <v>167628.15192971803</v>
      </c>
      <c r="P30" s="29">
        <f t="shared" si="12"/>
        <v>167628.15192971803</v>
      </c>
      <c r="Q30">
        <f t="shared" si="13"/>
        <v>0</v>
      </c>
      <c r="R30" s="29">
        <f t="shared" si="14"/>
        <v>167628.15192971803</v>
      </c>
      <c r="S30" s="29">
        <f t="shared" si="6"/>
        <v>167628.15192971812</v>
      </c>
      <c r="T30" s="29">
        <f t="shared" si="15"/>
        <v>167628.15192971812</v>
      </c>
      <c r="U30">
        <f t="shared" si="16"/>
        <v>0</v>
      </c>
      <c r="V30" s="29">
        <f t="shared" si="17"/>
        <v>167628.15192971812</v>
      </c>
      <c r="W30" s="29">
        <f t="shared" si="7"/>
        <v>167628.15192971815</v>
      </c>
      <c r="X30" s="29">
        <f t="shared" si="18"/>
        <v>167628.15192971815</v>
      </c>
      <c r="Y30">
        <f t="shared" si="19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allocations'!$A$1:$L$317,3,FALSE)</f>
        <v>63398.866922579939</v>
      </c>
      <c r="E31" s="31">
        <f>VLOOKUP(B31,'Initial adjusted formula count'!$A$1:$P$317,12,FALSE)</f>
        <v>0.10646043117432499</v>
      </c>
      <c r="F31">
        <f>VLOOKUP(B31,'Model allocations'!$A$1:$L$317,8,FALSE)</f>
        <v>60923.266415243648</v>
      </c>
      <c r="G31" s="30">
        <f t="shared" si="8"/>
        <v>0.85</v>
      </c>
      <c r="H31">
        <f t="shared" si="9"/>
        <v>53889.036884192945</v>
      </c>
      <c r="I31">
        <f t="shared" si="1"/>
        <v>0</v>
      </c>
      <c r="J31">
        <f t="shared" si="2"/>
        <v>60923.266415243648</v>
      </c>
      <c r="K31">
        <f t="shared" si="3"/>
        <v>60895.436908277363</v>
      </c>
      <c r="L31">
        <f t="shared" si="10"/>
        <v>60895.436908277363</v>
      </c>
      <c r="M31">
        <f t="shared" si="4"/>
        <v>0</v>
      </c>
      <c r="N31" s="29">
        <f t="shared" si="11"/>
        <v>60895.436908277363</v>
      </c>
      <c r="O31" s="29">
        <f t="shared" si="5"/>
        <v>60892.348264767788</v>
      </c>
      <c r="P31" s="29">
        <f t="shared" si="12"/>
        <v>60892.348264767788</v>
      </c>
      <c r="Q31">
        <f t="shared" si="13"/>
        <v>0</v>
      </c>
      <c r="R31" s="29">
        <f t="shared" si="14"/>
        <v>60892.348264767788</v>
      </c>
      <c r="S31" s="29">
        <f t="shared" si="6"/>
        <v>60892.348264767825</v>
      </c>
      <c r="T31" s="29">
        <f t="shared" si="15"/>
        <v>60892.348264767825</v>
      </c>
      <c r="U31">
        <f t="shared" si="16"/>
        <v>0</v>
      </c>
      <c r="V31" s="29">
        <f t="shared" si="17"/>
        <v>60892.348264767825</v>
      </c>
      <c r="W31" s="29">
        <f t="shared" si="7"/>
        <v>60892.348264767832</v>
      </c>
      <c r="X31" s="29">
        <f t="shared" si="18"/>
        <v>60892.348264767832</v>
      </c>
      <c r="Y31">
        <f t="shared" si="19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allocations'!$A$1:$L$317,3,FALSE)</f>
        <v>23229.464405764236</v>
      </c>
      <c r="E32" s="31">
        <f>VLOOKUP(B32,'Initial adjusted formula count'!$A$1:$P$317,12,FALSE)</f>
        <v>0.25531914893617003</v>
      </c>
      <c r="F32">
        <f>VLOOKUP(B32,'Model allocations'!$A$1:$L$317,8,FALSE)</f>
        <v>20906.517965187813</v>
      </c>
      <c r="G32" s="30">
        <f t="shared" si="8"/>
        <v>0.9</v>
      </c>
      <c r="H32">
        <f t="shared" si="9"/>
        <v>20906.517965187813</v>
      </c>
      <c r="I32">
        <f t="shared" si="1"/>
        <v>0</v>
      </c>
      <c r="J32">
        <f t="shared" si="2"/>
        <v>20906.517965187813</v>
      </c>
      <c r="K32">
        <f t="shared" si="3"/>
        <v>20896.967950528597</v>
      </c>
      <c r="L32">
        <f t="shared" si="10"/>
        <v>20896.967950528597</v>
      </c>
      <c r="M32">
        <f t="shared" si="4"/>
        <v>20906.517965187813</v>
      </c>
      <c r="N32" s="29">
        <f t="shared" si="11"/>
        <v>0</v>
      </c>
      <c r="O32" s="29">
        <f t="shared" si="5"/>
        <v>0</v>
      </c>
      <c r="P32" s="29">
        <f t="shared" si="12"/>
        <v>20906.517965187813</v>
      </c>
      <c r="Q32">
        <f t="shared" si="13"/>
        <v>0</v>
      </c>
      <c r="R32" s="29">
        <f t="shared" si="14"/>
        <v>0</v>
      </c>
      <c r="S32" s="29">
        <f t="shared" si="6"/>
        <v>0</v>
      </c>
      <c r="T32" s="29">
        <f t="shared" si="15"/>
        <v>20906.517965187813</v>
      </c>
      <c r="U32">
        <f t="shared" si="16"/>
        <v>0</v>
      </c>
      <c r="V32" s="29">
        <f t="shared" si="17"/>
        <v>0</v>
      </c>
      <c r="W32" s="29">
        <f t="shared" si="7"/>
        <v>0</v>
      </c>
      <c r="X32" s="29">
        <f t="shared" si="18"/>
        <v>20906.517965187813</v>
      </c>
      <c r="Y32">
        <f t="shared" si="19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allocations'!$A$1:$L$317,3,FALSE)</f>
        <v>751086.0157863769</v>
      </c>
      <c r="E33" s="31">
        <f>VLOOKUP(B33,'Initial adjusted formula count'!$A$1:$P$317,12,FALSE)</f>
        <v>7.0280944259940803E-2</v>
      </c>
      <c r="F33">
        <f>VLOOKUP(B33,'Model allocations'!$A$1:$L$317,8,FALSE)</f>
        <v>680411.84830415098</v>
      </c>
      <c r="G33" s="30">
        <f t="shared" si="8"/>
        <v>0.85</v>
      </c>
      <c r="H33">
        <f t="shared" si="9"/>
        <v>638423.11341842031</v>
      </c>
      <c r="I33">
        <f t="shared" si="1"/>
        <v>0</v>
      </c>
      <c r="J33">
        <f t="shared" si="2"/>
        <v>680411.84830415098</v>
      </c>
      <c r="K33">
        <f t="shared" si="3"/>
        <v>680101.03886489233</v>
      </c>
      <c r="L33">
        <f t="shared" si="10"/>
        <v>680101.03886489233</v>
      </c>
      <c r="M33">
        <f t="shared" si="4"/>
        <v>0</v>
      </c>
      <c r="N33" s="29">
        <f t="shared" si="11"/>
        <v>680101.03886489233</v>
      </c>
      <c r="O33" s="29">
        <f t="shared" si="5"/>
        <v>680066.54383921891</v>
      </c>
      <c r="P33" s="29">
        <f t="shared" si="12"/>
        <v>680066.54383921891</v>
      </c>
      <c r="Q33">
        <f t="shared" si="13"/>
        <v>0</v>
      </c>
      <c r="R33" s="29">
        <f t="shared" si="14"/>
        <v>680066.54383921891</v>
      </c>
      <c r="S33" s="29">
        <f t="shared" si="6"/>
        <v>680066.54383921926</v>
      </c>
      <c r="T33" s="29">
        <f t="shared" si="15"/>
        <v>680066.54383921926</v>
      </c>
      <c r="U33">
        <f t="shared" si="16"/>
        <v>0</v>
      </c>
      <c r="V33" s="29">
        <f t="shared" si="17"/>
        <v>680066.54383921926</v>
      </c>
      <c r="W33" s="29">
        <f t="shared" si="7"/>
        <v>680066.54383921938</v>
      </c>
      <c r="X33" s="29">
        <f t="shared" si="18"/>
        <v>680066.54383921938</v>
      </c>
      <c r="Y33">
        <f t="shared" si="19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allocations'!$A$1:$L$317,3,FALSE)</f>
        <v>1594229.5386622641</v>
      </c>
      <c r="E34" s="31">
        <f>VLOOKUP(B34,'Initial adjusted formula count'!$A$1:$P$317,12,FALSE)</f>
        <v>8.3882634311380697E-2</v>
      </c>
      <c r="F34">
        <f>VLOOKUP(B34,'Model allocations'!$A$1:$L$317,8,FALSE)</f>
        <v>1355095.1078629245</v>
      </c>
      <c r="G34" s="30">
        <f t="shared" si="8"/>
        <v>0.85</v>
      </c>
      <c r="H34">
        <f t="shared" si="9"/>
        <v>1355095.1078629245</v>
      </c>
      <c r="I34">
        <f t="shared" si="1"/>
        <v>0</v>
      </c>
      <c r="J34">
        <f t="shared" si="2"/>
        <v>1355095.1078629245</v>
      </c>
      <c r="K34">
        <f t="shared" si="3"/>
        <v>1354476.1057810728</v>
      </c>
      <c r="L34">
        <f t="shared" si="10"/>
        <v>1354476.1057810728</v>
      </c>
      <c r="M34">
        <f t="shared" si="4"/>
        <v>1355095.1078629245</v>
      </c>
      <c r="N34" s="29">
        <f t="shared" si="11"/>
        <v>0</v>
      </c>
      <c r="O34" s="29">
        <f t="shared" si="5"/>
        <v>0</v>
      </c>
      <c r="P34" s="29">
        <f t="shared" si="12"/>
        <v>1355095.1078629245</v>
      </c>
      <c r="Q34">
        <f t="shared" si="13"/>
        <v>0</v>
      </c>
      <c r="R34" s="29">
        <f t="shared" si="14"/>
        <v>0</v>
      </c>
      <c r="S34" s="29">
        <f t="shared" si="6"/>
        <v>0</v>
      </c>
      <c r="T34" s="29">
        <f t="shared" si="15"/>
        <v>1355095.1078629245</v>
      </c>
      <c r="U34">
        <f t="shared" si="16"/>
        <v>0</v>
      </c>
      <c r="V34" s="29">
        <f t="shared" si="17"/>
        <v>0</v>
      </c>
      <c r="W34" s="29">
        <f t="shared" si="7"/>
        <v>0</v>
      </c>
      <c r="X34" s="29">
        <f t="shared" si="18"/>
        <v>1355095.1078629245</v>
      </c>
      <c r="Y34">
        <f t="shared" si="19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allocations'!$A$1:$L$317,3,FALSE)</f>
        <v>662469.91083105397</v>
      </c>
      <c r="E35" s="31">
        <f>VLOOKUP(B35,'Initial adjusted formula count'!$A$1:$P$317,12,FALSE)</f>
        <v>0.198892478080295</v>
      </c>
      <c r="F35">
        <f>VLOOKUP(B35,'Model allocations'!$A$1:$L$317,8,FALSE)</f>
        <v>749061.31958898879</v>
      </c>
      <c r="G35" s="30">
        <f t="shared" si="8"/>
        <v>0.9</v>
      </c>
      <c r="H35">
        <f t="shared" si="9"/>
        <v>596222.91974794865</v>
      </c>
      <c r="I35">
        <f t="shared" si="1"/>
        <v>0</v>
      </c>
      <c r="J35">
        <f t="shared" si="2"/>
        <v>749061.31958898879</v>
      </c>
      <c r="K35">
        <f t="shared" si="3"/>
        <v>748719.15134295949</v>
      </c>
      <c r="L35">
        <f t="shared" si="10"/>
        <v>748719.15134295949</v>
      </c>
      <c r="M35">
        <f t="shared" si="4"/>
        <v>0</v>
      </c>
      <c r="N35" s="29">
        <f t="shared" si="11"/>
        <v>748719.15134295949</v>
      </c>
      <c r="O35" s="29">
        <f t="shared" si="5"/>
        <v>748681.17597625393</v>
      </c>
      <c r="P35" s="29">
        <f t="shared" si="12"/>
        <v>748681.17597625393</v>
      </c>
      <c r="Q35">
        <f t="shared" si="13"/>
        <v>0</v>
      </c>
      <c r="R35" s="29">
        <f t="shared" si="14"/>
        <v>748681.17597625393</v>
      </c>
      <c r="S35" s="29">
        <f t="shared" si="6"/>
        <v>748681.17597625428</v>
      </c>
      <c r="T35" s="29">
        <f t="shared" si="15"/>
        <v>748681.17597625428</v>
      </c>
      <c r="U35">
        <f t="shared" si="16"/>
        <v>0</v>
      </c>
      <c r="V35" s="29">
        <f t="shared" si="17"/>
        <v>748681.17597625428</v>
      </c>
      <c r="W35" s="29">
        <f t="shared" si="7"/>
        <v>748681.1759762544</v>
      </c>
      <c r="X35" s="29">
        <f t="shared" si="18"/>
        <v>748681.1759762544</v>
      </c>
      <c r="Y35">
        <f t="shared" si="19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allocations'!$A$1:$L$317,3,FALSE)</f>
        <v>247222.93011732632</v>
      </c>
      <c r="E36" s="31">
        <f>VLOOKUP(B36,'Initial adjusted formula count'!$A$1:$P$317,12,FALSE)</f>
        <v>0.141131815044859</v>
      </c>
      <c r="F36">
        <f>VLOOKUP(B36,'Model allocations'!$A$1:$L$317,8,FALSE)</f>
        <v>355413.08551264077</v>
      </c>
      <c r="G36" s="30">
        <f t="shared" si="8"/>
        <v>0.85</v>
      </c>
      <c r="H36">
        <f t="shared" si="9"/>
        <v>210139.49059972737</v>
      </c>
      <c r="I36">
        <f t="shared" si="1"/>
        <v>0</v>
      </c>
      <c r="J36">
        <f t="shared" si="2"/>
        <v>355413.08551264077</v>
      </c>
      <c r="K36">
        <f t="shared" si="3"/>
        <v>355250.73422189138</v>
      </c>
      <c r="L36">
        <f t="shared" si="10"/>
        <v>355250.73422189138</v>
      </c>
      <c r="M36">
        <f t="shared" si="4"/>
        <v>0</v>
      </c>
      <c r="N36" s="29">
        <f t="shared" si="11"/>
        <v>355250.73422189138</v>
      </c>
      <c r="O36" s="29">
        <f t="shared" si="5"/>
        <v>355232.7157474336</v>
      </c>
      <c r="P36" s="29">
        <f t="shared" si="12"/>
        <v>355232.7157474336</v>
      </c>
      <c r="Q36">
        <f t="shared" si="13"/>
        <v>0</v>
      </c>
      <c r="R36" s="29">
        <f t="shared" si="14"/>
        <v>355232.7157474336</v>
      </c>
      <c r="S36" s="29">
        <f t="shared" si="6"/>
        <v>355232.71574743383</v>
      </c>
      <c r="T36" s="29">
        <f t="shared" si="15"/>
        <v>355232.71574743383</v>
      </c>
      <c r="U36">
        <f t="shared" si="16"/>
        <v>0</v>
      </c>
      <c r="V36" s="29">
        <f t="shared" si="17"/>
        <v>355232.71574743383</v>
      </c>
      <c r="W36" s="29">
        <f t="shared" si="7"/>
        <v>355232.71574743389</v>
      </c>
      <c r="X36" s="29">
        <f t="shared" si="18"/>
        <v>355232.71574743389</v>
      </c>
      <c r="Y36">
        <f t="shared" si="19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allocations'!$A$1:$L$317,3,FALSE)</f>
        <v>753667.06738701742</v>
      </c>
      <c r="E37" s="31">
        <f>VLOOKUP(B37,'Initial adjusted formula count'!$A$1:$P$317,12,FALSE)</f>
        <v>0.113426662424435</v>
      </c>
      <c r="F37">
        <f>VLOOKUP(B37,'Model allocations'!$A$1:$L$317,8,FALSE)</f>
        <v>640617.00727896474</v>
      </c>
      <c r="G37" s="30">
        <f t="shared" si="8"/>
        <v>0.85</v>
      </c>
      <c r="H37">
        <f t="shared" si="9"/>
        <v>640617.00727896474</v>
      </c>
      <c r="I37">
        <f t="shared" si="1"/>
        <v>0</v>
      </c>
      <c r="J37">
        <f t="shared" si="2"/>
        <v>640617.00727896474</v>
      </c>
      <c r="K37">
        <f t="shared" si="3"/>
        <v>640324.37596557988</v>
      </c>
      <c r="L37">
        <f t="shared" si="10"/>
        <v>640324.37596557988</v>
      </c>
      <c r="M37">
        <f t="shared" si="4"/>
        <v>640617.00727896474</v>
      </c>
      <c r="N37" s="29">
        <f t="shared" si="11"/>
        <v>0</v>
      </c>
      <c r="O37" s="29">
        <f t="shared" si="5"/>
        <v>0</v>
      </c>
      <c r="P37" s="29">
        <f t="shared" si="12"/>
        <v>640617.00727896474</v>
      </c>
      <c r="Q37">
        <f t="shared" si="13"/>
        <v>0</v>
      </c>
      <c r="R37" s="29">
        <f t="shared" si="14"/>
        <v>0</v>
      </c>
      <c r="S37" s="29">
        <f t="shared" si="6"/>
        <v>0</v>
      </c>
      <c r="T37" s="29">
        <f t="shared" si="15"/>
        <v>640617.00727896474</v>
      </c>
      <c r="U37">
        <f t="shared" si="16"/>
        <v>0</v>
      </c>
      <c r="V37" s="29">
        <f t="shared" si="17"/>
        <v>0</v>
      </c>
      <c r="W37" s="29">
        <f t="shared" si="7"/>
        <v>0</v>
      </c>
      <c r="X37" s="29">
        <f t="shared" si="18"/>
        <v>640617.00727896474</v>
      </c>
      <c r="Y37">
        <f t="shared" si="19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allocations'!$A$1:$L$317,3,FALSE)</f>
        <v>155596.35784154371</v>
      </c>
      <c r="E38" s="31">
        <f>VLOOKUP(B38,'Initial adjusted formula count'!$A$1:$P$317,12,FALSE)</f>
        <v>0.161904761904762</v>
      </c>
      <c r="F38">
        <f>VLOOKUP(B38,'Model allocations'!$A$1:$L$317,8,FALSE)</f>
        <v>140036.72205738933</v>
      </c>
      <c r="G38" s="30">
        <f t="shared" si="8"/>
        <v>0.9</v>
      </c>
      <c r="H38">
        <f t="shared" si="9"/>
        <v>140036.72205738933</v>
      </c>
      <c r="I38">
        <f t="shared" si="1"/>
        <v>0</v>
      </c>
      <c r="J38">
        <f t="shared" si="2"/>
        <v>140036.72205738933</v>
      </c>
      <c r="K38">
        <f t="shared" si="3"/>
        <v>139972.75383701405</v>
      </c>
      <c r="L38">
        <f t="shared" si="10"/>
        <v>139972.75383701405</v>
      </c>
      <c r="M38">
        <f t="shared" si="4"/>
        <v>140036.72205738933</v>
      </c>
      <c r="N38" s="29">
        <f t="shared" si="11"/>
        <v>0</v>
      </c>
      <c r="O38" s="29">
        <f t="shared" si="5"/>
        <v>0</v>
      </c>
      <c r="P38" s="29">
        <f t="shared" si="12"/>
        <v>140036.72205738933</v>
      </c>
      <c r="Q38">
        <f t="shared" si="13"/>
        <v>0</v>
      </c>
      <c r="R38" s="29">
        <f t="shared" si="14"/>
        <v>0</v>
      </c>
      <c r="S38" s="29">
        <f t="shared" si="6"/>
        <v>0</v>
      </c>
      <c r="T38" s="29">
        <f t="shared" si="15"/>
        <v>140036.72205738933</v>
      </c>
      <c r="U38">
        <f t="shared" si="16"/>
        <v>0</v>
      </c>
      <c r="V38" s="29">
        <f t="shared" si="17"/>
        <v>0</v>
      </c>
      <c r="W38" s="29">
        <f t="shared" si="7"/>
        <v>0</v>
      </c>
      <c r="X38" s="29">
        <f t="shared" si="18"/>
        <v>140036.72205738933</v>
      </c>
      <c r="Y38">
        <f t="shared" si="19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allocations'!$A$1:$L$317,3,FALSE)</f>
        <v>151969.38939565056</v>
      </c>
      <c r="E39" s="31">
        <f>VLOOKUP(B39,'Initial adjusted formula count'!$A$1:$P$317,12,FALSE)</f>
        <v>0.135957066189624</v>
      </c>
      <c r="F39">
        <f>VLOOKUP(B39,'Model allocations'!$A$1:$L$317,8,FALSE)</f>
        <v>132085.05867462448</v>
      </c>
      <c r="G39" s="30">
        <f t="shared" si="8"/>
        <v>0.85</v>
      </c>
      <c r="H39">
        <f t="shared" si="9"/>
        <v>129173.98098630298</v>
      </c>
      <c r="I39">
        <f t="shared" si="1"/>
        <v>0</v>
      </c>
      <c r="J39">
        <f t="shared" si="2"/>
        <v>132085.05867462448</v>
      </c>
      <c r="K39">
        <f t="shared" si="3"/>
        <v>132024.72274261006</v>
      </c>
      <c r="L39">
        <f t="shared" si="10"/>
        <v>132024.72274261006</v>
      </c>
      <c r="M39">
        <f t="shared" si="4"/>
        <v>0</v>
      </c>
      <c r="N39" s="29">
        <f t="shared" si="11"/>
        <v>132024.72274261006</v>
      </c>
      <c r="O39" s="29">
        <f t="shared" si="5"/>
        <v>132018.02639024434</v>
      </c>
      <c r="P39" s="29">
        <f t="shared" si="12"/>
        <v>132018.02639024434</v>
      </c>
      <c r="Q39">
        <f t="shared" si="13"/>
        <v>0</v>
      </c>
      <c r="R39" s="29">
        <f t="shared" si="14"/>
        <v>132018.02639024434</v>
      </c>
      <c r="S39" s="29">
        <f t="shared" si="6"/>
        <v>132018.0263902444</v>
      </c>
      <c r="T39" s="29">
        <f t="shared" si="15"/>
        <v>132018.0263902444</v>
      </c>
      <c r="U39">
        <f t="shared" si="16"/>
        <v>0</v>
      </c>
      <c r="V39" s="29">
        <f t="shared" si="17"/>
        <v>132018.0263902444</v>
      </c>
      <c r="W39" s="29">
        <f t="shared" si="7"/>
        <v>132018.0263902444</v>
      </c>
      <c r="X39" s="29">
        <f t="shared" si="18"/>
        <v>132018.0263902444</v>
      </c>
      <c r="Y39">
        <f t="shared" si="19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allocations'!$A$1:$L$317,3,FALSE)</f>
        <v>521372.42332937499</v>
      </c>
      <c r="E40" s="31">
        <f>VLOOKUP(B40,'Initial adjusted formula count'!$A$1:$P$317,12,FALSE)</f>
        <v>0.19076812116840999</v>
      </c>
      <c r="F40">
        <f>VLOOKUP(B40,'Model allocations'!$A$1:$L$317,8,FALSE)</f>
        <v>469373.72974886751</v>
      </c>
      <c r="G40" s="30">
        <f t="shared" si="8"/>
        <v>0.9</v>
      </c>
      <c r="H40">
        <f t="shared" si="9"/>
        <v>469235.1809964375</v>
      </c>
      <c r="I40">
        <f t="shared" si="1"/>
        <v>0</v>
      </c>
      <c r="J40">
        <f t="shared" si="2"/>
        <v>469373.72974886751</v>
      </c>
      <c r="K40">
        <f t="shared" si="3"/>
        <v>469159.32168688334</v>
      </c>
      <c r="L40">
        <f t="shared" si="10"/>
        <v>469159.32168688334</v>
      </c>
      <c r="M40">
        <f t="shared" si="4"/>
        <v>469235.1809964375</v>
      </c>
      <c r="N40" s="29">
        <f t="shared" si="11"/>
        <v>0</v>
      </c>
      <c r="O40" s="29">
        <f t="shared" si="5"/>
        <v>0</v>
      </c>
      <c r="P40" s="29">
        <f t="shared" si="12"/>
        <v>469235.1809964375</v>
      </c>
      <c r="Q40">
        <f t="shared" si="13"/>
        <v>0</v>
      </c>
      <c r="R40" s="29">
        <f t="shared" si="14"/>
        <v>0</v>
      </c>
      <c r="S40" s="29">
        <f t="shared" si="6"/>
        <v>0</v>
      </c>
      <c r="T40" s="29">
        <f t="shared" si="15"/>
        <v>469235.1809964375</v>
      </c>
      <c r="U40">
        <f t="shared" si="16"/>
        <v>0</v>
      </c>
      <c r="V40" s="29">
        <f t="shared" si="17"/>
        <v>0</v>
      </c>
      <c r="W40" s="29">
        <f t="shared" si="7"/>
        <v>0</v>
      </c>
      <c r="X40" s="29">
        <f t="shared" si="18"/>
        <v>469235.1809964375</v>
      </c>
      <c r="Y40">
        <f t="shared" si="19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allocations'!$A$1:$L$317,3,FALSE)</f>
        <v>128192.22949847669</v>
      </c>
      <c r="E41" s="31">
        <f>VLOOKUP(B41,'Initial adjusted formula count'!$A$1:$P$317,12,FALSE)</f>
        <v>0.141929499072356</v>
      </c>
      <c r="F41">
        <f>VLOOKUP(B41,'Model allocations'!$A$1:$L$317,8,FALSE)</f>
        <v>132954.0393237996</v>
      </c>
      <c r="G41" s="30">
        <f t="shared" si="8"/>
        <v>0.85</v>
      </c>
      <c r="H41">
        <f t="shared" si="9"/>
        <v>108963.39507370519</v>
      </c>
      <c r="I41">
        <f t="shared" si="1"/>
        <v>0</v>
      </c>
      <c r="J41">
        <f t="shared" si="2"/>
        <v>132954.0393237996</v>
      </c>
      <c r="K41">
        <f t="shared" si="3"/>
        <v>132893.30644486402</v>
      </c>
      <c r="L41">
        <f t="shared" si="10"/>
        <v>132893.30644486402</v>
      </c>
      <c r="M41">
        <f t="shared" si="4"/>
        <v>0</v>
      </c>
      <c r="N41" s="29">
        <f t="shared" si="11"/>
        <v>132893.30644486402</v>
      </c>
      <c r="O41" s="29">
        <f t="shared" si="5"/>
        <v>132886.56603754853</v>
      </c>
      <c r="P41" s="29">
        <f t="shared" si="12"/>
        <v>132886.56603754853</v>
      </c>
      <c r="Q41">
        <f t="shared" si="13"/>
        <v>0</v>
      </c>
      <c r="R41" s="29">
        <f t="shared" si="14"/>
        <v>132886.56603754853</v>
      </c>
      <c r="S41" s="29">
        <f t="shared" si="6"/>
        <v>132886.56603754862</v>
      </c>
      <c r="T41" s="29">
        <f t="shared" si="15"/>
        <v>132886.56603754862</v>
      </c>
      <c r="U41">
        <f t="shared" si="16"/>
        <v>0</v>
      </c>
      <c r="V41" s="29">
        <f t="shared" si="17"/>
        <v>132886.56603754862</v>
      </c>
      <c r="W41" s="29">
        <f t="shared" si="7"/>
        <v>132886.56603754865</v>
      </c>
      <c r="X41" s="29">
        <f t="shared" si="18"/>
        <v>132886.56603754865</v>
      </c>
      <c r="Y41">
        <f t="shared" si="19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allocations'!$A$1:$L$317,3,FALSE)</f>
        <v>1713818.262825272</v>
      </c>
      <c r="E42" s="31">
        <f>VLOOKUP(B42,'Initial adjusted formula count'!$A$1:$P$317,12,FALSE)</f>
        <v>0.150844876350714</v>
      </c>
      <c r="F42">
        <f>VLOOKUP(B42,'Model allocations'!$A$1:$L$317,8,FALSE)</f>
        <v>1807479.7502843342</v>
      </c>
      <c r="G42" s="30">
        <f t="shared" si="8"/>
        <v>0.9</v>
      </c>
      <c r="H42">
        <f t="shared" si="9"/>
        <v>1542436.436542745</v>
      </c>
      <c r="I42">
        <f t="shared" si="1"/>
        <v>0</v>
      </c>
      <c r="J42">
        <f t="shared" si="2"/>
        <v>1807479.7502843342</v>
      </c>
      <c r="K42">
        <f t="shared" si="3"/>
        <v>1806654.1006883471</v>
      </c>
      <c r="L42">
        <f t="shared" si="10"/>
        <v>1806654.1006883471</v>
      </c>
      <c r="M42">
        <f t="shared" si="4"/>
        <v>0</v>
      </c>
      <c r="N42" s="29">
        <f t="shared" si="11"/>
        <v>1806654.1006883471</v>
      </c>
      <c r="O42" s="29">
        <f t="shared" si="5"/>
        <v>1806562.4663928163</v>
      </c>
      <c r="P42" s="29">
        <f t="shared" si="12"/>
        <v>1806562.4663928163</v>
      </c>
      <c r="Q42">
        <f t="shared" si="13"/>
        <v>0</v>
      </c>
      <c r="R42" s="29">
        <f t="shared" si="14"/>
        <v>1806562.4663928163</v>
      </c>
      <c r="S42" s="29">
        <f t="shared" si="6"/>
        <v>1806562.4663928174</v>
      </c>
      <c r="T42" s="29">
        <f t="shared" si="15"/>
        <v>1806562.4663928174</v>
      </c>
      <c r="U42">
        <f t="shared" si="16"/>
        <v>0</v>
      </c>
      <c r="V42" s="29">
        <f t="shared" si="17"/>
        <v>1806562.4663928174</v>
      </c>
      <c r="W42" s="29">
        <f t="shared" si="7"/>
        <v>1806562.4663928177</v>
      </c>
      <c r="X42" s="29">
        <f t="shared" si="18"/>
        <v>1806562.4663928177</v>
      </c>
      <c r="Y42">
        <f t="shared" si="19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allocations'!$A$1:$L$317,3,FALSE)</f>
        <v>38715.774009607056</v>
      </c>
      <c r="E43" s="31">
        <f>VLOOKUP(B43,'Initial adjusted formula count'!$A$1:$P$317,12,FALSE)</f>
        <v>9.8070739549839206E-2</v>
      </c>
      <c r="F43">
        <f>VLOOKUP(B43,'Model allocations'!$A$1:$L$317,8,FALSE)</f>
        <v>53007.819599684815</v>
      </c>
      <c r="G43" s="30">
        <f t="shared" si="8"/>
        <v>0.85</v>
      </c>
      <c r="H43">
        <f t="shared" si="9"/>
        <v>32908.407908165995</v>
      </c>
      <c r="I43">
        <f t="shared" si="1"/>
        <v>0</v>
      </c>
      <c r="J43">
        <f t="shared" si="2"/>
        <v>53007.819599684815</v>
      </c>
      <c r="K43">
        <f t="shared" si="3"/>
        <v>52983.605837494812</v>
      </c>
      <c r="L43">
        <f t="shared" si="10"/>
        <v>52983.605837494812</v>
      </c>
      <c r="M43">
        <f t="shared" si="4"/>
        <v>0</v>
      </c>
      <c r="N43" s="29">
        <f t="shared" si="11"/>
        <v>52983.605837494812</v>
      </c>
      <c r="O43" s="29">
        <f t="shared" si="5"/>
        <v>52980.91848555857</v>
      </c>
      <c r="P43" s="29">
        <f t="shared" si="12"/>
        <v>52980.91848555857</v>
      </c>
      <c r="Q43">
        <f t="shared" si="13"/>
        <v>0</v>
      </c>
      <c r="R43" s="29">
        <f t="shared" si="14"/>
        <v>52980.91848555857</v>
      </c>
      <c r="S43" s="29">
        <f t="shared" si="6"/>
        <v>52980.918485558599</v>
      </c>
      <c r="T43" s="29">
        <f t="shared" si="15"/>
        <v>52980.918485558599</v>
      </c>
      <c r="U43">
        <f t="shared" si="16"/>
        <v>0</v>
      </c>
      <c r="V43" s="29">
        <f t="shared" si="17"/>
        <v>52980.918485558599</v>
      </c>
      <c r="W43" s="29">
        <f t="shared" si="7"/>
        <v>52980.918485558606</v>
      </c>
      <c r="X43" s="29">
        <f t="shared" si="18"/>
        <v>52980.918485558606</v>
      </c>
      <c r="Y43">
        <f t="shared" si="19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allocations'!$A$1:$L$317,3,FALSE)</f>
        <v>186696.06577966068</v>
      </c>
      <c r="E44" s="31">
        <f>VLOOKUP(B44,'Initial adjusted formula count'!$A$1:$P$317,12,FALSE)</f>
        <v>0.13999021047479199</v>
      </c>
      <c r="F44">
        <f>VLOOKUP(B44,'Model allocations'!$A$1:$L$317,8,FALSE)</f>
        <v>248528.46566409603</v>
      </c>
      <c r="G44" s="30">
        <f t="shared" si="8"/>
        <v>0.85</v>
      </c>
      <c r="H44">
        <f t="shared" si="9"/>
        <v>158691.65591271158</v>
      </c>
      <c r="I44">
        <f t="shared" si="1"/>
        <v>0</v>
      </c>
      <c r="J44">
        <f t="shared" si="2"/>
        <v>248528.46566409603</v>
      </c>
      <c r="K44">
        <f t="shared" si="3"/>
        <v>248414.93884464781</v>
      </c>
      <c r="L44">
        <f t="shared" si="10"/>
        <v>248414.93884464781</v>
      </c>
      <c r="M44">
        <f t="shared" si="4"/>
        <v>0</v>
      </c>
      <c r="N44" s="29">
        <f t="shared" si="11"/>
        <v>248414.93884464781</v>
      </c>
      <c r="O44" s="29">
        <f t="shared" si="5"/>
        <v>248402.33912901234</v>
      </c>
      <c r="P44" s="29">
        <f t="shared" si="12"/>
        <v>248402.33912901234</v>
      </c>
      <c r="Q44">
        <f t="shared" si="13"/>
        <v>0</v>
      </c>
      <c r="R44" s="29">
        <f t="shared" si="14"/>
        <v>248402.33912901234</v>
      </c>
      <c r="S44" s="29">
        <f t="shared" si="6"/>
        <v>248402.33912901249</v>
      </c>
      <c r="T44" s="29">
        <f t="shared" si="15"/>
        <v>248402.33912901249</v>
      </c>
      <c r="U44">
        <f t="shared" si="16"/>
        <v>0</v>
      </c>
      <c r="V44" s="29">
        <f t="shared" si="17"/>
        <v>248402.33912901249</v>
      </c>
      <c r="W44" s="29">
        <f t="shared" si="7"/>
        <v>248402.33912901251</v>
      </c>
      <c r="X44" s="29">
        <f t="shared" si="18"/>
        <v>248402.33912901251</v>
      </c>
      <c r="Y44">
        <f t="shared" si="19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allocations'!$A$1:$L$317,3,FALSE)</f>
        <v>14625.959070295998</v>
      </c>
      <c r="E45" s="31">
        <f>VLOOKUP(B45,'Initial adjusted formula count'!$A$1:$P$317,12,FALSE)</f>
        <v>3.5999999999999997E-2</v>
      </c>
      <c r="F45">
        <f>VLOOKUP(B45,'Model allocations'!$A$1:$L$317,8,FALSE)</f>
        <v>0</v>
      </c>
      <c r="G45" s="30">
        <f t="shared" si="8"/>
        <v>0.85</v>
      </c>
      <c r="H45">
        <f t="shared" si="9"/>
        <v>0</v>
      </c>
      <c r="I45">
        <f t="shared" si="1"/>
        <v>0</v>
      </c>
      <c r="J45">
        <f t="shared" si="2"/>
        <v>0</v>
      </c>
      <c r="K45">
        <f t="shared" si="3"/>
        <v>0</v>
      </c>
      <c r="L45">
        <f t="shared" si="10"/>
        <v>0</v>
      </c>
      <c r="M45">
        <f t="shared" si="4"/>
        <v>0</v>
      </c>
      <c r="N45" s="29">
        <f t="shared" si="11"/>
        <v>0</v>
      </c>
      <c r="O45" s="29">
        <f t="shared" si="5"/>
        <v>0</v>
      </c>
      <c r="P45" s="29">
        <f t="shared" si="12"/>
        <v>0</v>
      </c>
      <c r="Q45">
        <f t="shared" si="13"/>
        <v>0</v>
      </c>
      <c r="R45" s="29">
        <f t="shared" si="14"/>
        <v>0</v>
      </c>
      <c r="S45" s="29">
        <f t="shared" si="6"/>
        <v>0</v>
      </c>
      <c r="T45" s="29">
        <f t="shared" si="15"/>
        <v>0</v>
      </c>
      <c r="U45">
        <f t="shared" si="16"/>
        <v>0</v>
      </c>
      <c r="V45" s="29">
        <f t="shared" si="17"/>
        <v>0</v>
      </c>
      <c r="W45" s="29">
        <f t="shared" si="7"/>
        <v>0</v>
      </c>
      <c r="X45" s="29">
        <f t="shared" si="18"/>
        <v>0</v>
      </c>
      <c r="Y45">
        <f t="shared" si="19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allocations'!$A$1:$L$317,3,FALSE)</f>
        <v>36995.072942513398</v>
      </c>
      <c r="E46" s="31">
        <f>VLOOKUP(B46,'Initial adjusted formula count'!$A$1:$P$317,12,FALSE)</f>
        <v>0.18446601941747601</v>
      </c>
      <c r="F46">
        <f>VLOOKUP(B46,'Model allocations'!$A$1:$L$317,8,FALSE)</f>
        <v>33295.565648262062</v>
      </c>
      <c r="G46" s="30">
        <f t="shared" si="8"/>
        <v>0.9</v>
      </c>
      <c r="H46">
        <f t="shared" si="9"/>
        <v>33295.565648262062</v>
      </c>
      <c r="I46">
        <f t="shared" si="1"/>
        <v>0</v>
      </c>
      <c r="J46">
        <f t="shared" si="2"/>
        <v>33295.565648262062</v>
      </c>
      <c r="K46">
        <f t="shared" si="3"/>
        <v>33280.35636565664</v>
      </c>
      <c r="L46">
        <f t="shared" si="10"/>
        <v>33280.35636565664</v>
      </c>
      <c r="M46">
        <f t="shared" si="4"/>
        <v>33295.565648262062</v>
      </c>
      <c r="N46" s="29">
        <f t="shared" si="11"/>
        <v>0</v>
      </c>
      <c r="O46" s="29">
        <f t="shared" si="5"/>
        <v>0</v>
      </c>
      <c r="P46" s="29">
        <f t="shared" si="12"/>
        <v>33295.565648262062</v>
      </c>
      <c r="Q46">
        <f t="shared" si="13"/>
        <v>0</v>
      </c>
      <c r="R46" s="29">
        <f t="shared" si="14"/>
        <v>0</v>
      </c>
      <c r="S46" s="29">
        <f t="shared" si="6"/>
        <v>0</v>
      </c>
      <c r="T46" s="29">
        <f t="shared" si="15"/>
        <v>33295.565648262062</v>
      </c>
      <c r="U46">
        <f t="shared" si="16"/>
        <v>0</v>
      </c>
      <c r="V46" s="29">
        <f t="shared" si="17"/>
        <v>0</v>
      </c>
      <c r="W46" s="29">
        <f t="shared" si="7"/>
        <v>0</v>
      </c>
      <c r="X46" s="29">
        <f t="shared" si="18"/>
        <v>33295.565648262062</v>
      </c>
      <c r="Y46">
        <f t="shared" si="19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allocations'!$A$1:$L$317,3,FALSE)</f>
        <v>88119.434482081328</v>
      </c>
      <c r="E47" s="31">
        <f>VLOOKUP(B47,'Initial adjusted formula count'!$A$1:$P$317,12,FALSE)</f>
        <v>0.140974967061924</v>
      </c>
      <c r="F47">
        <f>VLOOKUP(B47,'Model allocations'!$A$1:$L$317,8,FALSE)</f>
        <v>92980.929461742198</v>
      </c>
      <c r="G47" s="30">
        <f t="shared" si="8"/>
        <v>0.85</v>
      </c>
      <c r="H47">
        <f t="shared" si="9"/>
        <v>74901.519309769123</v>
      </c>
      <c r="I47">
        <f t="shared" si="1"/>
        <v>0</v>
      </c>
      <c r="J47">
        <f t="shared" si="2"/>
        <v>92980.929461742198</v>
      </c>
      <c r="K47">
        <f t="shared" si="3"/>
        <v>92938.456141179398</v>
      </c>
      <c r="L47">
        <f t="shared" si="10"/>
        <v>92938.456141179398</v>
      </c>
      <c r="M47">
        <f t="shared" si="4"/>
        <v>0</v>
      </c>
      <c r="N47" s="29">
        <f t="shared" si="11"/>
        <v>92938.456141179398</v>
      </c>
      <c r="O47" s="29">
        <f t="shared" si="5"/>
        <v>92933.742261553532</v>
      </c>
      <c r="P47" s="29">
        <f t="shared" si="12"/>
        <v>92933.742261553532</v>
      </c>
      <c r="Q47">
        <f t="shared" si="13"/>
        <v>0</v>
      </c>
      <c r="R47" s="29">
        <f t="shared" si="14"/>
        <v>92933.742261553532</v>
      </c>
      <c r="S47" s="29">
        <f t="shared" si="6"/>
        <v>92933.742261553576</v>
      </c>
      <c r="T47" s="29">
        <f t="shared" si="15"/>
        <v>92933.742261553576</v>
      </c>
      <c r="U47">
        <f t="shared" si="16"/>
        <v>0</v>
      </c>
      <c r="V47" s="29">
        <f t="shared" si="17"/>
        <v>92933.742261553576</v>
      </c>
      <c r="W47" s="29">
        <f t="shared" si="7"/>
        <v>92933.742261553591</v>
      </c>
      <c r="X47" s="29">
        <f t="shared" si="18"/>
        <v>92933.742261553591</v>
      </c>
      <c r="Y47">
        <f t="shared" si="19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allocations'!$A$1:$L$317,3,FALSE)</f>
        <v>275312.17073498358</v>
      </c>
      <c r="E48" s="31">
        <f>VLOOKUP(B48,'Initial adjusted formula count'!$A$1:$P$317,12,FALSE)</f>
        <v>0.16998011928429399</v>
      </c>
      <c r="F48">
        <f>VLOOKUP(B48,'Model allocations'!$A$1:$L$317,8,FALSE)</f>
        <v>297191.38201790513</v>
      </c>
      <c r="G48" s="30">
        <f t="shared" si="8"/>
        <v>0.9</v>
      </c>
      <c r="H48">
        <f t="shared" si="9"/>
        <v>247780.95366148523</v>
      </c>
      <c r="I48">
        <f t="shared" si="1"/>
        <v>0</v>
      </c>
      <c r="J48">
        <f t="shared" si="2"/>
        <v>297191.38201790513</v>
      </c>
      <c r="K48">
        <f t="shared" si="3"/>
        <v>297055.62617087265</v>
      </c>
      <c r="L48">
        <f t="shared" si="10"/>
        <v>297055.62617087265</v>
      </c>
      <c r="M48">
        <f t="shared" si="4"/>
        <v>0</v>
      </c>
      <c r="N48" s="29">
        <f t="shared" si="11"/>
        <v>297055.62617087265</v>
      </c>
      <c r="O48" s="29">
        <f t="shared" si="5"/>
        <v>297040.5593780498</v>
      </c>
      <c r="P48" s="29">
        <f t="shared" si="12"/>
        <v>297040.5593780498</v>
      </c>
      <c r="Q48">
        <f t="shared" si="13"/>
        <v>0</v>
      </c>
      <c r="R48" s="29">
        <f t="shared" si="14"/>
        <v>297040.5593780498</v>
      </c>
      <c r="S48" s="29">
        <f t="shared" si="6"/>
        <v>297040.55937804998</v>
      </c>
      <c r="T48" s="29">
        <f t="shared" si="15"/>
        <v>297040.55937804998</v>
      </c>
      <c r="U48">
        <f t="shared" si="16"/>
        <v>0</v>
      </c>
      <c r="V48" s="29">
        <f t="shared" si="17"/>
        <v>297040.55937804998</v>
      </c>
      <c r="W48" s="29">
        <f t="shared" si="7"/>
        <v>297040.55937804998</v>
      </c>
      <c r="X48" s="29">
        <f t="shared" si="18"/>
        <v>297040.55937804998</v>
      </c>
      <c r="Y48">
        <f t="shared" si="19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allocations'!$A$1:$L$317,3,FALSE)</f>
        <v>121309.42523010213</v>
      </c>
      <c r="E49" s="31">
        <f>VLOOKUP(B49,'Initial adjusted formula count'!$A$1:$P$317,12,FALSE)</f>
        <v>0.13881019830028299</v>
      </c>
      <c r="F49">
        <f>VLOOKUP(B49,'Model allocations'!$A$1:$L$317,8,FALSE)</f>
        <v>103113.01144558682</v>
      </c>
      <c r="G49" s="30">
        <f t="shared" si="8"/>
        <v>0.85</v>
      </c>
      <c r="H49">
        <f t="shared" si="9"/>
        <v>103113.01144558682</v>
      </c>
      <c r="I49">
        <f t="shared" si="1"/>
        <v>0</v>
      </c>
      <c r="J49">
        <f t="shared" si="2"/>
        <v>103113.01144558682</v>
      </c>
      <c r="K49">
        <f t="shared" si="3"/>
        <v>103065.90983007623</v>
      </c>
      <c r="L49">
        <f t="shared" si="10"/>
        <v>103065.90983007623</v>
      </c>
      <c r="M49">
        <f t="shared" si="4"/>
        <v>103113.01144558682</v>
      </c>
      <c r="N49" s="29">
        <f t="shared" si="11"/>
        <v>0</v>
      </c>
      <c r="O49" s="29">
        <f t="shared" si="5"/>
        <v>0</v>
      </c>
      <c r="P49" s="29">
        <f t="shared" si="12"/>
        <v>103113.01144558682</v>
      </c>
      <c r="Q49">
        <f t="shared" si="13"/>
        <v>0</v>
      </c>
      <c r="R49" s="29">
        <f t="shared" si="14"/>
        <v>0</v>
      </c>
      <c r="S49" s="29">
        <f t="shared" si="6"/>
        <v>0</v>
      </c>
      <c r="T49" s="29">
        <f t="shared" si="15"/>
        <v>103113.01144558682</v>
      </c>
      <c r="U49">
        <f t="shared" si="16"/>
        <v>0</v>
      </c>
      <c r="V49" s="29">
        <f t="shared" si="17"/>
        <v>0</v>
      </c>
      <c r="W49" s="29">
        <f t="shared" si="7"/>
        <v>0</v>
      </c>
      <c r="X49" s="29">
        <f t="shared" si="18"/>
        <v>103113.01144558682</v>
      </c>
      <c r="Y49">
        <f t="shared" si="19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allocations'!$A$1:$L$317,3,FALSE)</f>
        <v>50760.681479262581</v>
      </c>
      <c r="E50" s="31">
        <f>VLOOKUP(B50,'Initial adjusted formula count'!$A$1:$P$317,12,FALSE)</f>
        <v>8.6142322097378293E-2</v>
      </c>
      <c r="F50">
        <f>VLOOKUP(B50,'Model allocations'!$A$1:$L$317,8,FALSE)</f>
        <v>43146.579257373196</v>
      </c>
      <c r="G50" s="30">
        <f t="shared" si="8"/>
        <v>0.85</v>
      </c>
      <c r="H50">
        <f t="shared" si="9"/>
        <v>43146.579257373196</v>
      </c>
      <c r="I50">
        <f t="shared" si="1"/>
        <v>0</v>
      </c>
      <c r="J50">
        <f t="shared" si="2"/>
        <v>43146.579257373196</v>
      </c>
      <c r="K50">
        <f t="shared" si="3"/>
        <v>43126.870070741104</v>
      </c>
      <c r="L50">
        <f t="shared" si="10"/>
        <v>43126.870070741104</v>
      </c>
      <c r="M50">
        <f t="shared" si="4"/>
        <v>43146.579257373196</v>
      </c>
      <c r="N50" s="29">
        <f t="shared" si="11"/>
        <v>0</v>
      </c>
      <c r="O50" s="29">
        <f t="shared" si="5"/>
        <v>0</v>
      </c>
      <c r="P50" s="29">
        <f t="shared" si="12"/>
        <v>43146.579257373196</v>
      </c>
      <c r="Q50">
        <f t="shared" si="13"/>
        <v>0</v>
      </c>
      <c r="R50" s="29">
        <f t="shared" si="14"/>
        <v>0</v>
      </c>
      <c r="S50" s="29">
        <f t="shared" si="6"/>
        <v>0</v>
      </c>
      <c r="T50" s="29">
        <f t="shared" si="15"/>
        <v>43146.579257373196</v>
      </c>
      <c r="U50">
        <f t="shared" si="16"/>
        <v>0</v>
      </c>
      <c r="V50" s="29">
        <f t="shared" si="17"/>
        <v>0</v>
      </c>
      <c r="W50" s="29">
        <f t="shared" si="7"/>
        <v>0</v>
      </c>
      <c r="X50" s="29">
        <f t="shared" si="18"/>
        <v>43146.579257373196</v>
      </c>
      <c r="Y50">
        <f t="shared" si="19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allocations'!$A$1:$L$317,3,FALSE)</f>
        <v>41296.825610247528</v>
      </c>
      <c r="E51" s="31">
        <f>VLOOKUP(B51,'Initial adjusted formula count'!$A$1:$P$317,12,FALSE)</f>
        <v>0.104761904761905</v>
      </c>
      <c r="F51">
        <f>VLOOKUP(B51,'Model allocations'!$A$1:$L$317,8,FALSE)</f>
        <v>35275.665261593349</v>
      </c>
      <c r="G51" s="30">
        <f t="shared" si="8"/>
        <v>0.85</v>
      </c>
      <c r="H51">
        <f t="shared" si="9"/>
        <v>35102.3017687104</v>
      </c>
      <c r="I51">
        <f t="shared" si="1"/>
        <v>0</v>
      </c>
      <c r="J51">
        <f t="shared" si="2"/>
        <v>35275.665261593349</v>
      </c>
      <c r="K51">
        <f t="shared" si="3"/>
        <v>35259.551477321722</v>
      </c>
      <c r="L51">
        <f t="shared" si="10"/>
        <v>35259.551477321722</v>
      </c>
      <c r="M51">
        <f t="shared" si="4"/>
        <v>0</v>
      </c>
      <c r="N51" s="29">
        <f t="shared" si="11"/>
        <v>35259.551477321722</v>
      </c>
      <c r="O51" s="29">
        <f t="shared" si="5"/>
        <v>35257.763097266499</v>
      </c>
      <c r="P51" s="29">
        <f t="shared" si="12"/>
        <v>35257.763097266499</v>
      </c>
      <c r="Q51">
        <f t="shared" si="13"/>
        <v>0</v>
      </c>
      <c r="R51" s="29">
        <f t="shared" si="14"/>
        <v>35257.763097266499</v>
      </c>
      <c r="S51" s="29">
        <f t="shared" si="6"/>
        <v>35257.763097266521</v>
      </c>
      <c r="T51" s="29">
        <f t="shared" si="15"/>
        <v>35257.763097266521</v>
      </c>
      <c r="U51">
        <f t="shared" si="16"/>
        <v>0</v>
      </c>
      <c r="V51" s="29">
        <f t="shared" si="17"/>
        <v>35257.763097266521</v>
      </c>
      <c r="W51" s="29">
        <f t="shared" si="7"/>
        <v>35257.763097266521</v>
      </c>
      <c r="X51" s="29">
        <f t="shared" si="18"/>
        <v>35257.763097266521</v>
      </c>
      <c r="Y51">
        <f t="shared" si="19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allocations'!$A$1:$L$317,3,FALSE)</f>
        <v>34414.021341872947</v>
      </c>
      <c r="E52" s="31">
        <f>VLOOKUP(B52,'Initial adjusted formula count'!$A$1:$P$317,12,FALSE)</f>
        <v>0.19758064516129001</v>
      </c>
      <c r="F52">
        <f>VLOOKUP(B52,'Model allocations'!$A$1:$L$317,8,FALSE)</f>
        <v>42580.051809582874</v>
      </c>
      <c r="G52" s="30">
        <f t="shared" si="8"/>
        <v>0.9</v>
      </c>
      <c r="H52">
        <f t="shared" si="9"/>
        <v>30972.619207685653</v>
      </c>
      <c r="I52">
        <f t="shared" si="1"/>
        <v>0</v>
      </c>
      <c r="J52">
        <f t="shared" si="2"/>
        <v>42580.051809582874</v>
      </c>
      <c r="K52">
        <f t="shared" si="3"/>
        <v>42560.601410446638</v>
      </c>
      <c r="L52">
        <f t="shared" si="10"/>
        <v>42560.601410446638</v>
      </c>
      <c r="M52">
        <f t="shared" si="4"/>
        <v>0</v>
      </c>
      <c r="N52" s="29">
        <f t="shared" si="11"/>
        <v>42560.601410446638</v>
      </c>
      <c r="O52" s="29">
        <f t="shared" si="5"/>
        <v>42558.442717907688</v>
      </c>
      <c r="P52" s="29">
        <f t="shared" si="12"/>
        <v>42558.442717907688</v>
      </c>
      <c r="Q52">
        <f t="shared" si="13"/>
        <v>0</v>
      </c>
      <c r="R52" s="29">
        <f t="shared" si="14"/>
        <v>42558.442717907688</v>
      </c>
      <c r="S52" s="29">
        <f t="shared" si="6"/>
        <v>42558.44271790771</v>
      </c>
      <c r="T52" s="29">
        <f t="shared" si="15"/>
        <v>42558.44271790771</v>
      </c>
      <c r="U52">
        <f t="shared" si="16"/>
        <v>0</v>
      </c>
      <c r="V52" s="29">
        <f t="shared" si="17"/>
        <v>42558.44271790771</v>
      </c>
      <c r="W52" s="29">
        <f t="shared" si="7"/>
        <v>42558.442717907717</v>
      </c>
      <c r="X52" s="29">
        <f t="shared" si="18"/>
        <v>42558.442717907717</v>
      </c>
      <c r="Y52">
        <f t="shared" si="19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allocations'!$A$1:$L$317,3,FALSE)</f>
        <v>84467.834456753146</v>
      </c>
      <c r="E53" s="31">
        <f>VLOOKUP(B53,'Initial adjusted formula count'!$A$1:$P$317,12,FALSE)</f>
        <v>0.10175763182238701</v>
      </c>
      <c r="F53">
        <f>VLOOKUP(B53,'Model allocations'!$A$1:$L$317,8,FALSE)</f>
        <v>95587.871409267682</v>
      </c>
      <c r="G53" s="30">
        <f t="shared" si="8"/>
        <v>0.85</v>
      </c>
      <c r="H53">
        <f t="shared" si="9"/>
        <v>71797.659288240175</v>
      </c>
      <c r="I53">
        <f t="shared" si="1"/>
        <v>0</v>
      </c>
      <c r="J53">
        <f t="shared" si="2"/>
        <v>95587.871409267682</v>
      </c>
      <c r="K53">
        <f t="shared" si="3"/>
        <v>95544.207247941449</v>
      </c>
      <c r="L53">
        <f t="shared" si="10"/>
        <v>95544.207247941449</v>
      </c>
      <c r="M53">
        <f t="shared" si="4"/>
        <v>0</v>
      </c>
      <c r="N53" s="29">
        <f t="shared" si="11"/>
        <v>95544.207247941449</v>
      </c>
      <c r="O53" s="29">
        <f t="shared" si="5"/>
        <v>95539.361203466251</v>
      </c>
      <c r="P53" s="29">
        <f t="shared" si="12"/>
        <v>95539.361203466251</v>
      </c>
      <c r="Q53">
        <f t="shared" si="13"/>
        <v>0</v>
      </c>
      <c r="R53" s="29">
        <f t="shared" si="14"/>
        <v>95539.361203466251</v>
      </c>
      <c r="S53" s="29">
        <f t="shared" si="6"/>
        <v>95539.361203466309</v>
      </c>
      <c r="T53" s="29">
        <f t="shared" si="15"/>
        <v>95539.361203466309</v>
      </c>
      <c r="U53">
        <f t="shared" si="16"/>
        <v>0</v>
      </c>
      <c r="V53" s="29">
        <f t="shared" si="17"/>
        <v>95539.361203466309</v>
      </c>
      <c r="W53" s="29">
        <f t="shared" si="7"/>
        <v>95539.361203466324</v>
      </c>
      <c r="X53" s="29">
        <f t="shared" si="18"/>
        <v>95539.361203466324</v>
      </c>
      <c r="Y53">
        <f t="shared" si="19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allocations'!$A$1:$L$317,3,FALSE)</f>
        <v>57643.485747637176</v>
      </c>
      <c r="E54" s="31">
        <f>VLOOKUP(B54,'Initial adjusted formula count'!$A$1:$P$317,12,FALSE)</f>
        <v>0.178362573099415</v>
      </c>
      <c r="F54">
        <f>VLOOKUP(B54,'Model allocations'!$A$1:$L$317,8,FALSE)</f>
        <v>53007.819599684815</v>
      </c>
      <c r="G54" s="30">
        <f t="shared" si="8"/>
        <v>0.9</v>
      </c>
      <c r="H54">
        <f t="shared" si="9"/>
        <v>51879.137172873459</v>
      </c>
      <c r="I54">
        <f t="shared" si="1"/>
        <v>0</v>
      </c>
      <c r="J54">
        <f t="shared" si="2"/>
        <v>53007.819599684815</v>
      </c>
      <c r="K54">
        <f t="shared" si="3"/>
        <v>52983.605837494812</v>
      </c>
      <c r="L54">
        <f t="shared" si="10"/>
        <v>52983.605837494812</v>
      </c>
      <c r="M54">
        <f t="shared" si="4"/>
        <v>0</v>
      </c>
      <c r="N54" s="29">
        <f t="shared" si="11"/>
        <v>52983.605837494812</v>
      </c>
      <c r="O54" s="29">
        <f t="shared" si="5"/>
        <v>52980.91848555857</v>
      </c>
      <c r="P54" s="29">
        <f t="shared" si="12"/>
        <v>52980.91848555857</v>
      </c>
      <c r="Q54">
        <f t="shared" si="13"/>
        <v>0</v>
      </c>
      <c r="R54" s="29">
        <f t="shared" si="14"/>
        <v>52980.91848555857</v>
      </c>
      <c r="S54" s="29">
        <f t="shared" si="6"/>
        <v>52980.918485558599</v>
      </c>
      <c r="T54" s="29">
        <f t="shared" si="15"/>
        <v>52980.918485558599</v>
      </c>
      <c r="U54">
        <f t="shared" si="16"/>
        <v>0</v>
      </c>
      <c r="V54" s="29">
        <f t="shared" si="17"/>
        <v>52980.918485558599</v>
      </c>
      <c r="W54" s="29">
        <f t="shared" si="7"/>
        <v>52980.918485558606</v>
      </c>
      <c r="X54" s="29">
        <f t="shared" si="18"/>
        <v>52980.918485558606</v>
      </c>
      <c r="Y54">
        <f t="shared" si="19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allocations'!$A$1:$L$317,3,FALSE)</f>
        <v>13047.876867303326</v>
      </c>
      <c r="E55" s="31">
        <f>VLOOKUP(B55,'Initial adjusted formula count'!$A$1:$P$317,12,FALSE)</f>
        <v>0.12280701754386</v>
      </c>
      <c r="F55">
        <f>VLOOKUP(B55,'Model allocations'!$A$1:$L$317,8,FALSE)</f>
        <v>12165.72908845225</v>
      </c>
      <c r="G55" s="30">
        <f t="shared" si="8"/>
        <v>0.85</v>
      </c>
      <c r="H55">
        <f t="shared" si="9"/>
        <v>11090.695337207828</v>
      </c>
      <c r="I55">
        <f t="shared" si="1"/>
        <v>0</v>
      </c>
      <c r="J55">
        <f t="shared" si="2"/>
        <v>12165.72908845225</v>
      </c>
      <c r="K55">
        <f t="shared" si="3"/>
        <v>12160.171831556183</v>
      </c>
      <c r="L55">
        <f t="shared" si="10"/>
        <v>12160.171831556183</v>
      </c>
      <c r="M55">
        <f t="shared" si="4"/>
        <v>0</v>
      </c>
      <c r="N55" s="29">
        <f t="shared" si="11"/>
        <v>12160.171831556183</v>
      </c>
      <c r="O55" s="29">
        <f t="shared" si="5"/>
        <v>12159.55506225934</v>
      </c>
      <c r="P55" s="29">
        <f t="shared" si="12"/>
        <v>12159.55506225934</v>
      </c>
      <c r="Q55">
        <f t="shared" si="13"/>
        <v>0</v>
      </c>
      <c r="R55" s="29">
        <f t="shared" si="14"/>
        <v>12159.55506225934</v>
      </c>
      <c r="S55" s="29">
        <f t="shared" si="6"/>
        <v>12159.555062259346</v>
      </c>
      <c r="T55" s="29">
        <f t="shared" si="15"/>
        <v>12159.555062259346</v>
      </c>
      <c r="U55">
        <f t="shared" si="16"/>
        <v>0</v>
      </c>
      <c r="V55" s="29">
        <f t="shared" si="17"/>
        <v>12159.555062259346</v>
      </c>
      <c r="W55" s="29">
        <f t="shared" si="7"/>
        <v>12159.555062259347</v>
      </c>
      <c r="X55" s="29">
        <f t="shared" si="18"/>
        <v>12159.555062259347</v>
      </c>
      <c r="Y55">
        <f t="shared" si="19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allocations'!$A$1:$L$317,3,FALSE)</f>
        <v>41986.318782638773</v>
      </c>
      <c r="E56" s="31">
        <f>VLOOKUP(B56,'Initial adjusted formula count'!$A$1:$P$317,12,FALSE)</f>
        <v>0.33333333333333298</v>
      </c>
      <c r="F56">
        <f>VLOOKUP(B56,'Model allocations'!$A$1:$L$317,8,FALSE)</f>
        <v>47793.935704633841</v>
      </c>
      <c r="G56" s="30">
        <f t="shared" si="8"/>
        <v>0.95</v>
      </c>
      <c r="H56">
        <f t="shared" si="9"/>
        <v>39887.002843506831</v>
      </c>
      <c r="I56">
        <f t="shared" si="1"/>
        <v>0</v>
      </c>
      <c r="J56">
        <f t="shared" si="2"/>
        <v>47793.935704633841</v>
      </c>
      <c r="K56">
        <f t="shared" si="3"/>
        <v>47772.103623970725</v>
      </c>
      <c r="L56">
        <f t="shared" si="10"/>
        <v>47772.103623970725</v>
      </c>
      <c r="M56">
        <f t="shared" si="4"/>
        <v>0</v>
      </c>
      <c r="N56" s="29">
        <f t="shared" si="11"/>
        <v>47772.103623970725</v>
      </c>
      <c r="O56" s="29">
        <f t="shared" si="5"/>
        <v>47769.680601733126</v>
      </c>
      <c r="P56" s="29">
        <f t="shared" si="12"/>
        <v>47769.680601733126</v>
      </c>
      <c r="Q56">
        <f t="shared" si="13"/>
        <v>0</v>
      </c>
      <c r="R56" s="29">
        <f t="shared" si="14"/>
        <v>47769.680601733126</v>
      </c>
      <c r="S56" s="29">
        <f t="shared" si="6"/>
        <v>47769.680601733155</v>
      </c>
      <c r="T56" s="29">
        <f t="shared" si="15"/>
        <v>47769.680601733155</v>
      </c>
      <c r="U56">
        <f t="shared" si="16"/>
        <v>0</v>
      </c>
      <c r="V56" s="29">
        <f t="shared" si="17"/>
        <v>47769.680601733155</v>
      </c>
      <c r="W56" s="29">
        <f t="shared" si="7"/>
        <v>47769.680601733162</v>
      </c>
      <c r="X56" s="29">
        <f t="shared" si="18"/>
        <v>47769.680601733162</v>
      </c>
      <c r="Y56">
        <f t="shared" si="19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allocations'!$A$1:$L$317,3,FALSE)</f>
        <v>73476.057869617842</v>
      </c>
      <c r="E57" s="31">
        <f>VLOOKUP(B57,'Initial adjusted formula count'!$A$1:$P$317,12,FALSE)</f>
        <v>0.24148606811145501</v>
      </c>
      <c r="F57">
        <f>VLOOKUP(B57,'Model allocations'!$A$1:$L$317,8,FALSE)</f>
        <v>67780.490635662543</v>
      </c>
      <c r="G57" s="30">
        <f t="shared" si="8"/>
        <v>0.9</v>
      </c>
      <c r="H57">
        <f t="shared" si="9"/>
        <v>66128.452082656062</v>
      </c>
      <c r="I57">
        <f t="shared" si="1"/>
        <v>0</v>
      </c>
      <c r="J57">
        <f t="shared" si="2"/>
        <v>67780.490635662543</v>
      </c>
      <c r="K57">
        <f t="shared" si="3"/>
        <v>67749.528775813029</v>
      </c>
      <c r="L57">
        <f t="shared" si="10"/>
        <v>67749.528775813029</v>
      </c>
      <c r="M57">
        <f t="shared" si="4"/>
        <v>0</v>
      </c>
      <c r="N57" s="29">
        <f t="shared" si="11"/>
        <v>67749.528775813029</v>
      </c>
      <c r="O57" s="29">
        <f t="shared" si="5"/>
        <v>67746.092489730625</v>
      </c>
      <c r="P57" s="29">
        <f t="shared" si="12"/>
        <v>67746.092489730625</v>
      </c>
      <c r="Q57">
        <f t="shared" si="13"/>
        <v>0</v>
      </c>
      <c r="R57" s="29">
        <f t="shared" si="14"/>
        <v>67746.092489730625</v>
      </c>
      <c r="S57" s="29">
        <f t="shared" si="6"/>
        <v>67746.092489730669</v>
      </c>
      <c r="T57" s="29">
        <f t="shared" si="15"/>
        <v>67746.092489730669</v>
      </c>
      <c r="U57">
        <f t="shared" si="16"/>
        <v>0</v>
      </c>
      <c r="V57" s="29">
        <f t="shared" si="17"/>
        <v>67746.092489730669</v>
      </c>
      <c r="W57" s="29">
        <f t="shared" si="7"/>
        <v>67746.092489730669</v>
      </c>
      <c r="X57" s="29">
        <f t="shared" si="18"/>
        <v>67746.092489730669</v>
      </c>
      <c r="Y57">
        <f t="shared" si="19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allocations'!$A$1:$L$317,3,FALSE)</f>
        <v>0</v>
      </c>
      <c r="E58" s="31">
        <f>VLOOKUP(B58,'Initial adjusted formula count'!$A$1:$P$317,12,FALSE)</f>
        <v>2.6548672566371698E-2</v>
      </c>
      <c r="F58">
        <f>VLOOKUP(B58,'Model allocations'!$A$1:$L$317,8,FALSE)</f>
        <v>0</v>
      </c>
      <c r="G58" s="30">
        <f t="shared" si="8"/>
        <v>0.85</v>
      </c>
      <c r="H58">
        <f t="shared" si="9"/>
        <v>0</v>
      </c>
      <c r="I58">
        <f t="shared" si="1"/>
        <v>0</v>
      </c>
      <c r="J58">
        <f t="shared" si="2"/>
        <v>0</v>
      </c>
      <c r="K58">
        <f t="shared" si="3"/>
        <v>0</v>
      </c>
      <c r="L58">
        <f t="shared" si="10"/>
        <v>0</v>
      </c>
      <c r="M58">
        <f t="shared" si="4"/>
        <v>0</v>
      </c>
      <c r="N58" s="29">
        <f t="shared" si="11"/>
        <v>0</v>
      </c>
      <c r="O58" s="29">
        <f t="shared" si="5"/>
        <v>0</v>
      </c>
      <c r="P58" s="29">
        <f t="shared" si="12"/>
        <v>0</v>
      </c>
      <c r="Q58">
        <f t="shared" si="13"/>
        <v>0</v>
      </c>
      <c r="R58" s="29">
        <f t="shared" si="14"/>
        <v>0</v>
      </c>
      <c r="S58" s="29">
        <f t="shared" si="6"/>
        <v>0</v>
      </c>
      <c r="T58" s="29">
        <f t="shared" si="15"/>
        <v>0</v>
      </c>
      <c r="U58">
        <f t="shared" si="16"/>
        <v>0</v>
      </c>
      <c r="V58" s="29">
        <f t="shared" si="17"/>
        <v>0</v>
      </c>
      <c r="W58" s="29">
        <f t="shared" si="7"/>
        <v>0</v>
      </c>
      <c r="X58" s="29">
        <f t="shared" si="18"/>
        <v>0</v>
      </c>
      <c r="Y58">
        <f t="shared" si="19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allocations'!$A$1:$L$317,3,FALSE)</f>
        <v>56998.619999272443</v>
      </c>
      <c r="E59" s="31">
        <f>VLOOKUP(B59,'Initial adjusted formula count'!$A$1:$P$317,12,FALSE)</f>
        <v>9.4861660079051405E-2</v>
      </c>
      <c r="F59">
        <f>VLOOKUP(B59,'Model allocations'!$A$1:$L$317,8,FALSE)</f>
        <v>48448.826999381577</v>
      </c>
      <c r="G59" s="30">
        <f t="shared" si="8"/>
        <v>0.85</v>
      </c>
      <c r="H59">
        <f t="shared" si="9"/>
        <v>48448.826999381577</v>
      </c>
      <c r="I59">
        <f t="shared" si="1"/>
        <v>0</v>
      </c>
      <c r="J59">
        <f t="shared" si="2"/>
        <v>48448.826999381577</v>
      </c>
      <c r="K59">
        <f t="shared" si="3"/>
        <v>48426.695766967059</v>
      </c>
      <c r="L59">
        <f t="shared" si="10"/>
        <v>48426.695766967059</v>
      </c>
      <c r="M59">
        <f t="shared" si="4"/>
        <v>48448.826999381577</v>
      </c>
      <c r="N59" s="29">
        <f t="shared" si="11"/>
        <v>0</v>
      </c>
      <c r="O59" s="29">
        <f t="shared" si="5"/>
        <v>0</v>
      </c>
      <c r="P59" s="29">
        <f t="shared" si="12"/>
        <v>48448.826999381577</v>
      </c>
      <c r="Q59">
        <f t="shared" si="13"/>
        <v>0</v>
      </c>
      <c r="R59" s="29">
        <f t="shared" si="14"/>
        <v>0</v>
      </c>
      <c r="S59" s="29">
        <f t="shared" si="6"/>
        <v>0</v>
      </c>
      <c r="T59" s="29">
        <f t="shared" si="15"/>
        <v>48448.826999381577</v>
      </c>
      <c r="U59">
        <f t="shared" si="16"/>
        <v>0</v>
      </c>
      <c r="V59" s="29">
        <f t="shared" si="17"/>
        <v>0</v>
      </c>
      <c r="W59" s="29">
        <f t="shared" si="7"/>
        <v>0</v>
      </c>
      <c r="X59" s="29">
        <f t="shared" si="18"/>
        <v>48448.826999381577</v>
      </c>
      <c r="Y59">
        <f t="shared" si="19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allocations'!$A$1:$L$317,3,FALSE)</f>
        <v>69688.393217292716</v>
      </c>
      <c r="E60" s="31">
        <f>VLOOKUP(B60,'Initial adjusted formula count'!$A$1:$P$317,12,FALSE)</f>
        <v>0.13945578231292499</v>
      </c>
      <c r="F60">
        <f>VLOOKUP(B60,'Model allocations'!$A$1:$L$317,8,FALSE)</f>
        <v>71256.413232363207</v>
      </c>
      <c r="G60" s="30">
        <f t="shared" si="8"/>
        <v>0.85</v>
      </c>
      <c r="H60">
        <f t="shared" si="9"/>
        <v>59235.134234698809</v>
      </c>
      <c r="I60">
        <f t="shared" si="1"/>
        <v>0</v>
      </c>
      <c r="J60">
        <f t="shared" si="2"/>
        <v>71256.413232363207</v>
      </c>
      <c r="K60">
        <f t="shared" si="3"/>
        <v>71223.863584829101</v>
      </c>
      <c r="L60">
        <f t="shared" si="10"/>
        <v>71223.863584829101</v>
      </c>
      <c r="M60">
        <f t="shared" si="4"/>
        <v>0</v>
      </c>
      <c r="N60" s="29">
        <f t="shared" si="11"/>
        <v>71223.863584829101</v>
      </c>
      <c r="O60" s="29">
        <f t="shared" si="5"/>
        <v>71220.251078947593</v>
      </c>
      <c r="P60" s="29">
        <f t="shared" si="12"/>
        <v>71220.251078947593</v>
      </c>
      <c r="Q60">
        <f t="shared" si="13"/>
        <v>0</v>
      </c>
      <c r="R60" s="29">
        <f t="shared" si="14"/>
        <v>71220.251078947593</v>
      </c>
      <c r="S60" s="29">
        <f t="shared" si="6"/>
        <v>71220.251078947636</v>
      </c>
      <c r="T60" s="29">
        <f t="shared" si="15"/>
        <v>71220.251078947636</v>
      </c>
      <c r="U60">
        <f t="shared" si="16"/>
        <v>0</v>
      </c>
      <c r="V60" s="29">
        <f t="shared" si="17"/>
        <v>71220.251078947636</v>
      </c>
      <c r="W60" s="29">
        <f t="shared" si="7"/>
        <v>71220.251078947651</v>
      </c>
      <c r="X60" s="29">
        <f t="shared" si="18"/>
        <v>71220.251078947651</v>
      </c>
      <c r="Y60">
        <f t="shared" si="19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allocations'!$A$1:$L$317,3,FALSE)</f>
        <v>69359.766505138759</v>
      </c>
      <c r="E61" s="31">
        <f>VLOOKUP(B61,'Initial adjusted formula count'!$A$1:$P$317,12,FALSE)</f>
        <v>0.17601547388781399</v>
      </c>
      <c r="F61">
        <f>VLOOKUP(B61,'Model allocations'!$A$1:$L$317,8,FALSE)</f>
        <v>79077.239074939673</v>
      </c>
      <c r="G61" s="30">
        <f t="shared" si="8"/>
        <v>0.9</v>
      </c>
      <c r="H61">
        <f t="shared" si="9"/>
        <v>62423.789854624883</v>
      </c>
      <c r="I61">
        <f t="shared" si="1"/>
        <v>0</v>
      </c>
      <c r="J61">
        <f t="shared" si="2"/>
        <v>79077.239074939673</v>
      </c>
      <c r="K61">
        <f t="shared" si="3"/>
        <v>79041.116905115254</v>
      </c>
      <c r="L61">
        <f t="shared" si="10"/>
        <v>79041.116905115254</v>
      </c>
      <c r="M61">
        <f t="shared" si="4"/>
        <v>0</v>
      </c>
      <c r="N61" s="29">
        <f t="shared" si="11"/>
        <v>79041.116905115254</v>
      </c>
      <c r="O61" s="29">
        <f t="shared" si="5"/>
        <v>79037.107904685778</v>
      </c>
      <c r="P61" s="29">
        <f t="shared" si="12"/>
        <v>79037.107904685778</v>
      </c>
      <c r="Q61">
        <f t="shared" si="13"/>
        <v>0</v>
      </c>
      <c r="R61" s="29">
        <f t="shared" si="14"/>
        <v>79037.107904685778</v>
      </c>
      <c r="S61" s="29">
        <f t="shared" si="6"/>
        <v>79037.107904685821</v>
      </c>
      <c r="T61" s="29">
        <f t="shared" si="15"/>
        <v>79037.107904685821</v>
      </c>
      <c r="U61">
        <f t="shared" si="16"/>
        <v>0</v>
      </c>
      <c r="V61" s="29">
        <f t="shared" si="17"/>
        <v>79037.107904685821</v>
      </c>
      <c r="W61" s="29">
        <f t="shared" si="7"/>
        <v>79037.107904685836</v>
      </c>
      <c r="X61" s="29">
        <f t="shared" si="18"/>
        <v>79037.107904685836</v>
      </c>
      <c r="Y61">
        <f t="shared" si="19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allocations'!$A$1:$L$317,3,FALSE)</f>
        <v>290798.48033882648</v>
      </c>
      <c r="E62" s="31">
        <f>VLOOKUP(B62,'Initial adjusted formula count'!$A$1:$P$317,12,FALSE)</f>
        <v>9.8449937159614601E-2</v>
      </c>
      <c r="F62">
        <f>VLOOKUP(B62,'Model allocations'!$A$1:$L$317,8,FALSE)</f>
        <v>247178.7082880025</v>
      </c>
      <c r="G62" s="30">
        <f t="shared" si="8"/>
        <v>0.85</v>
      </c>
      <c r="H62">
        <f t="shared" si="9"/>
        <v>247178.7082880025</v>
      </c>
      <c r="I62">
        <f t="shared" si="1"/>
        <v>0</v>
      </c>
      <c r="J62">
        <f t="shared" si="2"/>
        <v>247178.7082880025</v>
      </c>
      <c r="K62">
        <f t="shared" si="3"/>
        <v>247065.7980323814</v>
      </c>
      <c r="L62">
        <f t="shared" si="10"/>
        <v>247065.7980323814</v>
      </c>
      <c r="M62">
        <f t="shared" si="4"/>
        <v>247178.7082880025</v>
      </c>
      <c r="N62" s="29">
        <f t="shared" si="11"/>
        <v>0</v>
      </c>
      <c r="O62" s="29">
        <f t="shared" si="5"/>
        <v>0</v>
      </c>
      <c r="P62" s="29">
        <f t="shared" si="12"/>
        <v>247178.7082880025</v>
      </c>
      <c r="Q62">
        <f t="shared" si="13"/>
        <v>0</v>
      </c>
      <c r="R62" s="29">
        <f t="shared" si="14"/>
        <v>0</v>
      </c>
      <c r="S62" s="29">
        <f t="shared" si="6"/>
        <v>0</v>
      </c>
      <c r="T62" s="29">
        <f t="shared" si="15"/>
        <v>247178.7082880025</v>
      </c>
      <c r="U62">
        <f t="shared" si="16"/>
        <v>0</v>
      </c>
      <c r="V62" s="29">
        <f t="shared" si="17"/>
        <v>0</v>
      </c>
      <c r="W62" s="29">
        <f t="shared" si="7"/>
        <v>0</v>
      </c>
      <c r="X62" s="29">
        <f t="shared" si="18"/>
        <v>247178.7082880025</v>
      </c>
      <c r="Y62">
        <f t="shared" si="19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allocations'!$A$1:$L$317,3,FALSE)</f>
        <v>76571.19748566729</v>
      </c>
      <c r="E63" s="31">
        <f>VLOOKUP(B63,'Initial adjusted formula count'!$A$1:$P$317,12,FALSE)</f>
        <v>4.4483209768861803E-2</v>
      </c>
      <c r="F63">
        <f>VLOOKUP(B63,'Model allocations'!$A$1:$L$317,8,FALSE)</f>
        <v>88636.026215866412</v>
      </c>
      <c r="G63" s="30">
        <f t="shared" si="8"/>
        <v>0.85</v>
      </c>
      <c r="H63">
        <f t="shared" si="9"/>
        <v>65085.517862817193</v>
      </c>
      <c r="I63">
        <f t="shared" si="1"/>
        <v>0</v>
      </c>
      <c r="J63">
        <f t="shared" si="2"/>
        <v>88636.026215866412</v>
      </c>
      <c r="K63">
        <f t="shared" si="3"/>
        <v>88595.537629909362</v>
      </c>
      <c r="L63">
        <f t="shared" si="10"/>
        <v>88595.537629909362</v>
      </c>
      <c r="M63">
        <f t="shared" si="4"/>
        <v>0</v>
      </c>
      <c r="N63" s="29">
        <f t="shared" si="11"/>
        <v>88595.537629909362</v>
      </c>
      <c r="O63" s="29">
        <f t="shared" si="5"/>
        <v>88591.044025032374</v>
      </c>
      <c r="P63" s="29">
        <f t="shared" si="12"/>
        <v>88591.044025032374</v>
      </c>
      <c r="Q63">
        <f t="shared" si="13"/>
        <v>0</v>
      </c>
      <c r="R63" s="29">
        <f t="shared" si="14"/>
        <v>88591.044025032374</v>
      </c>
      <c r="S63" s="29">
        <f t="shared" si="6"/>
        <v>88591.044025032417</v>
      </c>
      <c r="T63" s="29">
        <f t="shared" si="15"/>
        <v>88591.044025032417</v>
      </c>
      <c r="U63">
        <f t="shared" si="16"/>
        <v>0</v>
      </c>
      <c r="V63" s="29">
        <f t="shared" si="17"/>
        <v>88591.044025032417</v>
      </c>
      <c r="W63" s="29">
        <f t="shared" si="7"/>
        <v>88591.044025032432</v>
      </c>
      <c r="X63" s="29">
        <f t="shared" si="18"/>
        <v>88591.044025032432</v>
      </c>
      <c r="Y63">
        <f t="shared" si="19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allocations'!$A$1:$L$317,3,FALSE)</f>
        <v>0</v>
      </c>
      <c r="E64" s="31">
        <f>VLOOKUP(B64,'Initial adjusted formula count'!$A$1:$P$317,12,FALSE)</f>
        <v>0.08</v>
      </c>
      <c r="F64">
        <f>VLOOKUP(B64,'Model allocations'!$A$1:$L$317,8,FALSE)</f>
        <v>0</v>
      </c>
      <c r="G64" s="30">
        <f t="shared" si="8"/>
        <v>0.85</v>
      </c>
      <c r="H64">
        <f t="shared" si="9"/>
        <v>0</v>
      </c>
      <c r="I64">
        <f t="shared" si="1"/>
        <v>0</v>
      </c>
      <c r="J64">
        <f t="shared" si="2"/>
        <v>0</v>
      </c>
      <c r="K64">
        <f t="shared" si="3"/>
        <v>0</v>
      </c>
      <c r="L64">
        <f t="shared" si="10"/>
        <v>0</v>
      </c>
      <c r="M64">
        <f t="shared" si="4"/>
        <v>0</v>
      </c>
      <c r="N64" s="29">
        <f t="shared" si="11"/>
        <v>0</v>
      </c>
      <c r="O64" s="29">
        <f t="shared" si="5"/>
        <v>0</v>
      </c>
      <c r="P64" s="29">
        <f t="shared" si="12"/>
        <v>0</v>
      </c>
      <c r="Q64">
        <f t="shared" si="13"/>
        <v>0</v>
      </c>
      <c r="R64" s="29">
        <f t="shared" si="14"/>
        <v>0</v>
      </c>
      <c r="S64" s="29">
        <f t="shared" si="6"/>
        <v>0</v>
      </c>
      <c r="T64" s="29">
        <f t="shared" si="15"/>
        <v>0</v>
      </c>
      <c r="U64">
        <f t="shared" si="16"/>
        <v>0</v>
      </c>
      <c r="V64" s="29">
        <f t="shared" si="17"/>
        <v>0</v>
      </c>
      <c r="W64" s="29">
        <f t="shared" si="7"/>
        <v>0</v>
      </c>
      <c r="X64" s="29">
        <f t="shared" si="18"/>
        <v>0</v>
      </c>
      <c r="Y64">
        <f t="shared" si="19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allocations'!$A$1:$L$317,3,FALSE)</f>
        <v>696883.93217292696</v>
      </c>
      <c r="E65" s="31">
        <f>VLOOKUP(B65,'Initial adjusted formula count'!$A$1:$P$317,12,FALSE)</f>
        <v>0.12985359643539099</v>
      </c>
      <c r="F65">
        <f>VLOOKUP(B65,'Model allocations'!$A$1:$L$317,8,FALSE)</f>
        <v>592351.34234698792</v>
      </c>
      <c r="G65" s="30">
        <f t="shared" si="8"/>
        <v>0.85</v>
      </c>
      <c r="H65">
        <f t="shared" si="9"/>
        <v>592351.34234698792</v>
      </c>
      <c r="I65">
        <f t="shared" si="1"/>
        <v>0</v>
      </c>
      <c r="J65">
        <f t="shared" si="2"/>
        <v>592351.34234698792</v>
      </c>
      <c r="K65">
        <f t="shared" si="3"/>
        <v>592080.75859831017</v>
      </c>
      <c r="L65">
        <f t="shared" si="10"/>
        <v>592080.75859831017</v>
      </c>
      <c r="M65">
        <f t="shared" si="4"/>
        <v>592351.34234698792</v>
      </c>
      <c r="N65" s="29">
        <f t="shared" si="11"/>
        <v>0</v>
      </c>
      <c r="O65" s="29">
        <f t="shared" si="5"/>
        <v>0</v>
      </c>
      <c r="P65" s="29">
        <f t="shared" si="12"/>
        <v>592351.34234698792</v>
      </c>
      <c r="Q65">
        <f t="shared" si="13"/>
        <v>0</v>
      </c>
      <c r="R65" s="29">
        <f t="shared" si="14"/>
        <v>0</v>
      </c>
      <c r="S65" s="29">
        <f t="shared" si="6"/>
        <v>0</v>
      </c>
      <c r="T65" s="29">
        <f t="shared" si="15"/>
        <v>592351.34234698792</v>
      </c>
      <c r="U65">
        <f t="shared" si="16"/>
        <v>0</v>
      </c>
      <c r="V65" s="29">
        <f t="shared" si="17"/>
        <v>0</v>
      </c>
      <c r="W65" s="29">
        <f t="shared" si="7"/>
        <v>0</v>
      </c>
      <c r="X65" s="29">
        <f t="shared" si="18"/>
        <v>592351.34234698792</v>
      </c>
      <c r="Y65">
        <f t="shared" si="19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allocations'!$A$1:$L$317,3,FALSE)</f>
        <v>361347.22408966586</v>
      </c>
      <c r="E66" s="31">
        <f>VLOOKUP(B66,'Initial adjusted formula count'!$A$1:$P$317,12,FALSE)</f>
        <v>0.137717818999438</v>
      </c>
      <c r="F66">
        <f>VLOOKUP(B66,'Model allocations'!$A$1:$L$317,8,FALSE)</f>
        <v>425800.51809582871</v>
      </c>
      <c r="G66" s="30">
        <f t="shared" si="8"/>
        <v>0.85</v>
      </c>
      <c r="H66">
        <f t="shared" si="9"/>
        <v>307145.14047621598</v>
      </c>
      <c r="I66">
        <f t="shared" si="1"/>
        <v>0</v>
      </c>
      <c r="J66">
        <f t="shared" si="2"/>
        <v>425800.51809582871</v>
      </c>
      <c r="K66">
        <f t="shared" si="3"/>
        <v>425606.01410446636</v>
      </c>
      <c r="L66">
        <f t="shared" si="10"/>
        <v>425606.01410446636</v>
      </c>
      <c r="M66">
        <f t="shared" si="4"/>
        <v>0</v>
      </c>
      <c r="N66" s="29">
        <f t="shared" si="11"/>
        <v>425606.01410446636</v>
      </c>
      <c r="O66" s="29">
        <f t="shared" si="5"/>
        <v>425584.42717907688</v>
      </c>
      <c r="P66" s="29">
        <f t="shared" si="12"/>
        <v>425584.42717907688</v>
      </c>
      <c r="Q66">
        <f t="shared" si="13"/>
        <v>0</v>
      </c>
      <c r="R66" s="29">
        <f t="shared" si="14"/>
        <v>425584.42717907688</v>
      </c>
      <c r="S66" s="29">
        <f t="shared" si="6"/>
        <v>425584.42717907712</v>
      </c>
      <c r="T66" s="29">
        <f t="shared" si="15"/>
        <v>425584.42717907712</v>
      </c>
      <c r="U66">
        <f t="shared" si="16"/>
        <v>0</v>
      </c>
      <c r="V66" s="29">
        <f t="shared" si="17"/>
        <v>425584.42717907712</v>
      </c>
      <c r="W66" s="29">
        <f t="shared" si="7"/>
        <v>425584.42717907712</v>
      </c>
      <c r="X66" s="29">
        <f t="shared" si="18"/>
        <v>425584.42717907712</v>
      </c>
      <c r="Y66">
        <f t="shared" si="19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allocations'!$A$1:$L$317,3,FALSE)</f>
        <v>548043.28986932652</v>
      </c>
      <c r="E67" s="31">
        <f>VLOOKUP(B67,'Initial adjusted formula count'!$A$1:$P$317,12,FALSE)</f>
        <v>0.14135879774577301</v>
      </c>
      <c r="F67">
        <f>VLOOKUP(B67,'Model allocations'!$A$1:$L$317,8,FALSE)</f>
        <v>784689.5262051702</v>
      </c>
      <c r="G67" s="30">
        <f t="shared" si="8"/>
        <v>0.85</v>
      </c>
      <c r="H67">
        <f t="shared" si="9"/>
        <v>465836.7963889275</v>
      </c>
      <c r="I67">
        <f t="shared" si="1"/>
        <v>0</v>
      </c>
      <c r="J67">
        <f t="shared" si="2"/>
        <v>784689.5262051702</v>
      </c>
      <c r="K67">
        <f t="shared" si="3"/>
        <v>784331.08313537401</v>
      </c>
      <c r="L67">
        <f t="shared" si="10"/>
        <v>784331.08313537401</v>
      </c>
      <c r="M67">
        <f t="shared" si="4"/>
        <v>0</v>
      </c>
      <c r="N67" s="29">
        <f t="shared" si="11"/>
        <v>784331.08313537401</v>
      </c>
      <c r="O67" s="29">
        <f t="shared" si="5"/>
        <v>784291.30151572777</v>
      </c>
      <c r="P67" s="29">
        <f t="shared" si="12"/>
        <v>784291.30151572777</v>
      </c>
      <c r="Q67">
        <f t="shared" si="13"/>
        <v>0</v>
      </c>
      <c r="R67" s="29">
        <f t="shared" si="14"/>
        <v>784291.30151572777</v>
      </c>
      <c r="S67" s="29">
        <f t="shared" si="6"/>
        <v>784291.30151572824</v>
      </c>
      <c r="T67" s="29">
        <f t="shared" si="15"/>
        <v>784291.30151572824</v>
      </c>
      <c r="U67">
        <f t="shared" si="16"/>
        <v>0</v>
      </c>
      <c r="V67" s="29">
        <f t="shared" si="17"/>
        <v>784291.30151572824</v>
      </c>
      <c r="W67" s="29">
        <f t="shared" si="7"/>
        <v>784291.30151572835</v>
      </c>
      <c r="X67" s="29">
        <f t="shared" si="18"/>
        <v>784291.30151572835</v>
      </c>
      <c r="Y67">
        <f t="shared" si="19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allocations'!$A$1:$L$317,3,FALSE)</f>
        <v>0</v>
      </c>
      <c r="E68" s="31">
        <f>VLOOKUP(B68,'Initial adjusted formula count'!$A$1:$P$317,12,FALSE)</f>
        <v>0.13375796178343899</v>
      </c>
      <c r="F68">
        <f>VLOOKUP(B68,'Model allocations'!$A$1:$L$317,8,FALSE)</f>
        <v>18248.593632678374</v>
      </c>
      <c r="G68" s="30">
        <f t="shared" si="8"/>
        <v>0.85</v>
      </c>
      <c r="H68">
        <f t="shared" si="9"/>
        <v>0</v>
      </c>
      <c r="I68">
        <f t="shared" ref="I68:I131" si="20">IF(F68&lt;H68,H68,0)</f>
        <v>0</v>
      </c>
      <c r="J68">
        <f t="shared" ref="J68:J131" si="21">IF(I68=0,F68,0)</f>
        <v>18248.593632678374</v>
      </c>
      <c r="K68">
        <f t="shared" ref="K68:K131" si="22">(J68/$J$3)*($F$3-$I$3)</f>
        <v>18240.257747334275</v>
      </c>
      <c r="L68">
        <f t="shared" si="10"/>
        <v>18240.257747334275</v>
      </c>
      <c r="M68">
        <f t="shared" ref="M68:M131" si="23">IF(L68&lt;H68,H68,0)</f>
        <v>0</v>
      </c>
      <c r="N68" s="29">
        <f t="shared" si="11"/>
        <v>18240.257747334275</v>
      </c>
      <c r="O68" s="29">
        <f t="shared" ref="O68:O131" si="24">((N68/$N$3)*($F$3-$I$3-$M$3))</f>
        <v>18239.332593389016</v>
      </c>
      <c r="P68" s="29">
        <f t="shared" si="12"/>
        <v>18239.332593389016</v>
      </c>
      <c r="Q68">
        <f t="shared" si="13"/>
        <v>0</v>
      </c>
      <c r="R68" s="29">
        <f t="shared" si="14"/>
        <v>18239.332593389016</v>
      </c>
      <c r="S68" s="29">
        <f t="shared" ref="S68:S131" si="25">((R68/$R$3)*($F$3-$I$3-$M$3-$Q$3))</f>
        <v>18239.332593389026</v>
      </c>
      <c r="T68" s="29">
        <f t="shared" si="15"/>
        <v>18239.332593389026</v>
      </c>
      <c r="U68">
        <f t="shared" si="16"/>
        <v>0</v>
      </c>
      <c r="V68" s="29">
        <f t="shared" si="17"/>
        <v>18239.332593389026</v>
      </c>
      <c r="W68" s="29">
        <f t="shared" ref="W68:W131" si="26">((V68/$V$3)*($F$3-$I$3-$M$3-$Q$3-$U$3))</f>
        <v>18239.332593389026</v>
      </c>
      <c r="X68" s="29">
        <f t="shared" si="18"/>
        <v>18239.332593389026</v>
      </c>
      <c r="Y68">
        <f t="shared" si="19"/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allocations'!$A$1:$L$317,3,FALSE)</f>
        <v>164326.95190744323</v>
      </c>
      <c r="E69" s="31">
        <f>VLOOKUP(B69,'Initial adjusted formula count'!$A$1:$P$317,12,FALSE)</f>
        <v>7.2457245724572503E-2</v>
      </c>
      <c r="F69">
        <f>VLOOKUP(B69,'Model allocations'!$A$1:$L$317,8,FALSE)</f>
        <v>139905.88451720099</v>
      </c>
      <c r="G69" s="30">
        <f t="shared" ref="G69:G132" si="27">IF(E69&lt;0.15,0.85,IF(AND(E69&gt;=0.15,E69&lt;0.3),0.9,0.95))</f>
        <v>0.85</v>
      </c>
      <c r="H69">
        <f t="shared" ref="H69:H132" si="28">IF(F69 = 0, 0, D69*G69)</f>
        <v>139677.90912132675</v>
      </c>
      <c r="I69">
        <f t="shared" si="20"/>
        <v>0</v>
      </c>
      <c r="J69">
        <f t="shared" si="21"/>
        <v>139905.88451720099</v>
      </c>
      <c r="K69">
        <f t="shared" si="22"/>
        <v>139841.97606289622</v>
      </c>
      <c r="L69">
        <f t="shared" ref="L69:L132" si="29">I69+K69</f>
        <v>139841.97606289622</v>
      </c>
      <c r="M69">
        <f t="shared" si="23"/>
        <v>0</v>
      </c>
      <c r="N69" s="29">
        <f t="shared" ref="N69:N132" si="30">IF($I69+$M69=0,L69,0)</f>
        <v>139841.97606289622</v>
      </c>
      <c r="O69" s="29">
        <f t="shared" si="24"/>
        <v>139834.88321598253</v>
      </c>
      <c r="P69" s="29">
        <f t="shared" ref="P69:P132" si="31">$I69+$M69+O69</f>
        <v>139834.88321598253</v>
      </c>
      <c r="Q69">
        <f t="shared" ref="Q69:Q132" si="32">IF(P69&lt;H69,H69,0)</f>
        <v>0</v>
      </c>
      <c r="R69" s="29">
        <f t="shared" ref="R69:R132" si="33">IF($I69+$M69+$Q69=0,P69,0)</f>
        <v>139834.88321598253</v>
      </c>
      <c r="S69" s="29">
        <f t="shared" si="25"/>
        <v>139834.88321598261</v>
      </c>
      <c r="T69" s="29">
        <f t="shared" ref="T69:T132" si="34">$I69+$M69+$Q69+S69</f>
        <v>139834.88321598261</v>
      </c>
      <c r="U69">
        <f t="shared" ref="U69:U132" si="35">IF(T69&lt;H69,H69,0)</f>
        <v>0</v>
      </c>
      <c r="V69" s="29">
        <f t="shared" ref="V69:V132" si="36">IF($I69+$M69+$Q69+U69=0,T69,0)</f>
        <v>139834.88321598261</v>
      </c>
      <c r="W69" s="29">
        <f t="shared" si="26"/>
        <v>139834.88321598264</v>
      </c>
      <c r="X69" s="29">
        <f t="shared" ref="X69:X132" si="37">$I69+$M69+$Q69+$U69+W69</f>
        <v>139834.88321598264</v>
      </c>
      <c r="Y69">
        <f t="shared" ref="Y69:Y132" si="38">IF(X69&lt;H69,H69,0)</f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allocations'!$A$1:$L$317,3,FALSE)</f>
        <v>1816199.9763173445</v>
      </c>
      <c r="E70" s="31">
        <f>VLOOKUP(B70,'Initial adjusted formula count'!$A$1:$P$317,12,FALSE)</f>
        <v>9.6827021494370502E-2</v>
      </c>
      <c r="F70">
        <f>VLOOKUP(B70,'Model allocations'!$A$1:$L$317,8,FALSE)</f>
        <v>2055139.2352992555</v>
      </c>
      <c r="G70" s="30">
        <f t="shared" si="27"/>
        <v>0.85</v>
      </c>
      <c r="H70">
        <f t="shared" si="28"/>
        <v>1543769.9798697426</v>
      </c>
      <c r="I70">
        <f t="shared" si="20"/>
        <v>0</v>
      </c>
      <c r="J70">
        <f t="shared" si="21"/>
        <v>2055139.2352992555</v>
      </c>
      <c r="K70">
        <f t="shared" si="22"/>
        <v>2054200.4558307417</v>
      </c>
      <c r="L70">
        <f t="shared" si="29"/>
        <v>2054200.4558307417</v>
      </c>
      <c r="M70">
        <f t="shared" si="23"/>
        <v>0</v>
      </c>
      <c r="N70" s="29">
        <f t="shared" si="30"/>
        <v>2054200.4558307417</v>
      </c>
      <c r="O70" s="29">
        <f t="shared" si="24"/>
        <v>2054096.2658745253</v>
      </c>
      <c r="P70" s="29">
        <f t="shared" si="31"/>
        <v>2054096.2658745253</v>
      </c>
      <c r="Q70">
        <f t="shared" si="32"/>
        <v>0</v>
      </c>
      <c r="R70" s="29">
        <f t="shared" si="33"/>
        <v>2054096.2658745253</v>
      </c>
      <c r="S70" s="29">
        <f t="shared" si="25"/>
        <v>2054096.2658745265</v>
      </c>
      <c r="T70" s="29">
        <f t="shared" si="34"/>
        <v>2054096.2658745265</v>
      </c>
      <c r="U70">
        <f t="shared" si="35"/>
        <v>0</v>
      </c>
      <c r="V70" s="29">
        <f t="shared" si="36"/>
        <v>2054096.2658745265</v>
      </c>
      <c r="W70" s="29">
        <f t="shared" si="26"/>
        <v>2054096.2658745267</v>
      </c>
      <c r="X70" s="29">
        <f t="shared" si="37"/>
        <v>2054096.2658745267</v>
      </c>
      <c r="Y70">
        <f t="shared" si="38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allocations'!$A$1:$L$317,3,FALSE)</f>
        <v>340698.81128454203</v>
      </c>
      <c r="E71" s="31">
        <f>VLOOKUP(B71,'Initial adjusted formula count'!$A$1:$P$317,12,FALSE)</f>
        <v>0.12566027244926301</v>
      </c>
      <c r="F71">
        <f>VLOOKUP(B71,'Model allocations'!$A$1:$L$317,8,FALSE)</f>
        <v>392779.25342717272</v>
      </c>
      <c r="G71" s="30">
        <f t="shared" si="27"/>
        <v>0.85</v>
      </c>
      <c r="H71">
        <f t="shared" si="28"/>
        <v>289593.98959186074</v>
      </c>
      <c r="I71">
        <f t="shared" si="20"/>
        <v>0</v>
      </c>
      <c r="J71">
        <f t="shared" si="21"/>
        <v>392779.25342717272</v>
      </c>
      <c r="K71">
        <f t="shared" si="22"/>
        <v>392599.833418814</v>
      </c>
      <c r="L71">
        <f t="shared" si="29"/>
        <v>392599.833418814</v>
      </c>
      <c r="M71">
        <f t="shared" si="23"/>
        <v>0</v>
      </c>
      <c r="N71" s="29">
        <f t="shared" si="30"/>
        <v>392599.833418814</v>
      </c>
      <c r="O71" s="29">
        <f t="shared" si="24"/>
        <v>392579.92058151594</v>
      </c>
      <c r="P71" s="29">
        <f t="shared" si="31"/>
        <v>392579.92058151594</v>
      </c>
      <c r="Q71">
        <f t="shared" si="32"/>
        <v>0</v>
      </c>
      <c r="R71" s="29">
        <f t="shared" si="33"/>
        <v>392579.92058151594</v>
      </c>
      <c r="S71" s="29">
        <f t="shared" si="25"/>
        <v>392579.92058151611</v>
      </c>
      <c r="T71" s="29">
        <f t="shared" si="34"/>
        <v>392579.92058151611</v>
      </c>
      <c r="U71">
        <f t="shared" si="35"/>
        <v>0</v>
      </c>
      <c r="V71" s="29">
        <f t="shared" si="36"/>
        <v>392579.92058151611</v>
      </c>
      <c r="W71" s="29">
        <f t="shared" si="26"/>
        <v>392579.92058151617</v>
      </c>
      <c r="X71" s="29">
        <f t="shared" si="37"/>
        <v>392579.92058151617</v>
      </c>
      <c r="Y71">
        <f t="shared" si="38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allocations'!$A$1:$L$317,3,FALSE)</f>
        <v>282194.97500335809</v>
      </c>
      <c r="E72" s="31">
        <f>VLOOKUP(B72,'Initial adjusted formula count'!$A$1:$P$317,12,FALSE)</f>
        <v>0.15317011927181401</v>
      </c>
      <c r="F72">
        <f>VLOOKUP(B72,'Model allocations'!$A$1:$L$317,8,FALSE)</f>
        <v>253975.4775030223</v>
      </c>
      <c r="G72" s="30">
        <f t="shared" si="27"/>
        <v>0.9</v>
      </c>
      <c r="H72">
        <f t="shared" si="28"/>
        <v>253975.4775030223</v>
      </c>
      <c r="I72">
        <f t="shared" si="20"/>
        <v>0</v>
      </c>
      <c r="J72">
        <f t="shared" si="21"/>
        <v>253975.4775030223</v>
      </c>
      <c r="K72">
        <f t="shared" si="22"/>
        <v>253859.46251012516</v>
      </c>
      <c r="L72">
        <f t="shared" si="29"/>
        <v>253859.46251012516</v>
      </c>
      <c r="M72">
        <f t="shared" si="23"/>
        <v>253975.4775030223</v>
      </c>
      <c r="N72" s="29">
        <f t="shared" si="30"/>
        <v>0</v>
      </c>
      <c r="O72" s="29">
        <f t="shared" si="24"/>
        <v>0</v>
      </c>
      <c r="P72" s="29">
        <f t="shared" si="31"/>
        <v>253975.4775030223</v>
      </c>
      <c r="Q72">
        <f t="shared" si="32"/>
        <v>0</v>
      </c>
      <c r="R72" s="29">
        <f t="shared" si="33"/>
        <v>0</v>
      </c>
      <c r="S72" s="29">
        <f t="shared" si="25"/>
        <v>0</v>
      </c>
      <c r="T72" s="29">
        <f t="shared" si="34"/>
        <v>253975.4775030223</v>
      </c>
      <c r="U72">
        <f t="shared" si="35"/>
        <v>0</v>
      </c>
      <c r="V72" s="29">
        <f t="shared" si="36"/>
        <v>0</v>
      </c>
      <c r="W72" s="29">
        <f t="shared" si="26"/>
        <v>0</v>
      </c>
      <c r="X72" s="29">
        <f t="shared" si="37"/>
        <v>253975.4775030223</v>
      </c>
      <c r="Y72">
        <f t="shared" si="38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allocations'!$A$1:$L$317,3,FALSE)</f>
        <v>16099.928160323327</v>
      </c>
      <c r="E73" s="31">
        <f>VLOOKUP(B73,'Initial adjusted formula count'!$A$1:$P$317,12,FALSE)</f>
        <v>0.24444444444444399</v>
      </c>
      <c r="F73">
        <f>VLOOKUP(B73,'Model allocations'!$A$1:$L$317,8,FALSE)</f>
        <v>19117.574281853544</v>
      </c>
      <c r="G73" s="30">
        <f t="shared" si="27"/>
        <v>0.9</v>
      </c>
      <c r="H73">
        <f t="shared" si="28"/>
        <v>14489.935344290994</v>
      </c>
      <c r="I73">
        <f t="shared" si="20"/>
        <v>0</v>
      </c>
      <c r="J73">
        <f t="shared" si="21"/>
        <v>19117.574281853544</v>
      </c>
      <c r="K73">
        <f t="shared" si="22"/>
        <v>19108.841449588297</v>
      </c>
      <c r="L73">
        <f t="shared" si="29"/>
        <v>19108.841449588297</v>
      </c>
      <c r="M73">
        <f t="shared" si="23"/>
        <v>0</v>
      </c>
      <c r="N73" s="29">
        <f t="shared" si="30"/>
        <v>19108.841449588297</v>
      </c>
      <c r="O73" s="29">
        <f t="shared" si="24"/>
        <v>19107.872240693261</v>
      </c>
      <c r="P73" s="29">
        <f t="shared" si="31"/>
        <v>19107.872240693261</v>
      </c>
      <c r="Q73">
        <f t="shared" si="32"/>
        <v>0</v>
      </c>
      <c r="R73" s="29">
        <f t="shared" si="33"/>
        <v>19107.872240693261</v>
      </c>
      <c r="S73" s="29">
        <f t="shared" si="25"/>
        <v>19107.872240693272</v>
      </c>
      <c r="T73" s="29">
        <f t="shared" si="34"/>
        <v>19107.872240693272</v>
      </c>
      <c r="U73">
        <f t="shared" si="35"/>
        <v>0</v>
      </c>
      <c r="V73" s="29">
        <f t="shared" si="36"/>
        <v>19107.872240693272</v>
      </c>
      <c r="W73" s="29">
        <f t="shared" si="26"/>
        <v>19107.872240693272</v>
      </c>
      <c r="X73" s="29">
        <f t="shared" si="37"/>
        <v>19107.872240693272</v>
      </c>
      <c r="Y73">
        <f t="shared" si="38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allocations'!$A$1:$L$317,3,FALSE)</f>
        <v>60224.537348277634</v>
      </c>
      <c r="E74" s="31">
        <f>VLOOKUP(B74,'Initial adjusted formula count'!$A$1:$P$317,12,FALSE)</f>
        <v>0.16870415647921799</v>
      </c>
      <c r="F74">
        <f>VLOOKUP(B74,'Model allocations'!$A$1:$L$317,8,FALSE)</f>
        <v>59959.664793086093</v>
      </c>
      <c r="G74" s="30">
        <f t="shared" si="27"/>
        <v>0.9</v>
      </c>
      <c r="H74">
        <f t="shared" si="28"/>
        <v>54202.083613449875</v>
      </c>
      <c r="I74">
        <f t="shared" si="20"/>
        <v>0</v>
      </c>
      <c r="J74">
        <f t="shared" si="21"/>
        <v>59959.664793086093</v>
      </c>
      <c r="K74">
        <f t="shared" si="22"/>
        <v>59932.275455526913</v>
      </c>
      <c r="L74">
        <f t="shared" si="29"/>
        <v>59932.275455526913</v>
      </c>
      <c r="M74">
        <f t="shared" si="23"/>
        <v>0</v>
      </c>
      <c r="N74" s="29">
        <f t="shared" si="30"/>
        <v>59932.275455526913</v>
      </c>
      <c r="O74" s="29">
        <f t="shared" si="24"/>
        <v>59929.235663992484</v>
      </c>
      <c r="P74" s="29">
        <f t="shared" si="31"/>
        <v>59929.235663992484</v>
      </c>
      <c r="Q74">
        <f t="shared" si="32"/>
        <v>0</v>
      </c>
      <c r="R74" s="29">
        <f t="shared" si="33"/>
        <v>59929.235663992484</v>
      </c>
      <c r="S74" s="29">
        <f t="shared" si="25"/>
        <v>59929.235663992513</v>
      </c>
      <c r="T74" s="29">
        <f t="shared" si="34"/>
        <v>59929.235663992513</v>
      </c>
      <c r="U74">
        <f t="shared" si="35"/>
        <v>0</v>
      </c>
      <c r="V74" s="29">
        <f t="shared" si="36"/>
        <v>59929.235663992513</v>
      </c>
      <c r="W74" s="29">
        <f t="shared" si="26"/>
        <v>59929.235663992527</v>
      </c>
      <c r="X74" s="29">
        <f t="shared" si="37"/>
        <v>59929.235663992527</v>
      </c>
      <c r="Y74">
        <f t="shared" si="38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allocations'!$A$1:$L$317,3,FALSE)</f>
        <v>258965.51059759385</v>
      </c>
      <c r="E75" s="31">
        <f>VLOOKUP(B75,'Initial adjusted formula count'!$A$1:$P$317,12,FALSE)</f>
        <v>6.2553373185311706E-2</v>
      </c>
      <c r="F75">
        <f>VLOOKUP(B75,'Model allocations'!$A$1:$L$317,8,FALSE)</f>
        <v>254611.33020832212</v>
      </c>
      <c r="G75" s="30">
        <f t="shared" si="27"/>
        <v>0.85</v>
      </c>
      <c r="H75">
        <f t="shared" si="28"/>
        <v>220120.68400795475</v>
      </c>
      <c r="I75">
        <f t="shared" si="20"/>
        <v>0</v>
      </c>
      <c r="J75">
        <f t="shared" si="21"/>
        <v>254611.33020832212</v>
      </c>
      <c r="K75">
        <f t="shared" si="22"/>
        <v>254495.02476042588</v>
      </c>
      <c r="L75">
        <f t="shared" si="29"/>
        <v>254495.02476042588</v>
      </c>
      <c r="M75">
        <f t="shared" si="23"/>
        <v>0</v>
      </c>
      <c r="N75" s="29">
        <f t="shared" si="30"/>
        <v>254495.02476042588</v>
      </c>
      <c r="O75" s="29">
        <f t="shared" si="24"/>
        <v>254482.116660142</v>
      </c>
      <c r="P75" s="29">
        <f t="shared" si="31"/>
        <v>254482.116660142</v>
      </c>
      <c r="Q75">
        <f t="shared" si="32"/>
        <v>0</v>
      </c>
      <c r="R75" s="29">
        <f t="shared" si="33"/>
        <v>254482.116660142</v>
      </c>
      <c r="S75" s="29">
        <f t="shared" si="25"/>
        <v>254482.11666014211</v>
      </c>
      <c r="T75" s="29">
        <f t="shared" si="34"/>
        <v>254482.11666014211</v>
      </c>
      <c r="U75">
        <f t="shared" si="35"/>
        <v>0</v>
      </c>
      <c r="V75" s="29">
        <f t="shared" si="36"/>
        <v>254482.11666014211</v>
      </c>
      <c r="W75" s="29">
        <f t="shared" si="26"/>
        <v>254482.11666014217</v>
      </c>
      <c r="X75" s="29">
        <f t="shared" si="37"/>
        <v>254482.11666014217</v>
      </c>
      <c r="Y75">
        <f t="shared" si="38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allocations'!$A$1:$L$317,3,FALSE)</f>
        <v>400062.99809927295</v>
      </c>
      <c r="E76" s="31">
        <f>VLOOKUP(B76,'Initial adjusted formula count'!$A$1:$P$317,12,FALSE)</f>
        <v>0.148211829436039</v>
      </c>
      <c r="F76">
        <f>VLOOKUP(B76,'Model allocations'!$A$1:$L$317,8,FALSE)</f>
        <v>374530.65979449439</v>
      </c>
      <c r="G76" s="30">
        <f t="shared" si="27"/>
        <v>0.85</v>
      </c>
      <c r="H76">
        <f t="shared" si="28"/>
        <v>340053.54838438198</v>
      </c>
      <c r="I76">
        <f t="shared" si="20"/>
        <v>0</v>
      </c>
      <c r="J76">
        <f t="shared" si="21"/>
        <v>374530.65979449439</v>
      </c>
      <c r="K76">
        <f t="shared" si="22"/>
        <v>374359.57567147975</v>
      </c>
      <c r="L76">
        <f t="shared" si="29"/>
        <v>374359.57567147975</v>
      </c>
      <c r="M76">
        <f t="shared" si="23"/>
        <v>0</v>
      </c>
      <c r="N76" s="29">
        <f t="shared" si="30"/>
        <v>374359.57567147975</v>
      </c>
      <c r="O76" s="29">
        <f t="shared" si="24"/>
        <v>374340.58798812696</v>
      </c>
      <c r="P76" s="29">
        <f t="shared" si="31"/>
        <v>374340.58798812696</v>
      </c>
      <c r="Q76">
        <f t="shared" si="32"/>
        <v>0</v>
      </c>
      <c r="R76" s="29">
        <f t="shared" si="33"/>
        <v>374340.58798812696</v>
      </c>
      <c r="S76" s="29">
        <f t="shared" si="25"/>
        <v>374340.58798812714</v>
      </c>
      <c r="T76" s="29">
        <f t="shared" si="34"/>
        <v>374340.58798812714</v>
      </c>
      <c r="U76">
        <f t="shared" si="35"/>
        <v>0</v>
      </c>
      <c r="V76" s="29">
        <f t="shared" si="36"/>
        <v>374340.58798812714</v>
      </c>
      <c r="W76" s="29">
        <f t="shared" si="26"/>
        <v>374340.5879881272</v>
      </c>
      <c r="X76" s="29">
        <f t="shared" si="37"/>
        <v>374340.5879881272</v>
      </c>
      <c r="Y76">
        <f t="shared" si="38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allocations'!$A$1:$L$317,3,FALSE)</f>
        <v>27407.73587200031</v>
      </c>
      <c r="E77" s="31">
        <f>VLOOKUP(B77,'Initial adjusted formula count'!$A$1:$P$317,12,FALSE)</f>
        <v>0.123076923076923</v>
      </c>
      <c r="F77">
        <f>VLOOKUP(B77,'Model allocations'!$A$1:$L$317,8,FALSE)</f>
        <v>23296.575491200263</v>
      </c>
      <c r="G77" s="30">
        <f t="shared" si="27"/>
        <v>0.85</v>
      </c>
      <c r="H77">
        <f t="shared" si="28"/>
        <v>23296.575491200263</v>
      </c>
      <c r="I77">
        <f t="shared" si="20"/>
        <v>0</v>
      </c>
      <c r="J77">
        <f t="shared" si="21"/>
        <v>23296.575491200263</v>
      </c>
      <c r="K77">
        <f t="shared" si="22"/>
        <v>23285.933707722928</v>
      </c>
      <c r="L77">
        <f t="shared" si="29"/>
        <v>23285.933707722928</v>
      </c>
      <c r="M77">
        <f t="shared" si="23"/>
        <v>23296.575491200263</v>
      </c>
      <c r="N77" s="29">
        <f t="shared" si="30"/>
        <v>0</v>
      </c>
      <c r="O77" s="29">
        <f t="shared" si="24"/>
        <v>0</v>
      </c>
      <c r="P77" s="29">
        <f t="shared" si="31"/>
        <v>23296.575491200263</v>
      </c>
      <c r="Q77">
        <f t="shared" si="32"/>
        <v>0</v>
      </c>
      <c r="R77" s="29">
        <f t="shared" si="33"/>
        <v>0</v>
      </c>
      <c r="S77" s="29">
        <f t="shared" si="25"/>
        <v>0</v>
      </c>
      <c r="T77" s="29">
        <f t="shared" si="34"/>
        <v>23296.575491200263</v>
      </c>
      <c r="U77">
        <f t="shared" si="35"/>
        <v>0</v>
      </c>
      <c r="V77" s="29">
        <f t="shared" si="36"/>
        <v>0</v>
      </c>
      <c r="W77" s="29">
        <f t="shared" si="26"/>
        <v>0</v>
      </c>
      <c r="X77" s="29">
        <f t="shared" si="37"/>
        <v>23296.575491200263</v>
      </c>
      <c r="Y77">
        <f t="shared" si="38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allocations'!$A$1:$L$317,3,FALSE)</f>
        <v>2020103.0527679417</v>
      </c>
      <c r="E78" s="31">
        <f>VLOOKUP(B78,'Initial adjusted formula count'!$A$1:$P$317,12,FALSE)</f>
        <v>0.106965607313888</v>
      </c>
      <c r="F78">
        <f>VLOOKUP(B78,'Model allocations'!$A$1:$L$317,8,FALSE)</f>
        <v>2135085.4550233702</v>
      </c>
      <c r="G78" s="30">
        <f t="shared" si="27"/>
        <v>0.85</v>
      </c>
      <c r="H78">
        <f t="shared" si="28"/>
        <v>1717087.5948527504</v>
      </c>
      <c r="I78">
        <f t="shared" si="20"/>
        <v>0</v>
      </c>
      <c r="J78">
        <f t="shared" si="21"/>
        <v>2135085.4550233702</v>
      </c>
      <c r="K78">
        <f t="shared" si="22"/>
        <v>2134110.1564381109</v>
      </c>
      <c r="L78">
        <f t="shared" si="29"/>
        <v>2134110.1564381109</v>
      </c>
      <c r="M78">
        <f t="shared" si="23"/>
        <v>0</v>
      </c>
      <c r="N78" s="29">
        <f t="shared" si="30"/>
        <v>2134110.1564381109</v>
      </c>
      <c r="O78" s="29">
        <f t="shared" si="24"/>
        <v>2134001.9134265152</v>
      </c>
      <c r="P78" s="29">
        <f t="shared" si="31"/>
        <v>2134001.9134265152</v>
      </c>
      <c r="Q78">
        <f t="shared" si="32"/>
        <v>0</v>
      </c>
      <c r="R78" s="29">
        <f t="shared" si="33"/>
        <v>2134001.9134265152</v>
      </c>
      <c r="S78" s="29">
        <f t="shared" si="25"/>
        <v>2134001.9134265161</v>
      </c>
      <c r="T78" s="29">
        <f t="shared" si="34"/>
        <v>2134001.9134265161</v>
      </c>
      <c r="U78">
        <f t="shared" si="35"/>
        <v>0</v>
      </c>
      <c r="V78" s="29">
        <f t="shared" si="36"/>
        <v>2134001.9134265161</v>
      </c>
      <c r="W78" s="29">
        <f t="shared" si="26"/>
        <v>2134001.9134265161</v>
      </c>
      <c r="X78" s="29">
        <f t="shared" si="37"/>
        <v>2134001.9134265161</v>
      </c>
      <c r="Y78">
        <f t="shared" si="38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allocations'!$A$1:$L$317,3,FALSE)</f>
        <v>2277347.8622984411</v>
      </c>
      <c r="E79" s="31">
        <f>VLOOKUP(B79,'Initial adjusted formula count'!$A$1:$P$317,12,FALSE)</f>
        <v>9.8037024621000501E-2</v>
      </c>
      <c r="F79">
        <f>VLOOKUP(B79,'Model allocations'!$A$1:$L$317,8,FALSE)</f>
        <v>2287157.0686290232</v>
      </c>
      <c r="G79" s="30">
        <f t="shared" si="27"/>
        <v>0.85</v>
      </c>
      <c r="H79">
        <f t="shared" si="28"/>
        <v>1935745.6829536748</v>
      </c>
      <c r="I79">
        <f t="shared" si="20"/>
        <v>0</v>
      </c>
      <c r="J79">
        <f t="shared" si="21"/>
        <v>2287157.0686290232</v>
      </c>
      <c r="K79">
        <f t="shared" si="22"/>
        <v>2286112.3043325627</v>
      </c>
      <c r="L79">
        <f t="shared" si="29"/>
        <v>2286112.3043325627</v>
      </c>
      <c r="M79">
        <f t="shared" si="23"/>
        <v>0</v>
      </c>
      <c r="N79" s="29">
        <f t="shared" si="30"/>
        <v>2286112.3043325627</v>
      </c>
      <c r="O79" s="29">
        <f t="shared" si="24"/>
        <v>2285996.3517047567</v>
      </c>
      <c r="P79" s="29">
        <f t="shared" si="31"/>
        <v>2285996.3517047567</v>
      </c>
      <c r="Q79">
        <f t="shared" si="32"/>
        <v>0</v>
      </c>
      <c r="R79" s="29">
        <f t="shared" si="33"/>
        <v>2285996.3517047567</v>
      </c>
      <c r="S79" s="29">
        <f t="shared" si="25"/>
        <v>2285996.3517047581</v>
      </c>
      <c r="T79" s="29">
        <f t="shared" si="34"/>
        <v>2285996.3517047581</v>
      </c>
      <c r="U79">
        <f t="shared" si="35"/>
        <v>0</v>
      </c>
      <c r="V79" s="29">
        <f t="shared" si="36"/>
        <v>2285996.3517047581</v>
      </c>
      <c r="W79" s="29">
        <f t="shared" si="26"/>
        <v>2285996.3517047586</v>
      </c>
      <c r="X79" s="29">
        <f t="shared" si="37"/>
        <v>2285996.3517047586</v>
      </c>
      <c r="Y79">
        <f t="shared" si="38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allocations'!$A$1:$L$317,3,FALSE)</f>
        <v>13904.48341118833</v>
      </c>
      <c r="E80" s="31">
        <f>VLOOKUP(B80,'Initial adjusted formula count'!$A$1:$P$317,12,FALSE)</f>
        <v>0.29824561403508798</v>
      </c>
      <c r="F80">
        <f>VLOOKUP(B80,'Model allocations'!$A$1:$L$317,8,FALSE)</f>
        <v>14772.671035977735</v>
      </c>
      <c r="G80" s="30">
        <f t="shared" si="27"/>
        <v>0.9</v>
      </c>
      <c r="H80">
        <f t="shared" si="28"/>
        <v>12514.035070069498</v>
      </c>
      <c r="I80">
        <f t="shared" si="20"/>
        <v>0</v>
      </c>
      <c r="J80">
        <f t="shared" si="21"/>
        <v>14772.671035977735</v>
      </c>
      <c r="K80">
        <f t="shared" si="22"/>
        <v>14765.922938318226</v>
      </c>
      <c r="L80">
        <f t="shared" si="29"/>
        <v>14765.922938318226</v>
      </c>
      <c r="M80">
        <f t="shared" si="23"/>
        <v>0</v>
      </c>
      <c r="N80" s="29">
        <f t="shared" si="30"/>
        <v>14765.922938318226</v>
      </c>
      <c r="O80" s="29">
        <f t="shared" si="24"/>
        <v>14765.17400417206</v>
      </c>
      <c r="P80" s="29">
        <f t="shared" si="31"/>
        <v>14765.17400417206</v>
      </c>
      <c r="Q80">
        <f t="shared" si="32"/>
        <v>0</v>
      </c>
      <c r="R80" s="29">
        <f t="shared" si="33"/>
        <v>14765.17400417206</v>
      </c>
      <c r="S80" s="29">
        <f t="shared" si="25"/>
        <v>14765.17400417207</v>
      </c>
      <c r="T80" s="29">
        <f t="shared" si="34"/>
        <v>14765.17400417207</v>
      </c>
      <c r="U80">
        <f t="shared" si="35"/>
        <v>0</v>
      </c>
      <c r="V80" s="29">
        <f t="shared" si="36"/>
        <v>14765.17400417207</v>
      </c>
      <c r="W80" s="29">
        <f t="shared" si="26"/>
        <v>14765.174004172071</v>
      </c>
      <c r="X80" s="29">
        <f t="shared" si="37"/>
        <v>14765.174004172071</v>
      </c>
      <c r="Y80">
        <f t="shared" si="38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allocations'!$A$1:$L$317,3,FALSE)</f>
        <v>3659070.8191746403</v>
      </c>
      <c r="E81" s="31">
        <f>VLOOKUP(B81,'Initial adjusted formula count'!$A$1:$P$317,12,FALSE)</f>
        <v>0.17527095226276199</v>
      </c>
      <c r="F81">
        <f>VLOOKUP(B81,'Model allocations'!$A$1:$L$317,8,FALSE)</f>
        <v>3681871.0105551565</v>
      </c>
      <c r="G81" s="30">
        <f t="shared" si="27"/>
        <v>0.9</v>
      </c>
      <c r="H81">
        <f t="shared" si="28"/>
        <v>3293163.7372571765</v>
      </c>
      <c r="I81">
        <f t="shared" si="20"/>
        <v>0</v>
      </c>
      <c r="J81">
        <f t="shared" si="21"/>
        <v>3681871.0105551565</v>
      </c>
      <c r="K81">
        <f t="shared" si="22"/>
        <v>3680189.1464502541</v>
      </c>
      <c r="L81">
        <f t="shared" si="29"/>
        <v>3680189.1464502541</v>
      </c>
      <c r="M81">
        <f t="shared" si="23"/>
        <v>0</v>
      </c>
      <c r="N81" s="29">
        <f t="shared" si="30"/>
        <v>3680189.1464502541</v>
      </c>
      <c r="O81" s="29">
        <f t="shared" si="24"/>
        <v>3680002.4856280596</v>
      </c>
      <c r="P81" s="29">
        <f t="shared" si="31"/>
        <v>3680002.4856280596</v>
      </c>
      <c r="Q81">
        <f t="shared" si="32"/>
        <v>0</v>
      </c>
      <c r="R81" s="29">
        <f t="shared" si="33"/>
        <v>3680002.4856280596</v>
      </c>
      <c r="S81" s="29">
        <f t="shared" si="25"/>
        <v>3680002.4856280619</v>
      </c>
      <c r="T81" s="29">
        <f t="shared" si="34"/>
        <v>3680002.4856280619</v>
      </c>
      <c r="U81">
        <f t="shared" si="35"/>
        <v>0</v>
      </c>
      <c r="V81" s="29">
        <f t="shared" si="36"/>
        <v>3680002.4856280619</v>
      </c>
      <c r="W81" s="29">
        <f t="shared" si="26"/>
        <v>3680002.4856280624</v>
      </c>
      <c r="X81" s="29">
        <f t="shared" si="37"/>
        <v>3680002.4856280624</v>
      </c>
      <c r="Y81">
        <f t="shared" si="38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allocations'!$A$1:$L$317,3,FALSE)</f>
        <v>708019.00264156493</v>
      </c>
      <c r="E82" s="31">
        <f>VLOOKUP(B82,'Initial adjusted formula count'!$A$1:$P$317,12,FALSE)</f>
        <v>0.12768708582511701</v>
      </c>
      <c r="F82">
        <f>VLOOKUP(B82,'Model allocations'!$A$1:$L$317,8,FALSE)</f>
        <v>686494.71284837718</v>
      </c>
      <c r="G82" s="30">
        <f t="shared" si="27"/>
        <v>0.85</v>
      </c>
      <c r="H82">
        <f t="shared" si="28"/>
        <v>601816.15224533016</v>
      </c>
      <c r="I82">
        <f t="shared" si="20"/>
        <v>0</v>
      </c>
      <c r="J82">
        <f t="shared" si="21"/>
        <v>686494.71284837718</v>
      </c>
      <c r="K82">
        <f t="shared" si="22"/>
        <v>686181.12478067051</v>
      </c>
      <c r="L82">
        <f t="shared" si="29"/>
        <v>686181.12478067051</v>
      </c>
      <c r="M82">
        <f t="shared" si="23"/>
        <v>0</v>
      </c>
      <c r="N82" s="29">
        <f t="shared" si="30"/>
        <v>686181.12478067051</v>
      </c>
      <c r="O82" s="29">
        <f t="shared" si="24"/>
        <v>686146.32137034868</v>
      </c>
      <c r="P82" s="29">
        <f t="shared" si="31"/>
        <v>686146.32137034868</v>
      </c>
      <c r="Q82">
        <f t="shared" si="32"/>
        <v>0</v>
      </c>
      <c r="R82" s="29">
        <f t="shared" si="33"/>
        <v>686146.32137034868</v>
      </c>
      <c r="S82" s="29">
        <f t="shared" si="25"/>
        <v>686146.32137034903</v>
      </c>
      <c r="T82" s="29">
        <f t="shared" si="34"/>
        <v>686146.32137034903</v>
      </c>
      <c r="U82">
        <f t="shared" si="35"/>
        <v>0</v>
      </c>
      <c r="V82" s="29">
        <f t="shared" si="36"/>
        <v>686146.32137034903</v>
      </c>
      <c r="W82" s="29">
        <f t="shared" si="26"/>
        <v>686146.32137034915</v>
      </c>
      <c r="X82" s="29">
        <f t="shared" si="37"/>
        <v>686146.32137034915</v>
      </c>
      <c r="Y82">
        <f t="shared" si="38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allocations'!$A$1:$L$317,3,FALSE)</f>
        <v>314027.94474459044</v>
      </c>
      <c r="E83" s="31">
        <f>VLOOKUP(B83,'Initial adjusted formula count'!$A$1:$P$317,12,FALSE)</f>
        <v>9.6238397655105001E-2</v>
      </c>
      <c r="F83">
        <f>VLOOKUP(B83,'Model allocations'!$A$1:$L$317,8,FALSE)</f>
        <v>342378.37577501335</v>
      </c>
      <c r="G83" s="30">
        <f t="shared" si="27"/>
        <v>0.85</v>
      </c>
      <c r="H83">
        <f t="shared" si="28"/>
        <v>266923.75303290185</v>
      </c>
      <c r="I83">
        <f t="shared" si="20"/>
        <v>0</v>
      </c>
      <c r="J83">
        <f t="shared" si="21"/>
        <v>342378.37577501335</v>
      </c>
      <c r="K83">
        <f t="shared" si="22"/>
        <v>342221.9786880812</v>
      </c>
      <c r="L83">
        <f t="shared" si="29"/>
        <v>342221.9786880812</v>
      </c>
      <c r="M83">
        <f t="shared" si="23"/>
        <v>0</v>
      </c>
      <c r="N83" s="29">
        <f t="shared" si="30"/>
        <v>342221.9786880812</v>
      </c>
      <c r="O83" s="29">
        <f t="shared" si="24"/>
        <v>342204.62103787006</v>
      </c>
      <c r="P83" s="29">
        <f t="shared" si="31"/>
        <v>342204.62103787006</v>
      </c>
      <c r="Q83">
        <f t="shared" si="32"/>
        <v>0</v>
      </c>
      <c r="R83" s="29">
        <f t="shared" si="33"/>
        <v>342204.62103787006</v>
      </c>
      <c r="S83" s="29">
        <f t="shared" si="25"/>
        <v>342204.62103787024</v>
      </c>
      <c r="T83" s="29">
        <f t="shared" si="34"/>
        <v>342204.62103787024</v>
      </c>
      <c r="U83">
        <f t="shared" si="35"/>
        <v>0</v>
      </c>
      <c r="V83" s="29">
        <f t="shared" si="36"/>
        <v>342204.62103787024</v>
      </c>
      <c r="W83" s="29">
        <f t="shared" si="26"/>
        <v>342204.6210378703</v>
      </c>
      <c r="X83" s="29">
        <f t="shared" si="37"/>
        <v>342204.6210378703</v>
      </c>
      <c r="Y83">
        <f t="shared" si="38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allocations'!$A$1:$L$317,3,FALSE)</f>
        <v>123367.20827491388</v>
      </c>
      <c r="E84" s="31">
        <f>VLOOKUP(B84,'Initial adjusted formula count'!$A$1:$P$317,12,FALSE)</f>
        <v>0.13260869565217401</v>
      </c>
      <c r="F84">
        <f>VLOOKUP(B84,'Model allocations'!$A$1:$L$317,8,FALSE)</f>
        <v>106015.63919936963</v>
      </c>
      <c r="G84" s="30">
        <f t="shared" si="27"/>
        <v>0.85</v>
      </c>
      <c r="H84">
        <f t="shared" si="28"/>
        <v>104862.12703367679</v>
      </c>
      <c r="I84">
        <f t="shared" si="20"/>
        <v>0</v>
      </c>
      <c r="J84">
        <f t="shared" si="21"/>
        <v>106015.63919936963</v>
      </c>
      <c r="K84">
        <f t="shared" si="22"/>
        <v>105967.21167498962</v>
      </c>
      <c r="L84">
        <f t="shared" si="29"/>
        <v>105967.21167498962</v>
      </c>
      <c r="M84">
        <f t="shared" si="23"/>
        <v>0</v>
      </c>
      <c r="N84" s="29">
        <f t="shared" si="30"/>
        <v>105967.21167498962</v>
      </c>
      <c r="O84" s="29">
        <f t="shared" si="24"/>
        <v>105961.83697111714</v>
      </c>
      <c r="P84" s="29">
        <f t="shared" si="31"/>
        <v>105961.83697111714</v>
      </c>
      <c r="Q84">
        <f t="shared" si="32"/>
        <v>0</v>
      </c>
      <c r="R84" s="29">
        <f t="shared" si="33"/>
        <v>105961.83697111714</v>
      </c>
      <c r="S84" s="29">
        <f t="shared" si="25"/>
        <v>105961.8369711172</v>
      </c>
      <c r="T84" s="29">
        <f t="shared" si="34"/>
        <v>105961.8369711172</v>
      </c>
      <c r="U84">
        <f t="shared" si="35"/>
        <v>0</v>
      </c>
      <c r="V84" s="29">
        <f t="shared" si="36"/>
        <v>105961.8369711172</v>
      </c>
      <c r="W84" s="29">
        <f t="shared" si="26"/>
        <v>105961.83697111721</v>
      </c>
      <c r="X84" s="29">
        <f t="shared" si="37"/>
        <v>105961.83697111721</v>
      </c>
      <c r="Y84">
        <f t="shared" si="38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allocations'!$A$1:$L$317,3,FALSE)</f>
        <v>1082320.9712019039</v>
      </c>
      <c r="E85" s="31">
        <f>VLOOKUP(B85,'Initial adjusted formula count'!$A$1:$P$317,12,FALSE)</f>
        <v>0.14967880085653101</v>
      </c>
      <c r="F85">
        <f>VLOOKUP(B85,'Model allocations'!$A$1:$L$317,8,FALSE)</f>
        <v>1214834.9475468751</v>
      </c>
      <c r="G85" s="30">
        <f t="shared" si="27"/>
        <v>0.85</v>
      </c>
      <c r="H85">
        <f t="shared" si="28"/>
        <v>919972.82552161824</v>
      </c>
      <c r="I85">
        <f t="shared" si="20"/>
        <v>0</v>
      </c>
      <c r="J85">
        <f t="shared" si="21"/>
        <v>1214834.9475468751</v>
      </c>
      <c r="K85">
        <f t="shared" si="22"/>
        <v>1214280.0157511106</v>
      </c>
      <c r="L85">
        <f t="shared" si="29"/>
        <v>1214280.0157511106</v>
      </c>
      <c r="M85">
        <f t="shared" si="23"/>
        <v>0</v>
      </c>
      <c r="N85" s="29">
        <f t="shared" si="30"/>
        <v>1214280.0157511106</v>
      </c>
      <c r="O85" s="29">
        <f t="shared" si="24"/>
        <v>1214218.426931326</v>
      </c>
      <c r="P85" s="29">
        <f t="shared" si="31"/>
        <v>1214218.426931326</v>
      </c>
      <c r="Q85">
        <f t="shared" si="32"/>
        <v>0</v>
      </c>
      <c r="R85" s="29">
        <f t="shared" si="33"/>
        <v>1214218.426931326</v>
      </c>
      <c r="S85" s="29">
        <f t="shared" si="25"/>
        <v>1214218.4269313267</v>
      </c>
      <c r="T85" s="29">
        <f t="shared" si="34"/>
        <v>1214218.4269313267</v>
      </c>
      <c r="U85">
        <f t="shared" si="35"/>
        <v>0</v>
      </c>
      <c r="V85" s="29">
        <f t="shared" si="36"/>
        <v>1214218.4269313267</v>
      </c>
      <c r="W85" s="29">
        <f t="shared" si="26"/>
        <v>1214218.426931327</v>
      </c>
      <c r="X85" s="29">
        <f t="shared" si="37"/>
        <v>1214218.426931327</v>
      </c>
      <c r="Y85">
        <f t="shared" si="38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allocations'!$A$1:$L$317,3,FALSE)</f>
        <v>43017.526677341186</v>
      </c>
      <c r="E86" s="31">
        <f>VLOOKUP(B86,'Initial adjusted formula count'!$A$1:$P$317,12,FALSE)</f>
        <v>3.6963036963037002E-2</v>
      </c>
      <c r="F86">
        <f>VLOOKUP(B86,'Model allocations'!$A$1:$L$317,8,FALSE)</f>
        <v>36564.897675740009</v>
      </c>
      <c r="G86" s="30">
        <f t="shared" si="27"/>
        <v>0.85</v>
      </c>
      <c r="H86">
        <f t="shared" si="28"/>
        <v>36564.897675740009</v>
      </c>
      <c r="I86">
        <f t="shared" si="20"/>
        <v>0</v>
      </c>
      <c r="J86">
        <f t="shared" si="21"/>
        <v>36564.897675740009</v>
      </c>
      <c r="K86">
        <f t="shared" si="22"/>
        <v>36548.194975204344</v>
      </c>
      <c r="L86">
        <f t="shared" si="29"/>
        <v>36548.194975204344</v>
      </c>
      <c r="M86">
        <f t="shared" si="23"/>
        <v>36564.897675740009</v>
      </c>
      <c r="N86" s="29">
        <f t="shared" si="30"/>
        <v>0</v>
      </c>
      <c r="O86" s="29">
        <f t="shared" si="24"/>
        <v>0</v>
      </c>
      <c r="P86" s="29">
        <f t="shared" si="31"/>
        <v>36564.897675740009</v>
      </c>
      <c r="Q86">
        <f t="shared" si="32"/>
        <v>0</v>
      </c>
      <c r="R86" s="29">
        <f t="shared" si="33"/>
        <v>0</v>
      </c>
      <c r="S86" s="29">
        <f t="shared" si="25"/>
        <v>0</v>
      </c>
      <c r="T86" s="29">
        <f t="shared" si="34"/>
        <v>36564.897675740009</v>
      </c>
      <c r="U86">
        <f t="shared" si="35"/>
        <v>0</v>
      </c>
      <c r="V86" s="29">
        <f t="shared" si="36"/>
        <v>0</v>
      </c>
      <c r="W86" s="29">
        <f t="shared" si="26"/>
        <v>0</v>
      </c>
      <c r="X86" s="29">
        <f t="shared" si="37"/>
        <v>36564.897675740009</v>
      </c>
      <c r="Y86">
        <f t="shared" si="38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allocations'!$A$1:$L$317,3,FALSE)</f>
        <v>30112.268674138817</v>
      </c>
      <c r="E87" s="31">
        <f>VLOOKUP(B87,'Initial adjusted formula count'!$A$1:$P$317,12,FALSE)</f>
        <v>0.25</v>
      </c>
      <c r="F87">
        <f>VLOOKUP(B87,'Model allocations'!$A$1:$L$317,8,FALSE)</f>
        <v>28676.361422780301</v>
      </c>
      <c r="G87" s="30">
        <f t="shared" si="27"/>
        <v>0.9</v>
      </c>
      <c r="H87">
        <f t="shared" si="28"/>
        <v>27101.041806724937</v>
      </c>
      <c r="I87">
        <f t="shared" si="20"/>
        <v>0</v>
      </c>
      <c r="J87">
        <f t="shared" si="21"/>
        <v>28676.361422780301</v>
      </c>
      <c r="K87">
        <f t="shared" si="22"/>
        <v>28663.262174382431</v>
      </c>
      <c r="L87">
        <f t="shared" si="29"/>
        <v>28663.262174382431</v>
      </c>
      <c r="M87">
        <f t="shared" si="23"/>
        <v>0</v>
      </c>
      <c r="N87" s="29">
        <f t="shared" si="30"/>
        <v>28663.262174382431</v>
      </c>
      <c r="O87" s="29">
        <f t="shared" si="24"/>
        <v>28661.808361039875</v>
      </c>
      <c r="P87" s="29">
        <f t="shared" si="31"/>
        <v>28661.808361039875</v>
      </c>
      <c r="Q87">
        <f t="shared" si="32"/>
        <v>0</v>
      </c>
      <c r="R87" s="29">
        <f t="shared" si="33"/>
        <v>28661.808361039875</v>
      </c>
      <c r="S87" s="29">
        <f t="shared" si="25"/>
        <v>28661.808361039893</v>
      </c>
      <c r="T87" s="29">
        <f t="shared" si="34"/>
        <v>28661.808361039893</v>
      </c>
      <c r="U87">
        <f t="shared" si="35"/>
        <v>0</v>
      </c>
      <c r="V87" s="29">
        <f t="shared" si="36"/>
        <v>28661.808361039893</v>
      </c>
      <c r="W87" s="29">
        <f t="shared" si="26"/>
        <v>28661.808361039897</v>
      </c>
      <c r="X87" s="29">
        <f t="shared" si="37"/>
        <v>28661.808361039897</v>
      </c>
      <c r="Y87">
        <f t="shared" si="38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allocations'!$A$1:$L$317,3,FALSE)</f>
        <v>11634.02024081536</v>
      </c>
      <c r="E88" s="31">
        <f>VLOOKUP(B88,'Initial adjusted formula count'!$A$1:$P$317,12,FALSE)</f>
        <v>0.14516129032258099</v>
      </c>
      <c r="F88">
        <f>VLOOKUP(B88,'Model allocations'!$A$1:$L$317,8,FALSE)</f>
        <v>0</v>
      </c>
      <c r="G88" s="30">
        <f t="shared" si="27"/>
        <v>0.85</v>
      </c>
      <c r="H88">
        <f t="shared" si="28"/>
        <v>0</v>
      </c>
      <c r="I88">
        <f t="shared" si="20"/>
        <v>0</v>
      </c>
      <c r="J88">
        <f t="shared" si="21"/>
        <v>0</v>
      </c>
      <c r="K88">
        <f t="shared" si="22"/>
        <v>0</v>
      </c>
      <c r="L88">
        <f t="shared" si="29"/>
        <v>0</v>
      </c>
      <c r="M88">
        <f t="shared" si="23"/>
        <v>0</v>
      </c>
      <c r="N88" s="29">
        <f t="shared" si="30"/>
        <v>0</v>
      </c>
      <c r="O88" s="29">
        <f t="shared" si="24"/>
        <v>0</v>
      </c>
      <c r="P88" s="29">
        <f t="shared" si="31"/>
        <v>0</v>
      </c>
      <c r="Q88">
        <f t="shared" si="32"/>
        <v>0</v>
      </c>
      <c r="R88" s="29">
        <f t="shared" si="33"/>
        <v>0</v>
      </c>
      <c r="S88" s="29">
        <f t="shared" si="25"/>
        <v>0</v>
      </c>
      <c r="T88" s="29">
        <f t="shared" si="34"/>
        <v>0</v>
      </c>
      <c r="U88">
        <f t="shared" si="35"/>
        <v>0</v>
      </c>
      <c r="V88" s="29">
        <f t="shared" si="36"/>
        <v>0</v>
      </c>
      <c r="W88" s="29">
        <f t="shared" si="26"/>
        <v>0</v>
      </c>
      <c r="X88" s="29">
        <f t="shared" si="37"/>
        <v>0</v>
      </c>
      <c r="Y88">
        <f t="shared" si="38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allocations'!$A$1:$L$317,3,FALSE)</f>
        <v>189277.11738030115</v>
      </c>
      <c r="E89" s="31">
        <f>VLOOKUP(B89,'Initial adjusted formula count'!$A$1:$P$317,12,FALSE)</f>
        <v>0.15348837209302299</v>
      </c>
      <c r="F89">
        <f>VLOOKUP(B89,'Model allocations'!$A$1:$L$317,8,FALSE)</f>
        <v>170349.40564227104</v>
      </c>
      <c r="G89" s="30">
        <f t="shared" si="27"/>
        <v>0.9</v>
      </c>
      <c r="H89">
        <f t="shared" si="28"/>
        <v>170349.40564227104</v>
      </c>
      <c r="I89">
        <f t="shared" si="20"/>
        <v>0</v>
      </c>
      <c r="J89">
        <f t="shared" si="21"/>
        <v>170349.40564227104</v>
      </c>
      <c r="K89">
        <f t="shared" si="22"/>
        <v>170271.59070801077</v>
      </c>
      <c r="L89">
        <f t="shared" si="29"/>
        <v>170271.59070801077</v>
      </c>
      <c r="M89">
        <f t="shared" si="23"/>
        <v>170349.40564227104</v>
      </c>
      <c r="N89" s="29">
        <f t="shared" si="30"/>
        <v>0</v>
      </c>
      <c r="O89" s="29">
        <f t="shared" si="24"/>
        <v>0</v>
      </c>
      <c r="P89" s="29">
        <f t="shared" si="31"/>
        <v>170349.40564227104</v>
      </c>
      <c r="Q89">
        <f t="shared" si="32"/>
        <v>0</v>
      </c>
      <c r="R89" s="29">
        <f t="shared" si="33"/>
        <v>0</v>
      </c>
      <c r="S89" s="29">
        <f t="shared" si="25"/>
        <v>0</v>
      </c>
      <c r="T89" s="29">
        <f t="shared" si="34"/>
        <v>170349.40564227104</v>
      </c>
      <c r="U89">
        <f t="shared" si="35"/>
        <v>0</v>
      </c>
      <c r="V89" s="29">
        <f t="shared" si="36"/>
        <v>0</v>
      </c>
      <c r="W89" s="29">
        <f t="shared" si="26"/>
        <v>0</v>
      </c>
      <c r="X89" s="29">
        <f t="shared" si="37"/>
        <v>170349.40564227104</v>
      </c>
      <c r="Y89">
        <f t="shared" si="38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allocations'!$A$1:$L$317,3,FALSE)</f>
        <v>97219.610290791054</v>
      </c>
      <c r="E90" s="31">
        <f>VLOOKUP(B90,'Initial adjusted formula count'!$A$1:$P$317,12,FALSE)</f>
        <v>0.183035714285714</v>
      </c>
      <c r="F90">
        <f>VLOOKUP(B90,'Model allocations'!$A$1:$L$317,8,FALSE)</f>
        <v>106884.61984854478</v>
      </c>
      <c r="G90" s="30">
        <f t="shared" si="27"/>
        <v>0.9</v>
      </c>
      <c r="H90">
        <f t="shared" si="28"/>
        <v>87497.649261711951</v>
      </c>
      <c r="I90">
        <f t="shared" si="20"/>
        <v>0</v>
      </c>
      <c r="J90">
        <f t="shared" si="21"/>
        <v>106884.61984854478</v>
      </c>
      <c r="K90">
        <f t="shared" si="22"/>
        <v>106835.79537724363</v>
      </c>
      <c r="L90">
        <f t="shared" si="29"/>
        <v>106835.79537724363</v>
      </c>
      <c r="M90">
        <f t="shared" si="23"/>
        <v>0</v>
      </c>
      <c r="N90" s="29">
        <f t="shared" si="30"/>
        <v>106835.79537724363</v>
      </c>
      <c r="O90" s="29">
        <f t="shared" si="24"/>
        <v>106830.37661842137</v>
      </c>
      <c r="P90" s="29">
        <f t="shared" si="31"/>
        <v>106830.37661842137</v>
      </c>
      <c r="Q90">
        <f t="shared" si="32"/>
        <v>0</v>
      </c>
      <c r="R90" s="29">
        <f t="shared" si="33"/>
        <v>106830.37661842137</v>
      </c>
      <c r="S90" s="29">
        <f t="shared" si="25"/>
        <v>106830.37661842145</v>
      </c>
      <c r="T90" s="29">
        <f t="shared" si="34"/>
        <v>106830.37661842145</v>
      </c>
      <c r="U90">
        <f t="shared" si="35"/>
        <v>0</v>
      </c>
      <c r="V90" s="29">
        <f t="shared" si="36"/>
        <v>106830.37661842145</v>
      </c>
      <c r="W90" s="29">
        <f t="shared" si="26"/>
        <v>106830.37661842146</v>
      </c>
      <c r="X90" s="29">
        <f t="shared" si="37"/>
        <v>106830.37661842146</v>
      </c>
      <c r="Y90">
        <f t="shared" si="38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allocations'!$A$1:$L$317,3,FALSE)</f>
        <v>574714.15640927781</v>
      </c>
      <c r="E91" s="31">
        <f>VLOOKUP(B91,'Initial adjusted formula count'!$A$1:$P$317,12,FALSE)</f>
        <v>0.220407070166042</v>
      </c>
      <c r="F91">
        <f>VLOOKUP(B91,'Model allocations'!$A$1:$L$317,8,FALSE)</f>
        <v>715171.07427115738</v>
      </c>
      <c r="G91" s="30">
        <f t="shared" si="27"/>
        <v>0.9</v>
      </c>
      <c r="H91">
        <f t="shared" si="28"/>
        <v>517242.74076835002</v>
      </c>
      <c r="I91">
        <f t="shared" si="20"/>
        <v>0</v>
      </c>
      <c r="J91">
        <f t="shared" si="21"/>
        <v>715171.07427115738</v>
      </c>
      <c r="K91">
        <f t="shared" si="22"/>
        <v>714844.38695505296</v>
      </c>
      <c r="L91">
        <f t="shared" si="29"/>
        <v>714844.38695505296</v>
      </c>
      <c r="M91">
        <f t="shared" si="23"/>
        <v>0</v>
      </c>
      <c r="N91" s="29">
        <f t="shared" si="30"/>
        <v>714844.38695505296</v>
      </c>
      <c r="O91" s="29">
        <f t="shared" si="24"/>
        <v>714808.12973138865</v>
      </c>
      <c r="P91" s="29">
        <f t="shared" si="31"/>
        <v>714808.12973138865</v>
      </c>
      <c r="Q91">
        <f t="shared" si="32"/>
        <v>0</v>
      </c>
      <c r="R91" s="29">
        <f t="shared" si="33"/>
        <v>714808.12973138865</v>
      </c>
      <c r="S91" s="29">
        <f t="shared" si="25"/>
        <v>714808.12973138911</v>
      </c>
      <c r="T91" s="29">
        <f t="shared" si="34"/>
        <v>714808.12973138911</v>
      </c>
      <c r="U91">
        <f t="shared" si="35"/>
        <v>0</v>
      </c>
      <c r="V91" s="29">
        <f t="shared" si="36"/>
        <v>714808.12973138911</v>
      </c>
      <c r="W91" s="29">
        <f t="shared" si="26"/>
        <v>714808.12973138923</v>
      </c>
      <c r="X91" s="29">
        <f t="shared" si="37"/>
        <v>714808.12973138923</v>
      </c>
      <c r="Y91">
        <f t="shared" si="38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allocations'!$A$1:$L$317,3,FALSE)</f>
        <v>319190.04794587148</v>
      </c>
      <c r="E92" s="31">
        <f>VLOOKUP(B92,'Initial adjusted formula count'!$A$1:$P$317,12,FALSE)</f>
        <v>0.16005040957781999</v>
      </c>
      <c r="F92">
        <f>VLOOKUP(B92,'Model allocations'!$A$1:$L$317,8,FALSE)</f>
        <v>287271.04315128434</v>
      </c>
      <c r="G92" s="30">
        <f t="shared" si="27"/>
        <v>0.9</v>
      </c>
      <c r="H92">
        <f t="shared" si="28"/>
        <v>287271.04315128434</v>
      </c>
      <c r="I92">
        <f t="shared" si="20"/>
        <v>0</v>
      </c>
      <c r="J92">
        <f t="shared" si="21"/>
        <v>287271.04315128434</v>
      </c>
      <c r="K92">
        <f t="shared" si="22"/>
        <v>287139.81887578178</v>
      </c>
      <c r="L92">
        <f t="shared" si="29"/>
        <v>287139.81887578178</v>
      </c>
      <c r="M92">
        <f t="shared" si="23"/>
        <v>287271.04315128434</v>
      </c>
      <c r="N92" s="29">
        <f t="shared" si="30"/>
        <v>0</v>
      </c>
      <c r="O92" s="29">
        <f t="shared" si="24"/>
        <v>0</v>
      </c>
      <c r="P92" s="29">
        <f t="shared" si="31"/>
        <v>287271.04315128434</v>
      </c>
      <c r="Q92">
        <f t="shared" si="32"/>
        <v>0</v>
      </c>
      <c r="R92" s="29">
        <f t="shared" si="33"/>
        <v>0</v>
      </c>
      <c r="S92" s="29">
        <f t="shared" si="25"/>
        <v>0</v>
      </c>
      <c r="T92" s="29">
        <f t="shared" si="34"/>
        <v>287271.04315128434</v>
      </c>
      <c r="U92">
        <f t="shared" si="35"/>
        <v>0</v>
      </c>
      <c r="V92" s="29">
        <f t="shared" si="36"/>
        <v>0</v>
      </c>
      <c r="W92" s="29">
        <f t="shared" si="26"/>
        <v>0</v>
      </c>
      <c r="X92" s="29">
        <f t="shared" si="37"/>
        <v>287271.04315128434</v>
      </c>
      <c r="Y92">
        <f t="shared" si="38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allocations'!$A$1:$L$317,3,FALSE)</f>
        <v>186696.06577966068</v>
      </c>
      <c r="E93" s="31">
        <f>VLOOKUP(B93,'Initial adjusted formula count'!$A$1:$P$317,12,FALSE)</f>
        <v>6.4916637105356501E-2</v>
      </c>
      <c r="F93">
        <f>VLOOKUP(B93,'Model allocations'!$A$1:$L$317,8,FALSE)</f>
        <v>159023.45879905444</v>
      </c>
      <c r="G93" s="30">
        <f t="shared" si="27"/>
        <v>0.85</v>
      </c>
      <c r="H93">
        <f t="shared" si="28"/>
        <v>158691.65591271158</v>
      </c>
      <c r="I93">
        <f t="shared" si="20"/>
        <v>0</v>
      </c>
      <c r="J93">
        <f t="shared" si="21"/>
        <v>159023.45879905444</v>
      </c>
      <c r="K93">
        <f t="shared" si="22"/>
        <v>158950.81751248444</v>
      </c>
      <c r="L93">
        <f t="shared" si="29"/>
        <v>158950.81751248444</v>
      </c>
      <c r="M93">
        <f t="shared" si="23"/>
        <v>0</v>
      </c>
      <c r="N93" s="29">
        <f t="shared" si="30"/>
        <v>158950.81751248444</v>
      </c>
      <c r="O93" s="29">
        <f t="shared" si="24"/>
        <v>158942.75545667572</v>
      </c>
      <c r="P93" s="29">
        <f t="shared" si="31"/>
        <v>158942.75545667572</v>
      </c>
      <c r="Q93">
        <f t="shared" si="32"/>
        <v>0</v>
      </c>
      <c r="R93" s="29">
        <f t="shared" si="33"/>
        <v>158942.75545667572</v>
      </c>
      <c r="S93" s="29">
        <f t="shared" si="25"/>
        <v>158942.7554566758</v>
      </c>
      <c r="T93" s="29">
        <f t="shared" si="34"/>
        <v>158942.7554566758</v>
      </c>
      <c r="U93">
        <f t="shared" si="35"/>
        <v>0</v>
      </c>
      <c r="V93" s="29">
        <f t="shared" si="36"/>
        <v>158942.7554566758</v>
      </c>
      <c r="W93" s="29">
        <f t="shared" si="26"/>
        <v>158942.75545667583</v>
      </c>
      <c r="X93" s="29">
        <f t="shared" si="37"/>
        <v>158942.75545667583</v>
      </c>
      <c r="Y93">
        <f t="shared" si="38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allocations'!$A$1:$L$317,3,FALSE)</f>
        <v>32963.057348976843</v>
      </c>
      <c r="E94" s="31">
        <f>VLOOKUP(B94,'Initial adjusted formula count'!$A$1:$P$317,12,FALSE)</f>
        <v>0.10233918128654999</v>
      </c>
      <c r="F94">
        <f>VLOOKUP(B94,'Model allocations'!$A$1:$L$317,8,FALSE)</f>
        <v>30414.322721130629</v>
      </c>
      <c r="G94" s="30">
        <f t="shared" si="27"/>
        <v>0.85</v>
      </c>
      <c r="H94">
        <f t="shared" si="28"/>
        <v>28018.598746630316</v>
      </c>
      <c r="I94">
        <f t="shared" si="20"/>
        <v>0</v>
      </c>
      <c r="J94">
        <f t="shared" si="21"/>
        <v>30414.322721130629</v>
      </c>
      <c r="K94">
        <f t="shared" si="22"/>
        <v>30400.42957889046</v>
      </c>
      <c r="L94">
        <f t="shared" si="29"/>
        <v>30400.42957889046</v>
      </c>
      <c r="M94">
        <f t="shared" si="23"/>
        <v>0</v>
      </c>
      <c r="N94" s="29">
        <f t="shared" si="30"/>
        <v>30400.42957889046</v>
      </c>
      <c r="O94" s="29">
        <f t="shared" si="24"/>
        <v>30398.887655648356</v>
      </c>
      <c r="P94" s="29">
        <f t="shared" si="31"/>
        <v>30398.887655648356</v>
      </c>
      <c r="Q94">
        <f t="shared" si="32"/>
        <v>0</v>
      </c>
      <c r="R94" s="29">
        <f t="shared" si="33"/>
        <v>30398.887655648356</v>
      </c>
      <c r="S94" s="29">
        <f t="shared" si="25"/>
        <v>30398.88765564837</v>
      </c>
      <c r="T94" s="29">
        <f t="shared" si="34"/>
        <v>30398.88765564837</v>
      </c>
      <c r="U94">
        <f t="shared" si="35"/>
        <v>0</v>
      </c>
      <c r="V94" s="29">
        <f t="shared" si="36"/>
        <v>30398.88765564837</v>
      </c>
      <c r="W94" s="29">
        <f t="shared" si="26"/>
        <v>30398.88765564837</v>
      </c>
      <c r="X94" s="29">
        <f t="shared" si="37"/>
        <v>30398.88765564837</v>
      </c>
      <c r="Y94">
        <f t="shared" si="38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allocations'!$A$1:$L$317,3,FALSE)</f>
        <v>36995.072942513398</v>
      </c>
      <c r="E95" s="31">
        <f>VLOOKUP(B95,'Initial adjusted formula count'!$A$1:$P$317,12,FALSE)</f>
        <v>0.19148936170212799</v>
      </c>
      <c r="F95">
        <f>VLOOKUP(B95,'Model allocations'!$A$1:$L$317,8,FALSE)</f>
        <v>33295.565648262062</v>
      </c>
      <c r="G95" s="30">
        <f t="shared" si="27"/>
        <v>0.9</v>
      </c>
      <c r="H95">
        <f t="shared" si="28"/>
        <v>33295.565648262062</v>
      </c>
      <c r="I95">
        <f t="shared" si="20"/>
        <v>0</v>
      </c>
      <c r="J95">
        <f t="shared" si="21"/>
        <v>33295.565648262062</v>
      </c>
      <c r="K95">
        <f t="shared" si="22"/>
        <v>33280.35636565664</v>
      </c>
      <c r="L95">
        <f t="shared" si="29"/>
        <v>33280.35636565664</v>
      </c>
      <c r="M95">
        <f t="shared" si="23"/>
        <v>33295.565648262062</v>
      </c>
      <c r="N95" s="29">
        <f t="shared" si="30"/>
        <v>0</v>
      </c>
      <c r="O95" s="29">
        <f t="shared" si="24"/>
        <v>0</v>
      </c>
      <c r="P95" s="29">
        <f t="shared" si="31"/>
        <v>33295.565648262062</v>
      </c>
      <c r="Q95">
        <f t="shared" si="32"/>
        <v>0</v>
      </c>
      <c r="R95" s="29">
        <f t="shared" si="33"/>
        <v>0</v>
      </c>
      <c r="S95" s="29">
        <f t="shared" si="25"/>
        <v>0</v>
      </c>
      <c r="T95" s="29">
        <f t="shared" si="34"/>
        <v>33295.565648262062</v>
      </c>
      <c r="U95">
        <f t="shared" si="35"/>
        <v>0</v>
      </c>
      <c r="V95" s="29">
        <f t="shared" si="36"/>
        <v>0</v>
      </c>
      <c r="W95" s="29">
        <f t="shared" si="26"/>
        <v>0</v>
      </c>
      <c r="X95" s="29">
        <f t="shared" si="37"/>
        <v>33295.565648262062</v>
      </c>
      <c r="Y95">
        <f t="shared" si="38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allocations'!$A$1:$L$317,3,FALSE)</f>
        <v>13765.608536749176</v>
      </c>
      <c r="E96" s="31">
        <f>VLOOKUP(B96,'Initial adjusted formula count'!$A$1:$P$317,12,FALSE)</f>
        <v>5.8252427184466E-2</v>
      </c>
      <c r="F96">
        <f>VLOOKUP(B96,'Model allocations'!$A$1:$L$317,8,FALSE)</f>
        <v>11700.767256236799</v>
      </c>
      <c r="G96" s="30">
        <f t="shared" si="27"/>
        <v>0.85</v>
      </c>
      <c r="H96">
        <f t="shared" si="28"/>
        <v>11700.767256236799</v>
      </c>
      <c r="I96">
        <f t="shared" si="20"/>
        <v>0</v>
      </c>
      <c r="J96">
        <f t="shared" si="21"/>
        <v>11700.767256236799</v>
      </c>
      <c r="K96">
        <f t="shared" si="22"/>
        <v>11695.422392065384</v>
      </c>
      <c r="L96">
        <f t="shared" si="29"/>
        <v>11695.422392065384</v>
      </c>
      <c r="M96">
        <f t="shared" si="23"/>
        <v>11700.767256236799</v>
      </c>
      <c r="N96" s="29">
        <f t="shared" si="30"/>
        <v>0</v>
      </c>
      <c r="O96" s="29">
        <f t="shared" si="24"/>
        <v>0</v>
      </c>
      <c r="P96" s="29">
        <f t="shared" si="31"/>
        <v>11700.767256236799</v>
      </c>
      <c r="Q96">
        <f t="shared" si="32"/>
        <v>0</v>
      </c>
      <c r="R96" s="29">
        <f t="shared" si="33"/>
        <v>0</v>
      </c>
      <c r="S96" s="29">
        <f t="shared" si="25"/>
        <v>0</v>
      </c>
      <c r="T96" s="29">
        <f t="shared" si="34"/>
        <v>11700.767256236799</v>
      </c>
      <c r="U96">
        <f t="shared" si="35"/>
        <v>0</v>
      </c>
      <c r="V96" s="29">
        <f t="shared" si="36"/>
        <v>0</v>
      </c>
      <c r="W96" s="29">
        <f t="shared" si="26"/>
        <v>0</v>
      </c>
      <c r="X96" s="29">
        <f t="shared" si="37"/>
        <v>11700.767256236799</v>
      </c>
      <c r="Y96">
        <f t="shared" si="38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allocations'!$A$1:$L$317,3,FALSE)</f>
        <v>48757.855662028225</v>
      </c>
      <c r="E97" s="31">
        <f>VLOOKUP(B97,'Initial adjusted formula count'!$A$1:$P$317,12,FALSE)</f>
        <v>5.2338530066815103E-2</v>
      </c>
      <c r="F97">
        <f>VLOOKUP(B97,'Model allocations'!$A$1:$L$317,8,FALSE)</f>
        <v>41444.177312723994</v>
      </c>
      <c r="G97" s="30">
        <f t="shared" si="27"/>
        <v>0.85</v>
      </c>
      <c r="H97">
        <f t="shared" si="28"/>
        <v>41444.177312723994</v>
      </c>
      <c r="I97">
        <f t="shared" si="20"/>
        <v>0</v>
      </c>
      <c r="J97">
        <f t="shared" si="21"/>
        <v>41444.177312723994</v>
      </c>
      <c r="K97">
        <f t="shared" si="22"/>
        <v>41425.245776562173</v>
      </c>
      <c r="L97">
        <f t="shared" si="29"/>
        <v>41425.245776562173</v>
      </c>
      <c r="M97">
        <f t="shared" si="23"/>
        <v>41444.177312723994</v>
      </c>
      <c r="N97" s="29">
        <f t="shared" si="30"/>
        <v>0</v>
      </c>
      <c r="O97" s="29">
        <f t="shared" si="24"/>
        <v>0</v>
      </c>
      <c r="P97" s="29">
        <f t="shared" si="31"/>
        <v>41444.177312723994</v>
      </c>
      <c r="Q97">
        <f t="shared" si="32"/>
        <v>0</v>
      </c>
      <c r="R97" s="29">
        <f t="shared" si="33"/>
        <v>0</v>
      </c>
      <c r="S97" s="29">
        <f t="shared" si="25"/>
        <v>0</v>
      </c>
      <c r="T97" s="29">
        <f t="shared" si="34"/>
        <v>41444.177312723994</v>
      </c>
      <c r="U97">
        <f t="shared" si="35"/>
        <v>0</v>
      </c>
      <c r="V97" s="29">
        <f t="shared" si="36"/>
        <v>0</v>
      </c>
      <c r="W97" s="29">
        <f t="shared" si="26"/>
        <v>0</v>
      </c>
      <c r="X97" s="29">
        <f t="shared" si="37"/>
        <v>41444.177312723994</v>
      </c>
      <c r="Y97">
        <f t="shared" si="38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allocations'!$A$1:$L$317,3,FALSE)</f>
        <v>20888.346748971675</v>
      </c>
      <c r="E98" s="31">
        <f>VLOOKUP(B98,'Initial adjusted formula count'!$A$1:$P$317,12,FALSE)</f>
        <v>0.17241379310344801</v>
      </c>
      <c r="F98">
        <f>VLOOKUP(B98,'Model allocations'!$A$1:$L$317,8,FALSE)</f>
        <v>21724.51622937902</v>
      </c>
      <c r="G98" s="30">
        <f t="shared" si="27"/>
        <v>0.9</v>
      </c>
      <c r="H98">
        <f t="shared" si="28"/>
        <v>18799.512074074508</v>
      </c>
      <c r="I98">
        <f t="shared" si="20"/>
        <v>0</v>
      </c>
      <c r="J98">
        <f t="shared" si="21"/>
        <v>21724.51622937902</v>
      </c>
      <c r="K98">
        <f t="shared" si="22"/>
        <v>21714.59255635033</v>
      </c>
      <c r="L98">
        <f t="shared" si="29"/>
        <v>21714.59255635033</v>
      </c>
      <c r="M98">
        <f t="shared" si="23"/>
        <v>0</v>
      </c>
      <c r="N98" s="29">
        <f t="shared" si="30"/>
        <v>21714.59255635033</v>
      </c>
      <c r="O98" s="29">
        <f t="shared" si="24"/>
        <v>21713.491182605969</v>
      </c>
      <c r="P98" s="29">
        <f t="shared" si="31"/>
        <v>21713.491182605969</v>
      </c>
      <c r="Q98">
        <f t="shared" si="32"/>
        <v>0</v>
      </c>
      <c r="R98" s="29">
        <f t="shared" si="33"/>
        <v>21713.491182605969</v>
      </c>
      <c r="S98" s="29">
        <f t="shared" si="25"/>
        <v>21713.491182605983</v>
      </c>
      <c r="T98" s="29">
        <f t="shared" si="34"/>
        <v>21713.491182605983</v>
      </c>
      <c r="U98">
        <f t="shared" si="35"/>
        <v>0</v>
      </c>
      <c r="V98" s="29">
        <f t="shared" si="36"/>
        <v>21713.491182605983</v>
      </c>
      <c r="W98" s="29">
        <f t="shared" si="26"/>
        <v>21713.491182605987</v>
      </c>
      <c r="X98" s="29">
        <f t="shared" si="37"/>
        <v>21713.491182605987</v>
      </c>
      <c r="Y98">
        <f t="shared" si="38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allocations'!$A$1:$L$317,3,FALSE)</f>
        <v>202182.37538350347</v>
      </c>
      <c r="E99" s="31">
        <f>VLOOKUP(B99,'Initial adjusted formula count'!$A$1:$P$317,12,FALSE)</f>
        <v>0.11242138364779899</v>
      </c>
      <c r="F99">
        <f>VLOOKUP(B99,'Model allocations'!$A$1:$L$317,8,FALSE)</f>
        <v>171855.01907597794</v>
      </c>
      <c r="G99" s="30">
        <f t="shared" si="27"/>
        <v>0.85</v>
      </c>
      <c r="H99">
        <f t="shared" si="28"/>
        <v>171855.01907597794</v>
      </c>
      <c r="I99">
        <f t="shared" si="20"/>
        <v>0</v>
      </c>
      <c r="J99">
        <f t="shared" si="21"/>
        <v>171855.01907597794</v>
      </c>
      <c r="K99">
        <f t="shared" si="22"/>
        <v>171776.51638346029</v>
      </c>
      <c r="L99">
        <f t="shared" si="29"/>
        <v>171776.51638346029</v>
      </c>
      <c r="M99">
        <f t="shared" si="23"/>
        <v>171855.01907597794</v>
      </c>
      <c r="N99" s="29">
        <f t="shared" si="30"/>
        <v>0</v>
      </c>
      <c r="O99" s="29">
        <f t="shared" si="24"/>
        <v>0</v>
      </c>
      <c r="P99" s="29">
        <f t="shared" si="31"/>
        <v>171855.01907597794</v>
      </c>
      <c r="Q99">
        <f t="shared" si="32"/>
        <v>0</v>
      </c>
      <c r="R99" s="29">
        <f t="shared" si="33"/>
        <v>0</v>
      </c>
      <c r="S99" s="29">
        <f t="shared" si="25"/>
        <v>0</v>
      </c>
      <c r="T99" s="29">
        <f t="shared" si="34"/>
        <v>171855.01907597794</v>
      </c>
      <c r="U99">
        <f t="shared" si="35"/>
        <v>0</v>
      </c>
      <c r="V99" s="29">
        <f t="shared" si="36"/>
        <v>0</v>
      </c>
      <c r="W99" s="29">
        <f t="shared" si="26"/>
        <v>0</v>
      </c>
      <c r="X99" s="29">
        <f t="shared" si="37"/>
        <v>171855.01907597794</v>
      </c>
      <c r="Y99">
        <f t="shared" si="38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allocations'!$A$1:$L$317,3,FALSE)</f>
        <v>2596937.9161652727</v>
      </c>
      <c r="E100" s="31">
        <f>VLOOKUP(B100,'Initial adjusted formula count'!$A$1:$P$317,12,FALSE)</f>
        <v>0.16867413714330101</v>
      </c>
      <c r="F100">
        <f>VLOOKUP(B100,'Model allocations'!$A$1:$L$317,8,FALSE)</f>
        <v>2879981.3697507121</v>
      </c>
      <c r="G100" s="30">
        <f t="shared" si="27"/>
        <v>0.9</v>
      </c>
      <c r="H100">
        <f t="shared" si="28"/>
        <v>2337244.1245487453</v>
      </c>
      <c r="I100">
        <f t="shared" si="20"/>
        <v>0</v>
      </c>
      <c r="J100">
        <f t="shared" si="21"/>
        <v>2879981.3697507121</v>
      </c>
      <c r="K100">
        <f t="shared" si="22"/>
        <v>2878665.8056598776</v>
      </c>
      <c r="L100">
        <f t="shared" si="29"/>
        <v>2878665.8056598776</v>
      </c>
      <c r="M100">
        <f t="shared" si="23"/>
        <v>0</v>
      </c>
      <c r="N100" s="29">
        <f t="shared" si="30"/>
        <v>2878665.8056598776</v>
      </c>
      <c r="O100" s="29">
        <f t="shared" si="24"/>
        <v>2878519.7984562465</v>
      </c>
      <c r="P100" s="29">
        <f t="shared" si="31"/>
        <v>2878519.7984562465</v>
      </c>
      <c r="Q100">
        <f t="shared" si="32"/>
        <v>0</v>
      </c>
      <c r="R100" s="29">
        <f t="shared" si="33"/>
        <v>2878519.7984562465</v>
      </c>
      <c r="S100" s="29">
        <f t="shared" si="25"/>
        <v>2878519.7984562484</v>
      </c>
      <c r="T100" s="29">
        <f t="shared" si="34"/>
        <v>2878519.7984562484</v>
      </c>
      <c r="U100">
        <f t="shared" si="35"/>
        <v>0</v>
      </c>
      <c r="V100" s="29">
        <f t="shared" si="36"/>
        <v>2878519.7984562484</v>
      </c>
      <c r="W100" s="29">
        <f t="shared" si="26"/>
        <v>2878519.7984562488</v>
      </c>
      <c r="X100" s="29">
        <f t="shared" si="37"/>
        <v>2878519.7984562488</v>
      </c>
      <c r="Y100">
        <f t="shared" si="38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allocations'!$A$1:$L$317,3,FALSE)</f>
        <v>101636.0934926786</v>
      </c>
      <c r="E101" s="31">
        <f>VLOOKUP(B101,'Initial adjusted formula count'!$A$1:$P$317,12,FALSE)</f>
        <v>5.0320219579139999E-2</v>
      </c>
      <c r="F101">
        <f>VLOOKUP(B101,'Model allocations'!$A$1:$L$317,8,FALSE)</f>
        <v>95587.871409267682</v>
      </c>
      <c r="G101" s="30">
        <f t="shared" si="27"/>
        <v>0.85</v>
      </c>
      <c r="H101">
        <f t="shared" si="28"/>
        <v>86390.679468776812</v>
      </c>
      <c r="I101">
        <f t="shared" si="20"/>
        <v>0</v>
      </c>
      <c r="J101">
        <f t="shared" si="21"/>
        <v>95587.871409267682</v>
      </c>
      <c r="K101">
        <f t="shared" si="22"/>
        <v>95544.207247941449</v>
      </c>
      <c r="L101">
        <f t="shared" si="29"/>
        <v>95544.207247941449</v>
      </c>
      <c r="M101">
        <f t="shared" si="23"/>
        <v>0</v>
      </c>
      <c r="N101" s="29">
        <f t="shared" si="30"/>
        <v>95544.207247941449</v>
      </c>
      <c r="O101" s="29">
        <f t="shared" si="24"/>
        <v>95539.361203466251</v>
      </c>
      <c r="P101" s="29">
        <f t="shared" si="31"/>
        <v>95539.361203466251</v>
      </c>
      <c r="Q101">
        <f t="shared" si="32"/>
        <v>0</v>
      </c>
      <c r="R101" s="29">
        <f t="shared" si="33"/>
        <v>95539.361203466251</v>
      </c>
      <c r="S101" s="29">
        <f t="shared" si="25"/>
        <v>95539.361203466309</v>
      </c>
      <c r="T101" s="29">
        <f t="shared" si="34"/>
        <v>95539.361203466309</v>
      </c>
      <c r="U101">
        <f t="shared" si="35"/>
        <v>0</v>
      </c>
      <c r="V101" s="29">
        <f t="shared" si="36"/>
        <v>95539.361203466309</v>
      </c>
      <c r="W101" s="29">
        <f t="shared" si="26"/>
        <v>95539.361203466324</v>
      </c>
      <c r="X101" s="29">
        <f t="shared" si="37"/>
        <v>95539.361203466324</v>
      </c>
      <c r="Y101">
        <f t="shared" si="38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allocations'!$A$1:$L$317,3,FALSE)</f>
        <v>101797.67710713435</v>
      </c>
      <c r="E102" s="31">
        <f>VLOOKUP(B102,'Initial adjusted formula count'!$A$1:$P$317,12,FALSE)</f>
        <v>0.19602272727272699</v>
      </c>
      <c r="F102">
        <f>VLOOKUP(B102,'Model allocations'!$A$1:$L$317,8,FALSE)</f>
        <v>119919.32958617219</v>
      </c>
      <c r="G102" s="30">
        <f t="shared" si="27"/>
        <v>0.9</v>
      </c>
      <c r="H102">
        <f t="shared" si="28"/>
        <v>91617.909396420917</v>
      </c>
      <c r="I102">
        <f t="shared" si="20"/>
        <v>0</v>
      </c>
      <c r="J102">
        <f t="shared" si="21"/>
        <v>119919.32958617219</v>
      </c>
      <c r="K102">
        <f t="shared" si="22"/>
        <v>119864.55091105383</v>
      </c>
      <c r="L102">
        <f t="shared" si="29"/>
        <v>119864.55091105383</v>
      </c>
      <c r="M102">
        <f t="shared" si="23"/>
        <v>0</v>
      </c>
      <c r="N102" s="29">
        <f t="shared" si="30"/>
        <v>119864.55091105383</v>
      </c>
      <c r="O102" s="29">
        <f t="shared" si="24"/>
        <v>119858.47132798497</v>
      </c>
      <c r="P102" s="29">
        <f t="shared" si="31"/>
        <v>119858.47132798497</v>
      </c>
      <c r="Q102">
        <f t="shared" si="32"/>
        <v>0</v>
      </c>
      <c r="R102" s="29">
        <f t="shared" si="33"/>
        <v>119858.47132798497</v>
      </c>
      <c r="S102" s="29">
        <f t="shared" si="25"/>
        <v>119858.47132798503</v>
      </c>
      <c r="T102" s="29">
        <f t="shared" si="34"/>
        <v>119858.47132798503</v>
      </c>
      <c r="U102">
        <f t="shared" si="35"/>
        <v>0</v>
      </c>
      <c r="V102" s="29">
        <f t="shared" si="36"/>
        <v>119858.47132798503</v>
      </c>
      <c r="W102" s="29">
        <f t="shared" si="26"/>
        <v>119858.47132798505</v>
      </c>
      <c r="X102" s="29">
        <f t="shared" si="37"/>
        <v>119858.47132798505</v>
      </c>
      <c r="Y102">
        <f t="shared" si="38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allocations'!$A$1:$L$317,3,FALSE)</f>
        <v>430175.2667734116</v>
      </c>
      <c r="E103" s="31">
        <f>VLOOKUP(B103,'Initial adjusted formula count'!$A$1:$P$317,12,FALSE)</f>
        <v>0.215815485996705</v>
      </c>
      <c r="F103">
        <f>VLOOKUP(B103,'Model allocations'!$A$1:$L$317,8,FALSE)</f>
        <v>387157.74009607045</v>
      </c>
      <c r="G103" s="30">
        <f t="shared" si="27"/>
        <v>0.9</v>
      </c>
      <c r="H103">
        <f t="shared" si="28"/>
        <v>387157.74009607045</v>
      </c>
      <c r="I103">
        <f t="shared" si="20"/>
        <v>0</v>
      </c>
      <c r="J103">
        <f t="shared" si="21"/>
        <v>387157.74009607045</v>
      </c>
      <c r="K103">
        <f t="shared" si="22"/>
        <v>386980.88797275163</v>
      </c>
      <c r="L103">
        <f t="shared" si="29"/>
        <v>386980.88797275163</v>
      </c>
      <c r="M103">
        <f t="shared" si="23"/>
        <v>387157.74009607045</v>
      </c>
      <c r="N103" s="29">
        <f t="shared" si="30"/>
        <v>0</v>
      </c>
      <c r="O103" s="29">
        <f t="shared" si="24"/>
        <v>0</v>
      </c>
      <c r="P103" s="29">
        <f t="shared" si="31"/>
        <v>387157.74009607045</v>
      </c>
      <c r="Q103">
        <f t="shared" si="32"/>
        <v>0</v>
      </c>
      <c r="R103" s="29">
        <f t="shared" si="33"/>
        <v>0</v>
      </c>
      <c r="S103" s="29">
        <f t="shared" si="25"/>
        <v>0</v>
      </c>
      <c r="T103" s="29">
        <f t="shared" si="34"/>
        <v>387157.74009607045</v>
      </c>
      <c r="U103">
        <f t="shared" si="35"/>
        <v>0</v>
      </c>
      <c r="V103" s="29">
        <f t="shared" si="36"/>
        <v>0</v>
      </c>
      <c r="W103" s="29">
        <f t="shared" si="26"/>
        <v>0</v>
      </c>
      <c r="X103" s="29">
        <f t="shared" si="37"/>
        <v>387157.74009607045</v>
      </c>
      <c r="Y103">
        <f t="shared" si="38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allocations'!$A$1:$L$317,3,FALSE)</f>
        <v>40042.388156361791</v>
      </c>
      <c r="E104" s="31">
        <f>VLOOKUP(B104,'Initial adjusted formula count'!$A$1:$P$317,12,FALSE)</f>
        <v>0.14673417211557899</v>
      </c>
      <c r="F104">
        <f>VLOOKUP(B104,'Model allocations'!$A$1:$L$317,8,FALSE)</f>
        <v>38980.94627689648</v>
      </c>
      <c r="G104" s="30">
        <f t="shared" si="27"/>
        <v>0.85</v>
      </c>
      <c r="H104">
        <f t="shared" si="28"/>
        <v>34036.029932907521</v>
      </c>
      <c r="I104">
        <f t="shared" si="20"/>
        <v>0</v>
      </c>
      <c r="J104">
        <f t="shared" si="21"/>
        <v>38980.94627689648</v>
      </c>
      <c r="K104">
        <f t="shared" si="22"/>
        <v>38963.139934922438</v>
      </c>
      <c r="L104">
        <f t="shared" si="29"/>
        <v>38963.139934922438</v>
      </c>
      <c r="M104">
        <f t="shared" si="23"/>
        <v>0</v>
      </c>
      <c r="N104" s="29">
        <f t="shared" si="30"/>
        <v>38963.139934922438</v>
      </c>
      <c r="O104" s="29">
        <f t="shared" si="24"/>
        <v>38961.163707221604</v>
      </c>
      <c r="P104" s="29">
        <f t="shared" si="31"/>
        <v>38961.163707221604</v>
      </c>
      <c r="Q104">
        <f t="shared" si="32"/>
        <v>0</v>
      </c>
      <c r="R104" s="29">
        <f t="shared" si="33"/>
        <v>38961.163707221604</v>
      </c>
      <c r="S104" s="29">
        <f t="shared" si="25"/>
        <v>38961.163707221625</v>
      </c>
      <c r="T104" s="29">
        <f t="shared" si="34"/>
        <v>38961.163707221625</v>
      </c>
      <c r="U104">
        <f t="shared" si="35"/>
        <v>0</v>
      </c>
      <c r="V104" s="29">
        <f t="shared" si="36"/>
        <v>38961.163707221625</v>
      </c>
      <c r="W104" s="29">
        <f t="shared" si="26"/>
        <v>38961.163707221625</v>
      </c>
      <c r="X104" s="29">
        <f t="shared" si="37"/>
        <v>38961.163707221625</v>
      </c>
      <c r="Y104">
        <f t="shared" si="38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allocations'!$A$1:$L$317,3,FALSE)</f>
        <v>64396.362361819156</v>
      </c>
      <c r="E105" s="31">
        <f>VLOOKUP(B105,'Initial adjusted formula count'!$A$1:$P$317,12,FALSE)</f>
        <v>0.20059580587053799</v>
      </c>
      <c r="F105">
        <f>VLOOKUP(B105,'Model allocations'!$A$1:$L$317,8,FALSE)</f>
        <v>71140.374322590331</v>
      </c>
      <c r="G105" s="30">
        <f t="shared" si="27"/>
        <v>0.9</v>
      </c>
      <c r="H105">
        <f t="shared" si="28"/>
        <v>57956.726125637244</v>
      </c>
      <c r="I105">
        <f t="shared" si="20"/>
        <v>0</v>
      </c>
      <c r="J105">
        <f t="shared" si="21"/>
        <v>71140.374322590331</v>
      </c>
      <c r="K105">
        <f t="shared" si="22"/>
        <v>71107.877681170939</v>
      </c>
      <c r="L105">
        <f t="shared" si="29"/>
        <v>71107.877681170939</v>
      </c>
      <c r="M105">
        <f t="shared" si="23"/>
        <v>0</v>
      </c>
      <c r="N105" s="29">
        <f t="shared" si="30"/>
        <v>71107.877681170939</v>
      </c>
      <c r="O105" s="29">
        <f t="shared" si="24"/>
        <v>71104.271058145794</v>
      </c>
      <c r="P105" s="29">
        <f t="shared" si="31"/>
        <v>71104.271058145794</v>
      </c>
      <c r="Q105">
        <f t="shared" si="32"/>
        <v>0</v>
      </c>
      <c r="R105" s="29">
        <f t="shared" si="33"/>
        <v>71104.271058145794</v>
      </c>
      <c r="S105" s="29">
        <f t="shared" si="25"/>
        <v>71104.271058145838</v>
      </c>
      <c r="T105" s="29">
        <f t="shared" si="34"/>
        <v>71104.271058145838</v>
      </c>
      <c r="U105">
        <f t="shared" si="35"/>
        <v>0</v>
      </c>
      <c r="V105" s="29">
        <f t="shared" si="36"/>
        <v>71104.271058145838</v>
      </c>
      <c r="W105" s="29">
        <f t="shared" si="26"/>
        <v>71104.271058145852</v>
      </c>
      <c r="X105" s="29">
        <f t="shared" si="37"/>
        <v>71104.271058145852</v>
      </c>
      <c r="Y105">
        <f t="shared" si="38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allocations'!$A$1:$L$317,3,FALSE)</f>
        <v>48493.602144418648</v>
      </c>
      <c r="E106" s="31">
        <f>VLOOKUP(B106,'Initial adjusted formula count'!$A$1:$P$317,12,FALSE)</f>
        <v>0.18899764894447399</v>
      </c>
      <c r="F106">
        <f>VLOOKUP(B106,'Model allocations'!$A$1:$L$317,8,FALSE)</f>
        <v>52352.560332351291</v>
      </c>
      <c r="G106" s="30">
        <f t="shared" si="27"/>
        <v>0.9</v>
      </c>
      <c r="H106">
        <f t="shared" si="28"/>
        <v>43644.241929976786</v>
      </c>
      <c r="I106">
        <f t="shared" si="20"/>
        <v>0</v>
      </c>
      <c r="J106">
        <f t="shared" si="21"/>
        <v>52352.560332351291</v>
      </c>
      <c r="K106">
        <f t="shared" si="22"/>
        <v>52328.645890001113</v>
      </c>
      <c r="L106">
        <f t="shared" si="29"/>
        <v>52328.645890001113</v>
      </c>
      <c r="M106">
        <f t="shared" si="23"/>
        <v>0</v>
      </c>
      <c r="N106" s="29">
        <f t="shared" si="30"/>
        <v>52328.645890001113</v>
      </c>
      <c r="O106" s="29">
        <f t="shared" si="24"/>
        <v>52325.991757923264</v>
      </c>
      <c r="P106" s="29">
        <f t="shared" si="31"/>
        <v>52325.991757923264</v>
      </c>
      <c r="Q106">
        <f t="shared" si="32"/>
        <v>0</v>
      </c>
      <c r="R106" s="29">
        <f t="shared" si="33"/>
        <v>52325.991757923264</v>
      </c>
      <c r="S106" s="29">
        <f t="shared" si="25"/>
        <v>52325.991757923301</v>
      </c>
      <c r="T106" s="29">
        <f t="shared" si="34"/>
        <v>52325.991757923301</v>
      </c>
      <c r="U106">
        <f t="shared" si="35"/>
        <v>0</v>
      </c>
      <c r="V106" s="29">
        <f t="shared" si="36"/>
        <v>52325.991757923301</v>
      </c>
      <c r="W106" s="29">
        <f t="shared" si="26"/>
        <v>52325.991757923308</v>
      </c>
      <c r="X106" s="29">
        <f t="shared" si="37"/>
        <v>52325.991757923308</v>
      </c>
      <c r="Y106">
        <f t="shared" si="38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allocations'!$A$1:$L$317,3,FALSE)</f>
        <v>38715.774009607056</v>
      </c>
      <c r="E107" s="31">
        <f>VLOOKUP(B107,'Initial adjusted formula count'!$A$1:$P$317,12,FALSE)</f>
        <v>0.29797979797979801</v>
      </c>
      <c r="F107">
        <f>VLOOKUP(B107,'Model allocations'!$A$1:$L$317,8,FALSE)</f>
        <v>51269.858301334483</v>
      </c>
      <c r="G107" s="30">
        <f t="shared" si="27"/>
        <v>0.9</v>
      </c>
      <c r="H107">
        <f t="shared" si="28"/>
        <v>34844.196608646351</v>
      </c>
      <c r="I107">
        <f t="shared" si="20"/>
        <v>0</v>
      </c>
      <c r="J107">
        <f t="shared" si="21"/>
        <v>51269.858301334483</v>
      </c>
      <c r="K107">
        <f t="shared" si="22"/>
        <v>51246.438432986775</v>
      </c>
      <c r="L107">
        <f t="shared" si="29"/>
        <v>51246.438432986775</v>
      </c>
      <c r="M107">
        <f t="shared" si="23"/>
        <v>0</v>
      </c>
      <c r="N107" s="29">
        <f t="shared" si="30"/>
        <v>51246.438432986775</v>
      </c>
      <c r="O107" s="29">
        <f t="shared" si="24"/>
        <v>51243.839190950079</v>
      </c>
      <c r="P107" s="29">
        <f t="shared" si="31"/>
        <v>51243.839190950079</v>
      </c>
      <c r="Q107">
        <f t="shared" si="32"/>
        <v>0</v>
      </c>
      <c r="R107" s="29">
        <f t="shared" si="33"/>
        <v>51243.839190950079</v>
      </c>
      <c r="S107" s="29">
        <f t="shared" si="25"/>
        <v>51243.839190950108</v>
      </c>
      <c r="T107" s="29">
        <f t="shared" si="34"/>
        <v>51243.839190950108</v>
      </c>
      <c r="U107">
        <f t="shared" si="35"/>
        <v>0</v>
      </c>
      <c r="V107" s="29">
        <f t="shared" si="36"/>
        <v>51243.839190950108</v>
      </c>
      <c r="W107" s="29">
        <f t="shared" si="26"/>
        <v>51243.839190950115</v>
      </c>
      <c r="X107" s="29">
        <f t="shared" si="37"/>
        <v>51243.839190950115</v>
      </c>
      <c r="Y107">
        <f t="shared" si="38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allocations'!$A$1:$L$317,3,FALSE)</f>
        <v>0</v>
      </c>
      <c r="E108" s="31">
        <f>VLOOKUP(B108,'Initial adjusted formula count'!$A$1:$P$317,12,FALSE)</f>
        <v>9.2592592592592601E-2</v>
      </c>
      <c r="F108">
        <f>VLOOKUP(B108,'Model allocations'!$A$1:$L$317,8,FALSE)</f>
        <v>0</v>
      </c>
      <c r="G108" s="30">
        <f t="shared" si="27"/>
        <v>0.85</v>
      </c>
      <c r="H108">
        <f t="shared" si="28"/>
        <v>0</v>
      </c>
      <c r="I108">
        <f t="shared" si="20"/>
        <v>0</v>
      </c>
      <c r="J108">
        <f t="shared" si="21"/>
        <v>0</v>
      </c>
      <c r="K108">
        <f t="shared" si="22"/>
        <v>0</v>
      </c>
      <c r="L108">
        <f t="shared" si="29"/>
        <v>0</v>
      </c>
      <c r="M108">
        <f t="shared" si="23"/>
        <v>0</v>
      </c>
      <c r="N108" s="29">
        <f t="shared" si="30"/>
        <v>0</v>
      </c>
      <c r="O108" s="29">
        <f t="shared" si="24"/>
        <v>0</v>
      </c>
      <c r="P108" s="29">
        <f t="shared" si="31"/>
        <v>0</v>
      </c>
      <c r="Q108">
        <f t="shared" si="32"/>
        <v>0</v>
      </c>
      <c r="R108" s="29">
        <f t="shared" si="33"/>
        <v>0</v>
      </c>
      <c r="S108" s="29">
        <f t="shared" si="25"/>
        <v>0</v>
      </c>
      <c r="T108" s="29">
        <f t="shared" si="34"/>
        <v>0</v>
      </c>
      <c r="U108">
        <f t="shared" si="35"/>
        <v>0</v>
      </c>
      <c r="V108" s="29">
        <f t="shared" si="36"/>
        <v>0</v>
      </c>
      <c r="W108" s="29">
        <f t="shared" si="26"/>
        <v>0</v>
      </c>
      <c r="X108" s="29">
        <f t="shared" si="37"/>
        <v>0</v>
      </c>
      <c r="Y108">
        <f t="shared" si="38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allocations'!$A$1:$L$317,3,FALSE)</f>
        <v>736460.05671608075</v>
      </c>
      <c r="E109" s="31">
        <f>VLOOKUP(B109,'Initial adjusted formula count'!$A$1:$P$317,12,FALSE)</f>
        <v>4.09308032779701E-2</v>
      </c>
      <c r="F109">
        <f>VLOOKUP(B109,'Model allocations'!$A$1:$L$317,8,FALSE)</f>
        <v>811627.92632960051</v>
      </c>
      <c r="G109" s="30">
        <f t="shared" si="27"/>
        <v>0.85</v>
      </c>
      <c r="H109">
        <f t="shared" si="28"/>
        <v>625991.0482086686</v>
      </c>
      <c r="I109">
        <f t="shared" si="20"/>
        <v>0</v>
      </c>
      <c r="J109">
        <f t="shared" si="21"/>
        <v>811627.92632960051</v>
      </c>
      <c r="K109">
        <f t="shared" si="22"/>
        <v>811257.17790524871</v>
      </c>
      <c r="L109">
        <f t="shared" si="29"/>
        <v>811257.17790524871</v>
      </c>
      <c r="M109">
        <f t="shared" si="23"/>
        <v>0</v>
      </c>
      <c r="N109" s="29">
        <f t="shared" si="30"/>
        <v>811257.17790524871</v>
      </c>
      <c r="O109" s="29">
        <f t="shared" si="24"/>
        <v>811216.03058215941</v>
      </c>
      <c r="P109" s="29">
        <f t="shared" si="31"/>
        <v>811216.03058215941</v>
      </c>
      <c r="Q109">
        <f t="shared" si="32"/>
        <v>0</v>
      </c>
      <c r="R109" s="29">
        <f t="shared" si="33"/>
        <v>811216.03058215941</v>
      </c>
      <c r="S109" s="29">
        <f t="shared" si="25"/>
        <v>811216.03058215987</v>
      </c>
      <c r="T109" s="29">
        <f t="shared" si="34"/>
        <v>811216.03058215987</v>
      </c>
      <c r="U109">
        <f t="shared" si="35"/>
        <v>0</v>
      </c>
      <c r="V109" s="29">
        <f t="shared" si="36"/>
        <v>811216.03058215987</v>
      </c>
      <c r="W109" s="29">
        <f t="shared" si="26"/>
        <v>811216.03058215999</v>
      </c>
      <c r="X109" s="29">
        <f t="shared" si="37"/>
        <v>811216.03058215999</v>
      </c>
      <c r="Y109">
        <f t="shared" si="38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allocations'!$A$1:$L$317,3,FALSE)</f>
        <v>18927.711738030121</v>
      </c>
      <c r="E110" s="31">
        <f>VLOOKUP(B110,'Initial adjusted formula count'!$A$1:$P$317,12,FALSE)</f>
        <v>8.3333333333333301E-2</v>
      </c>
      <c r="F110">
        <f>VLOOKUP(B110,'Model allocations'!$A$1:$L$317,8,FALSE)</f>
        <v>0</v>
      </c>
      <c r="G110" s="30">
        <f t="shared" si="27"/>
        <v>0.85</v>
      </c>
      <c r="H110">
        <f t="shared" si="28"/>
        <v>0</v>
      </c>
      <c r="I110">
        <f t="shared" si="20"/>
        <v>0</v>
      </c>
      <c r="J110">
        <f t="shared" si="21"/>
        <v>0</v>
      </c>
      <c r="K110">
        <f t="shared" si="22"/>
        <v>0</v>
      </c>
      <c r="L110">
        <f t="shared" si="29"/>
        <v>0</v>
      </c>
      <c r="M110">
        <f t="shared" si="23"/>
        <v>0</v>
      </c>
      <c r="N110" s="29">
        <f t="shared" si="30"/>
        <v>0</v>
      </c>
      <c r="O110" s="29">
        <f t="shared" si="24"/>
        <v>0</v>
      </c>
      <c r="P110" s="29">
        <f t="shared" si="31"/>
        <v>0</v>
      </c>
      <c r="Q110">
        <f t="shared" si="32"/>
        <v>0</v>
      </c>
      <c r="R110" s="29">
        <f t="shared" si="33"/>
        <v>0</v>
      </c>
      <c r="S110" s="29">
        <f t="shared" si="25"/>
        <v>0</v>
      </c>
      <c r="T110" s="29">
        <f t="shared" si="34"/>
        <v>0</v>
      </c>
      <c r="U110">
        <f t="shared" si="35"/>
        <v>0</v>
      </c>
      <c r="V110" s="29">
        <f t="shared" si="36"/>
        <v>0</v>
      </c>
      <c r="W110" s="29">
        <f t="shared" si="26"/>
        <v>0</v>
      </c>
      <c r="X110" s="29">
        <f t="shared" si="37"/>
        <v>0</v>
      </c>
      <c r="Y110">
        <f t="shared" si="38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allocations'!$A$1:$L$317,3,FALSE)</f>
        <v>98079.960824337875</v>
      </c>
      <c r="E111" s="31">
        <f>VLOOKUP(B111,'Initial adjusted formula count'!$A$1:$P$317,12,FALSE)</f>
        <v>7.5691411935953398E-2</v>
      </c>
      <c r="F111">
        <f>VLOOKUP(B111,'Model allocations'!$A$1:$L$317,8,FALSE)</f>
        <v>90373.9875142167</v>
      </c>
      <c r="G111" s="30">
        <f t="shared" si="27"/>
        <v>0.85</v>
      </c>
      <c r="H111">
        <f t="shared" si="28"/>
        <v>83367.96670068719</v>
      </c>
      <c r="I111">
        <f t="shared" si="20"/>
        <v>0</v>
      </c>
      <c r="J111">
        <f t="shared" si="21"/>
        <v>90373.9875142167</v>
      </c>
      <c r="K111">
        <f t="shared" si="22"/>
        <v>90332.705034417362</v>
      </c>
      <c r="L111">
        <f t="shared" si="29"/>
        <v>90332.705034417362</v>
      </c>
      <c r="M111">
        <f t="shared" si="23"/>
        <v>0</v>
      </c>
      <c r="N111" s="29">
        <f t="shared" si="30"/>
        <v>90332.705034417362</v>
      </c>
      <c r="O111" s="29">
        <f t="shared" si="24"/>
        <v>90328.123319640814</v>
      </c>
      <c r="P111" s="29">
        <f t="shared" si="31"/>
        <v>90328.123319640814</v>
      </c>
      <c r="Q111">
        <f t="shared" si="32"/>
        <v>0</v>
      </c>
      <c r="R111" s="29">
        <f t="shared" si="33"/>
        <v>90328.123319640814</v>
      </c>
      <c r="S111" s="29">
        <f t="shared" si="25"/>
        <v>90328.123319640858</v>
      </c>
      <c r="T111" s="29">
        <f t="shared" si="34"/>
        <v>90328.123319640858</v>
      </c>
      <c r="U111">
        <f t="shared" si="35"/>
        <v>0</v>
      </c>
      <c r="V111" s="29">
        <f t="shared" si="36"/>
        <v>90328.123319640858</v>
      </c>
      <c r="W111" s="29">
        <f t="shared" si="26"/>
        <v>90328.123319640872</v>
      </c>
      <c r="X111" s="29">
        <f t="shared" si="37"/>
        <v>90328.123319640872</v>
      </c>
      <c r="Y111">
        <f t="shared" si="38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allocations'!$A$1:$L$317,3,FALSE)</f>
        <v>26670.866539951527</v>
      </c>
      <c r="E112" s="31">
        <f>VLOOKUP(B112,'Initial adjusted formula count'!$A$1:$P$317,12,FALSE)</f>
        <v>0.23148148148148101</v>
      </c>
      <c r="F112">
        <f>VLOOKUP(B112,'Model allocations'!$A$1:$L$317,8,FALSE)</f>
        <v>24003.779885956374</v>
      </c>
      <c r="G112" s="30">
        <f t="shared" si="27"/>
        <v>0.9</v>
      </c>
      <c r="H112">
        <f t="shared" si="28"/>
        <v>24003.779885956374</v>
      </c>
      <c r="I112">
        <f t="shared" si="20"/>
        <v>0</v>
      </c>
      <c r="J112">
        <f t="shared" si="21"/>
        <v>24003.779885956374</v>
      </c>
      <c r="K112">
        <f t="shared" si="22"/>
        <v>23992.815054310606</v>
      </c>
      <c r="L112">
        <f t="shared" si="29"/>
        <v>23992.815054310606</v>
      </c>
      <c r="M112">
        <f t="shared" si="23"/>
        <v>24003.779885956374</v>
      </c>
      <c r="N112" s="29">
        <f t="shared" si="30"/>
        <v>0</v>
      </c>
      <c r="O112" s="29">
        <f t="shared" si="24"/>
        <v>0</v>
      </c>
      <c r="P112" s="29">
        <f t="shared" si="31"/>
        <v>24003.779885956374</v>
      </c>
      <c r="Q112">
        <f t="shared" si="32"/>
        <v>0</v>
      </c>
      <c r="R112" s="29">
        <f t="shared" si="33"/>
        <v>0</v>
      </c>
      <c r="S112" s="29">
        <f t="shared" si="25"/>
        <v>0</v>
      </c>
      <c r="T112" s="29">
        <f t="shared" si="34"/>
        <v>24003.779885956374</v>
      </c>
      <c r="U112">
        <f t="shared" si="35"/>
        <v>0</v>
      </c>
      <c r="V112" s="29">
        <f t="shared" si="36"/>
        <v>0</v>
      </c>
      <c r="W112" s="29">
        <f t="shared" si="26"/>
        <v>0</v>
      </c>
      <c r="X112" s="29">
        <f t="shared" si="37"/>
        <v>24003.779885956374</v>
      </c>
      <c r="Y112">
        <f t="shared" si="38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allocations'!$A$1:$L$317,3,FALSE)</f>
        <v>798405.29513145238</v>
      </c>
      <c r="E113" s="31">
        <f>VLOOKUP(B113,'Initial adjusted formula count'!$A$1:$P$317,12,FALSE)</f>
        <v>0.16432432432432401</v>
      </c>
      <c r="F113">
        <f>VLOOKUP(B113,'Model allocations'!$A$1:$L$317,8,FALSE)</f>
        <v>792510.35204774677</v>
      </c>
      <c r="G113" s="30">
        <f t="shared" si="27"/>
        <v>0.9</v>
      </c>
      <c r="H113">
        <f t="shared" si="28"/>
        <v>718564.76561830717</v>
      </c>
      <c r="I113">
        <f t="shared" si="20"/>
        <v>0</v>
      </c>
      <c r="J113">
        <f t="shared" si="21"/>
        <v>792510.35204774677</v>
      </c>
      <c r="K113">
        <f t="shared" si="22"/>
        <v>792148.33645566017</v>
      </c>
      <c r="L113">
        <f t="shared" si="29"/>
        <v>792148.33645566017</v>
      </c>
      <c r="M113">
        <f t="shared" si="23"/>
        <v>0</v>
      </c>
      <c r="N113" s="29">
        <f t="shared" si="30"/>
        <v>792148.33645566017</v>
      </c>
      <c r="O113" s="29">
        <f t="shared" si="24"/>
        <v>792108.15834146587</v>
      </c>
      <c r="P113" s="29">
        <f t="shared" si="31"/>
        <v>792108.15834146587</v>
      </c>
      <c r="Q113">
        <f t="shared" si="32"/>
        <v>0</v>
      </c>
      <c r="R113" s="29">
        <f t="shared" si="33"/>
        <v>792108.15834146587</v>
      </c>
      <c r="S113" s="29">
        <f t="shared" si="25"/>
        <v>792108.15834146633</v>
      </c>
      <c r="T113" s="29">
        <f t="shared" si="34"/>
        <v>792108.15834146633</v>
      </c>
      <c r="U113">
        <f t="shared" si="35"/>
        <v>0</v>
      </c>
      <c r="V113" s="29">
        <f t="shared" si="36"/>
        <v>792108.15834146633</v>
      </c>
      <c r="W113" s="29">
        <f t="shared" si="26"/>
        <v>792108.15834146645</v>
      </c>
      <c r="X113" s="29">
        <f t="shared" si="37"/>
        <v>792108.15834146645</v>
      </c>
      <c r="Y113">
        <f t="shared" si="38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allocations'!$A$1:$L$317,3,FALSE)</f>
        <v>2441674.8142058849</v>
      </c>
      <c r="E114" s="31">
        <f>VLOOKUP(B114,'Initial adjusted formula count'!$A$1:$P$317,12,FALSE)</f>
        <v>0.14553515493229199</v>
      </c>
      <c r="F114">
        <f>VLOOKUP(B114,'Model allocations'!$A$1:$L$317,8,FALSE)</f>
        <v>2624321.5605089869</v>
      </c>
      <c r="G114" s="30">
        <f t="shared" si="27"/>
        <v>0.85</v>
      </c>
      <c r="H114">
        <f t="shared" si="28"/>
        <v>2075423.5920750021</v>
      </c>
      <c r="I114">
        <f t="shared" si="20"/>
        <v>0</v>
      </c>
      <c r="J114">
        <f t="shared" si="21"/>
        <v>2624321.5605089869</v>
      </c>
      <c r="K114">
        <f t="shared" si="22"/>
        <v>2623122.7808071212</v>
      </c>
      <c r="L114">
        <f t="shared" si="29"/>
        <v>2623122.7808071212</v>
      </c>
      <c r="M114">
        <f t="shared" si="23"/>
        <v>0</v>
      </c>
      <c r="N114" s="29">
        <f t="shared" si="30"/>
        <v>2623122.7808071212</v>
      </c>
      <c r="O114" s="29">
        <f t="shared" si="24"/>
        <v>2622989.7348588025</v>
      </c>
      <c r="P114" s="29">
        <f t="shared" si="31"/>
        <v>2622989.7348588025</v>
      </c>
      <c r="Q114">
        <f t="shared" si="32"/>
        <v>0</v>
      </c>
      <c r="R114" s="29">
        <f t="shared" si="33"/>
        <v>2622989.7348588025</v>
      </c>
      <c r="S114" s="29">
        <f t="shared" si="25"/>
        <v>2622989.7348588039</v>
      </c>
      <c r="T114" s="29">
        <f t="shared" si="34"/>
        <v>2622989.7348588039</v>
      </c>
      <c r="U114">
        <f t="shared" si="35"/>
        <v>0</v>
      </c>
      <c r="V114" s="29">
        <f t="shared" si="36"/>
        <v>2622989.7348588039</v>
      </c>
      <c r="W114" s="29">
        <f t="shared" si="26"/>
        <v>2622989.7348588044</v>
      </c>
      <c r="X114" s="29">
        <f t="shared" si="37"/>
        <v>2622989.7348588044</v>
      </c>
      <c r="Y114">
        <f t="shared" si="38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allocations'!$A$1:$L$317,3,FALSE)</f>
        <v>3695205.541583606</v>
      </c>
      <c r="E115" s="31">
        <f>VLOOKUP(B115,'Initial adjusted formula count'!$A$1:$P$317,12,FALSE)</f>
        <v>0.14707249070632</v>
      </c>
      <c r="F115">
        <f>VLOOKUP(B115,'Model allocations'!$A$1:$L$317,8,FALSE)</f>
        <v>3850453.2564951377</v>
      </c>
      <c r="G115" s="30">
        <f t="shared" si="27"/>
        <v>0.85</v>
      </c>
      <c r="H115">
        <f t="shared" si="28"/>
        <v>3140924.710346065</v>
      </c>
      <c r="I115">
        <f t="shared" si="20"/>
        <v>0</v>
      </c>
      <c r="J115">
        <f t="shared" si="21"/>
        <v>3850453.2564951377</v>
      </c>
      <c r="K115">
        <f t="shared" si="22"/>
        <v>3848694.3846875327</v>
      </c>
      <c r="L115">
        <f t="shared" si="29"/>
        <v>3848694.3846875327</v>
      </c>
      <c r="M115">
        <f t="shared" si="23"/>
        <v>0</v>
      </c>
      <c r="N115" s="29">
        <f t="shared" si="30"/>
        <v>3848694.3846875327</v>
      </c>
      <c r="O115" s="29">
        <f t="shared" si="24"/>
        <v>3848499.177205082</v>
      </c>
      <c r="P115" s="29">
        <f t="shared" si="31"/>
        <v>3848499.177205082</v>
      </c>
      <c r="Q115">
        <f t="shared" si="32"/>
        <v>0</v>
      </c>
      <c r="R115" s="29">
        <f t="shared" si="33"/>
        <v>3848499.177205082</v>
      </c>
      <c r="S115" s="29">
        <f t="shared" si="25"/>
        <v>3848499.1772050844</v>
      </c>
      <c r="T115" s="29">
        <f t="shared" si="34"/>
        <v>3848499.1772050844</v>
      </c>
      <c r="U115">
        <f t="shared" si="35"/>
        <v>0</v>
      </c>
      <c r="V115" s="29">
        <f t="shared" si="36"/>
        <v>3848499.1772050844</v>
      </c>
      <c r="W115" s="29">
        <f t="shared" si="26"/>
        <v>3848499.1772050853</v>
      </c>
      <c r="X115" s="29">
        <f t="shared" si="37"/>
        <v>3848499.1772050853</v>
      </c>
      <c r="Y115">
        <f t="shared" si="38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allocations'!$A$1:$L$317,3,FALSE)</f>
        <v>128192.22949847669</v>
      </c>
      <c r="E116" s="31">
        <f>VLOOKUP(B116,'Initial adjusted formula count'!$A$1:$P$317,12,FALSE)</f>
        <v>0.15733896515311499</v>
      </c>
      <c r="F116">
        <f>VLOOKUP(B116,'Model allocations'!$A$1:$L$317,8,FALSE)</f>
        <v>129478.11672709897</v>
      </c>
      <c r="G116" s="30">
        <f t="shared" si="27"/>
        <v>0.9</v>
      </c>
      <c r="H116">
        <f t="shared" si="28"/>
        <v>115373.00654862903</v>
      </c>
      <c r="I116">
        <f t="shared" si="20"/>
        <v>0</v>
      </c>
      <c r="J116">
        <f t="shared" si="21"/>
        <v>129478.11672709897</v>
      </c>
      <c r="K116">
        <f t="shared" si="22"/>
        <v>129418.97163584799</v>
      </c>
      <c r="L116">
        <f t="shared" si="29"/>
        <v>129418.97163584799</v>
      </c>
      <c r="M116">
        <f t="shared" si="23"/>
        <v>0</v>
      </c>
      <c r="N116" s="29">
        <f t="shared" si="30"/>
        <v>129418.97163584799</v>
      </c>
      <c r="O116" s="29">
        <f t="shared" si="24"/>
        <v>129412.40744833161</v>
      </c>
      <c r="P116" s="29">
        <f t="shared" si="31"/>
        <v>129412.40744833161</v>
      </c>
      <c r="Q116">
        <f t="shared" si="32"/>
        <v>0</v>
      </c>
      <c r="R116" s="29">
        <f t="shared" si="33"/>
        <v>129412.40744833161</v>
      </c>
      <c r="S116" s="29">
        <f t="shared" si="25"/>
        <v>129412.40744833168</v>
      </c>
      <c r="T116" s="29">
        <f t="shared" si="34"/>
        <v>129412.40744833168</v>
      </c>
      <c r="U116">
        <f t="shared" si="35"/>
        <v>0</v>
      </c>
      <c r="V116" s="29">
        <f t="shared" si="36"/>
        <v>129412.40744833168</v>
      </c>
      <c r="W116" s="29">
        <f t="shared" si="26"/>
        <v>129412.40744833171</v>
      </c>
      <c r="X116" s="29">
        <f t="shared" si="37"/>
        <v>129412.40744833171</v>
      </c>
      <c r="Y116">
        <f t="shared" si="38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allocations'!$A$1:$L$317,3,FALSE)</f>
        <v>215087.6333867058</v>
      </c>
      <c r="E117" s="31">
        <f>VLOOKUP(B117,'Initial adjusted formula count'!$A$1:$P$317,12,FALSE)</f>
        <v>0.11085844229675999</v>
      </c>
      <c r="F117">
        <f>VLOOKUP(B117,'Model allocations'!$A$1:$L$317,8,FALSE)</f>
        <v>182824.48837869993</v>
      </c>
      <c r="G117" s="30">
        <f t="shared" si="27"/>
        <v>0.85</v>
      </c>
      <c r="H117">
        <f t="shared" si="28"/>
        <v>182824.48837869993</v>
      </c>
      <c r="I117">
        <f t="shared" si="20"/>
        <v>0</v>
      </c>
      <c r="J117">
        <f t="shared" si="21"/>
        <v>182824.48837869993</v>
      </c>
      <c r="K117">
        <f t="shared" si="22"/>
        <v>182740.97487602159</v>
      </c>
      <c r="L117">
        <f t="shared" si="29"/>
        <v>182740.97487602159</v>
      </c>
      <c r="M117">
        <f t="shared" si="23"/>
        <v>182824.48837869993</v>
      </c>
      <c r="N117" s="29">
        <f t="shared" si="30"/>
        <v>0</v>
      </c>
      <c r="O117" s="29">
        <f t="shared" si="24"/>
        <v>0</v>
      </c>
      <c r="P117" s="29">
        <f t="shared" si="31"/>
        <v>182824.48837869993</v>
      </c>
      <c r="Q117">
        <f t="shared" si="32"/>
        <v>0</v>
      </c>
      <c r="R117" s="29">
        <f t="shared" si="33"/>
        <v>0</v>
      </c>
      <c r="S117" s="29">
        <f t="shared" si="25"/>
        <v>0</v>
      </c>
      <c r="T117" s="29">
        <f t="shared" si="34"/>
        <v>182824.48837869993</v>
      </c>
      <c r="U117">
        <f t="shared" si="35"/>
        <v>0</v>
      </c>
      <c r="V117" s="29">
        <f t="shared" si="36"/>
        <v>0</v>
      </c>
      <c r="W117" s="29">
        <f t="shared" si="26"/>
        <v>0</v>
      </c>
      <c r="X117" s="29">
        <f t="shared" si="37"/>
        <v>182824.48837869993</v>
      </c>
      <c r="Y117">
        <f t="shared" si="38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allocations'!$A$1:$L$317,3,FALSE)</f>
        <v>49900.330945715774</v>
      </c>
      <c r="E118" s="31">
        <f>VLOOKUP(B118,'Initial adjusted formula count'!$A$1:$P$317,12,FALSE)</f>
        <v>9.3708165997322596E-2</v>
      </c>
      <c r="F118">
        <f>VLOOKUP(B118,'Model allocations'!$A$1:$L$317,8,FALSE)</f>
        <v>60828.645442261259</v>
      </c>
      <c r="G118" s="30">
        <f t="shared" si="27"/>
        <v>0.85</v>
      </c>
      <c r="H118">
        <f t="shared" si="28"/>
        <v>42415.281303858406</v>
      </c>
      <c r="I118">
        <f t="shared" si="20"/>
        <v>0</v>
      </c>
      <c r="J118">
        <f t="shared" si="21"/>
        <v>60828.645442261259</v>
      </c>
      <c r="K118">
        <f t="shared" si="22"/>
        <v>60800.85915778092</v>
      </c>
      <c r="L118">
        <f t="shared" si="29"/>
        <v>60800.85915778092</v>
      </c>
      <c r="M118">
        <f t="shared" si="23"/>
        <v>0</v>
      </c>
      <c r="N118" s="29">
        <f t="shared" si="30"/>
        <v>60800.85915778092</v>
      </c>
      <c r="O118" s="29">
        <f t="shared" si="24"/>
        <v>60797.775311296711</v>
      </c>
      <c r="P118" s="29">
        <f t="shared" si="31"/>
        <v>60797.775311296711</v>
      </c>
      <c r="Q118">
        <f t="shared" si="32"/>
        <v>0</v>
      </c>
      <c r="R118" s="29">
        <f t="shared" si="33"/>
        <v>60797.775311296711</v>
      </c>
      <c r="S118" s="29">
        <f t="shared" si="25"/>
        <v>60797.77531129674</v>
      </c>
      <c r="T118" s="29">
        <f t="shared" si="34"/>
        <v>60797.77531129674</v>
      </c>
      <c r="U118">
        <f t="shared" si="35"/>
        <v>0</v>
      </c>
      <c r="V118" s="29">
        <f t="shared" si="36"/>
        <v>60797.77531129674</v>
      </c>
      <c r="W118" s="29">
        <f t="shared" si="26"/>
        <v>60797.77531129674</v>
      </c>
      <c r="X118" s="29">
        <f t="shared" si="37"/>
        <v>60797.77531129674</v>
      </c>
      <c r="Y118">
        <f t="shared" si="38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allocations'!$A$1:$L$317,3,FALSE)</f>
        <v>12044.907469655527</v>
      </c>
      <c r="E119" s="31">
        <f>VLOOKUP(B119,'Initial adjusted formula count'!$A$1:$P$317,12,FALSE)</f>
        <v>6.0975609756097601E-2</v>
      </c>
      <c r="F119">
        <f>VLOOKUP(B119,'Model allocations'!$A$1:$L$317,8,FALSE)</f>
        <v>0</v>
      </c>
      <c r="G119" s="30">
        <f t="shared" si="27"/>
        <v>0.85</v>
      </c>
      <c r="H119">
        <f t="shared" si="28"/>
        <v>0</v>
      </c>
      <c r="I119">
        <f t="shared" si="20"/>
        <v>0</v>
      </c>
      <c r="J119">
        <f t="shared" si="21"/>
        <v>0</v>
      </c>
      <c r="K119">
        <f t="shared" si="22"/>
        <v>0</v>
      </c>
      <c r="L119">
        <f t="shared" si="29"/>
        <v>0</v>
      </c>
      <c r="M119">
        <f t="shared" si="23"/>
        <v>0</v>
      </c>
      <c r="N119" s="29">
        <f t="shared" si="30"/>
        <v>0</v>
      </c>
      <c r="O119" s="29">
        <f t="shared" si="24"/>
        <v>0</v>
      </c>
      <c r="P119" s="29">
        <f t="shared" si="31"/>
        <v>0</v>
      </c>
      <c r="Q119">
        <f t="shared" si="32"/>
        <v>0</v>
      </c>
      <c r="R119" s="29">
        <f t="shared" si="33"/>
        <v>0</v>
      </c>
      <c r="S119" s="29">
        <f t="shared" si="25"/>
        <v>0</v>
      </c>
      <c r="T119" s="29">
        <f t="shared" si="34"/>
        <v>0</v>
      </c>
      <c r="U119">
        <f t="shared" si="35"/>
        <v>0</v>
      </c>
      <c r="V119" s="29">
        <f t="shared" si="36"/>
        <v>0</v>
      </c>
      <c r="W119" s="29">
        <f t="shared" si="26"/>
        <v>0</v>
      </c>
      <c r="X119" s="29">
        <f t="shared" si="37"/>
        <v>0</v>
      </c>
      <c r="Y119">
        <f t="shared" si="38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allocations'!$A$1:$L$317,3,FALSE)</f>
        <v>108404.16722689974</v>
      </c>
      <c r="E120" s="31">
        <f>VLOOKUP(B120,'Initial adjusted formula count'!$A$1:$P$317,12,FALSE)</f>
        <v>5.5641421947449803E-2</v>
      </c>
      <c r="F120">
        <f>VLOOKUP(B120,'Model allocations'!$A$1:$L$317,8,FALSE)</f>
        <v>93849.910110917364</v>
      </c>
      <c r="G120" s="30">
        <f t="shared" si="27"/>
        <v>0.85</v>
      </c>
      <c r="H120">
        <f t="shared" si="28"/>
        <v>92143.542142864768</v>
      </c>
      <c r="I120">
        <f t="shared" si="20"/>
        <v>0</v>
      </c>
      <c r="J120">
        <f t="shared" si="21"/>
        <v>93849.910110917364</v>
      </c>
      <c r="K120">
        <f t="shared" si="22"/>
        <v>93807.03984343342</v>
      </c>
      <c r="L120">
        <f t="shared" si="29"/>
        <v>93807.03984343342</v>
      </c>
      <c r="M120">
        <f t="shared" si="23"/>
        <v>0</v>
      </c>
      <c r="N120" s="29">
        <f t="shared" si="30"/>
        <v>93807.03984343342</v>
      </c>
      <c r="O120" s="29">
        <f t="shared" si="24"/>
        <v>93802.281908857782</v>
      </c>
      <c r="P120" s="29">
        <f t="shared" si="31"/>
        <v>93802.281908857782</v>
      </c>
      <c r="Q120">
        <f t="shared" si="32"/>
        <v>0</v>
      </c>
      <c r="R120" s="29">
        <f t="shared" si="33"/>
        <v>93802.281908857782</v>
      </c>
      <c r="S120" s="29">
        <f t="shared" si="25"/>
        <v>93802.28190885784</v>
      </c>
      <c r="T120" s="29">
        <f t="shared" si="34"/>
        <v>93802.28190885784</v>
      </c>
      <c r="U120">
        <f t="shared" si="35"/>
        <v>0</v>
      </c>
      <c r="V120" s="29">
        <f t="shared" si="36"/>
        <v>93802.28190885784</v>
      </c>
      <c r="W120" s="29">
        <f t="shared" si="26"/>
        <v>93802.281908857854</v>
      </c>
      <c r="X120" s="29">
        <f t="shared" si="37"/>
        <v>93802.281908857854</v>
      </c>
      <c r="Y120">
        <f t="shared" si="38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allocations'!$A$1:$L$317,3,FALSE)</f>
        <v>99616.298311981445</v>
      </c>
      <c r="E121" s="31">
        <f>VLOOKUP(B121,'Initial adjusted formula count'!$A$1:$P$317,12,FALSE)</f>
        <v>0.100682593856655</v>
      </c>
      <c r="F121">
        <f>VLOOKUP(B121,'Model allocations'!$A$1:$L$317,8,FALSE)</f>
        <v>84673.853565184225</v>
      </c>
      <c r="G121" s="30">
        <f t="shared" si="27"/>
        <v>0.85</v>
      </c>
      <c r="H121">
        <f t="shared" si="28"/>
        <v>84673.853565184225</v>
      </c>
      <c r="I121">
        <f t="shared" si="20"/>
        <v>0</v>
      </c>
      <c r="J121">
        <f t="shared" si="21"/>
        <v>84673.853565184225</v>
      </c>
      <c r="K121">
        <f t="shared" si="22"/>
        <v>84635.174884011867</v>
      </c>
      <c r="L121">
        <f t="shared" si="29"/>
        <v>84635.174884011867</v>
      </c>
      <c r="M121">
        <f t="shared" si="23"/>
        <v>84673.853565184225</v>
      </c>
      <c r="N121" s="29">
        <f t="shared" si="30"/>
        <v>0</v>
      </c>
      <c r="O121" s="29">
        <f t="shared" si="24"/>
        <v>0</v>
      </c>
      <c r="P121" s="29">
        <f t="shared" si="31"/>
        <v>84673.853565184225</v>
      </c>
      <c r="Q121">
        <f t="shared" si="32"/>
        <v>0</v>
      </c>
      <c r="R121" s="29">
        <f t="shared" si="33"/>
        <v>0</v>
      </c>
      <c r="S121" s="29">
        <f t="shared" si="25"/>
        <v>0</v>
      </c>
      <c r="T121" s="29">
        <f t="shared" si="34"/>
        <v>84673.853565184225</v>
      </c>
      <c r="U121">
        <f t="shared" si="35"/>
        <v>0</v>
      </c>
      <c r="V121" s="29">
        <f t="shared" si="36"/>
        <v>0</v>
      </c>
      <c r="W121" s="29">
        <f t="shared" si="26"/>
        <v>0</v>
      </c>
      <c r="X121" s="29">
        <f t="shared" si="37"/>
        <v>84673.853565184225</v>
      </c>
      <c r="Y121">
        <f t="shared" si="38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allocations'!$A$1:$L$317,3,FALSE)</f>
        <v>15486.309603842823</v>
      </c>
      <c r="E122" s="31">
        <f>VLOOKUP(B122,'Initial adjusted formula count'!$A$1:$P$317,12,FALSE)</f>
        <v>0.18888888888888899</v>
      </c>
      <c r="F122">
        <f>VLOOKUP(B122,'Model allocations'!$A$1:$L$317,8,FALSE)</f>
        <v>14772.671035977735</v>
      </c>
      <c r="G122" s="30">
        <f t="shared" si="27"/>
        <v>0.9</v>
      </c>
      <c r="H122">
        <f t="shared" si="28"/>
        <v>13937.678643458541</v>
      </c>
      <c r="I122">
        <f t="shared" si="20"/>
        <v>0</v>
      </c>
      <c r="J122">
        <f t="shared" si="21"/>
        <v>14772.671035977735</v>
      </c>
      <c r="K122">
        <f t="shared" si="22"/>
        <v>14765.922938318226</v>
      </c>
      <c r="L122">
        <f t="shared" si="29"/>
        <v>14765.922938318226</v>
      </c>
      <c r="M122">
        <f t="shared" si="23"/>
        <v>0</v>
      </c>
      <c r="N122" s="29">
        <f t="shared" si="30"/>
        <v>14765.922938318226</v>
      </c>
      <c r="O122" s="29">
        <f t="shared" si="24"/>
        <v>14765.17400417206</v>
      </c>
      <c r="P122" s="29">
        <f t="shared" si="31"/>
        <v>14765.17400417206</v>
      </c>
      <c r="Q122">
        <f t="shared" si="32"/>
        <v>0</v>
      </c>
      <c r="R122" s="29">
        <f t="shared" si="33"/>
        <v>14765.17400417206</v>
      </c>
      <c r="S122" s="29">
        <f t="shared" si="25"/>
        <v>14765.17400417207</v>
      </c>
      <c r="T122" s="29">
        <f t="shared" si="34"/>
        <v>14765.17400417207</v>
      </c>
      <c r="U122">
        <f t="shared" si="35"/>
        <v>0</v>
      </c>
      <c r="V122" s="29">
        <f t="shared" si="36"/>
        <v>14765.17400417207</v>
      </c>
      <c r="W122" s="29">
        <f t="shared" si="26"/>
        <v>14765.174004172071</v>
      </c>
      <c r="X122" s="29">
        <f t="shared" si="37"/>
        <v>14765.174004172071</v>
      </c>
      <c r="Y122">
        <f t="shared" si="38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allocations'!$A$1:$L$317,3,FALSE)</f>
        <v>140237.1369681322</v>
      </c>
      <c r="E123" s="31">
        <f>VLOOKUP(B123,'Initial adjusted formula count'!$A$1:$P$317,12,FALSE)</f>
        <v>0.134136546184739</v>
      </c>
      <c r="F123">
        <f>VLOOKUP(B123,'Model allocations'!$A$1:$L$317,8,FALSE)</f>
        <v>145119.76841225187</v>
      </c>
      <c r="G123" s="30">
        <f t="shared" si="27"/>
        <v>0.85</v>
      </c>
      <c r="H123">
        <f t="shared" si="28"/>
        <v>119201.56642291236</v>
      </c>
      <c r="I123">
        <f t="shared" si="20"/>
        <v>0</v>
      </c>
      <c r="J123">
        <f t="shared" si="21"/>
        <v>145119.76841225187</v>
      </c>
      <c r="K123">
        <f t="shared" si="22"/>
        <v>145053.47827642024</v>
      </c>
      <c r="L123">
        <f t="shared" si="29"/>
        <v>145053.47827642024</v>
      </c>
      <c r="M123">
        <f t="shared" si="23"/>
        <v>0</v>
      </c>
      <c r="N123" s="29">
        <f t="shared" si="30"/>
        <v>145053.47827642024</v>
      </c>
      <c r="O123" s="29">
        <f t="shared" si="24"/>
        <v>145046.1210998079</v>
      </c>
      <c r="P123" s="29">
        <f t="shared" si="31"/>
        <v>145046.1210998079</v>
      </c>
      <c r="Q123">
        <f t="shared" si="32"/>
        <v>0</v>
      </c>
      <c r="R123" s="29">
        <f t="shared" si="33"/>
        <v>145046.1210998079</v>
      </c>
      <c r="S123" s="29">
        <f t="shared" si="25"/>
        <v>145046.12109980796</v>
      </c>
      <c r="T123" s="29">
        <f t="shared" si="34"/>
        <v>145046.12109980796</v>
      </c>
      <c r="U123">
        <f t="shared" si="35"/>
        <v>0</v>
      </c>
      <c r="V123" s="29">
        <f t="shared" si="36"/>
        <v>145046.12109980796</v>
      </c>
      <c r="W123" s="29">
        <f t="shared" si="26"/>
        <v>145046.12109980796</v>
      </c>
      <c r="X123" s="29">
        <f t="shared" si="37"/>
        <v>145046.12109980796</v>
      </c>
      <c r="Y123">
        <f t="shared" si="38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allocations'!$A$1:$L$317,3,FALSE)</f>
        <v>500724.01052425127</v>
      </c>
      <c r="E124" s="31">
        <f>VLOOKUP(B124,'Initial adjusted formula count'!$A$1:$P$317,12,FALSE)</f>
        <v>6.6008517228029404E-2</v>
      </c>
      <c r="F124">
        <f>VLOOKUP(B124,'Model allocations'!$A$1:$L$317,8,FALSE)</f>
        <v>592644.80273745977</v>
      </c>
      <c r="G124" s="30">
        <f t="shared" si="27"/>
        <v>0.85</v>
      </c>
      <c r="H124">
        <f t="shared" si="28"/>
        <v>425615.40894561354</v>
      </c>
      <c r="I124">
        <f t="shared" si="20"/>
        <v>0</v>
      </c>
      <c r="J124">
        <f t="shared" si="21"/>
        <v>592644.80273745977</v>
      </c>
      <c r="K124">
        <f t="shared" si="22"/>
        <v>592374.08493723709</v>
      </c>
      <c r="L124">
        <f t="shared" si="29"/>
        <v>592374.08493723709</v>
      </c>
      <c r="M124">
        <f t="shared" si="23"/>
        <v>0</v>
      </c>
      <c r="N124" s="29">
        <f t="shared" si="30"/>
        <v>592374.08493723709</v>
      </c>
      <c r="O124" s="29">
        <f t="shared" si="24"/>
        <v>592344.03946149093</v>
      </c>
      <c r="P124" s="29">
        <f t="shared" si="31"/>
        <v>592344.03946149093</v>
      </c>
      <c r="Q124">
        <f t="shared" si="32"/>
        <v>0</v>
      </c>
      <c r="R124" s="29">
        <f t="shared" si="33"/>
        <v>592344.03946149093</v>
      </c>
      <c r="S124" s="29">
        <f t="shared" si="25"/>
        <v>592344.03946149128</v>
      </c>
      <c r="T124" s="29">
        <f t="shared" si="34"/>
        <v>592344.03946149128</v>
      </c>
      <c r="U124">
        <f t="shared" si="35"/>
        <v>0</v>
      </c>
      <c r="V124" s="29">
        <f t="shared" si="36"/>
        <v>592344.03946149128</v>
      </c>
      <c r="W124" s="29">
        <f t="shared" si="26"/>
        <v>592344.0394614914</v>
      </c>
      <c r="X124" s="29">
        <f t="shared" si="37"/>
        <v>592344.0394614914</v>
      </c>
      <c r="Y124">
        <f t="shared" si="38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allocations'!$A$1:$L$317,3,FALSE)</f>
        <v>1218256.3555023018</v>
      </c>
      <c r="E125" s="31">
        <f>VLOOKUP(B125,'Initial adjusted formula count'!$A$1:$P$317,12,FALSE)</f>
        <v>4.0982919124430403E-2</v>
      </c>
      <c r="F125">
        <f>VLOOKUP(B125,'Model allocations'!$A$1:$L$317,8,FALSE)</f>
        <v>1273925.6316907862</v>
      </c>
      <c r="G125" s="30">
        <f t="shared" si="27"/>
        <v>0.85</v>
      </c>
      <c r="H125">
        <f t="shared" si="28"/>
        <v>1035517.9021769565</v>
      </c>
      <c r="I125">
        <f t="shared" si="20"/>
        <v>0</v>
      </c>
      <c r="J125">
        <f t="shared" si="21"/>
        <v>1273925.6316907862</v>
      </c>
      <c r="K125">
        <f t="shared" si="22"/>
        <v>1273343.7075043838</v>
      </c>
      <c r="L125">
        <f t="shared" si="29"/>
        <v>1273343.7075043838</v>
      </c>
      <c r="M125">
        <f t="shared" si="23"/>
        <v>0</v>
      </c>
      <c r="N125" s="29">
        <f t="shared" si="30"/>
        <v>1273343.7075043838</v>
      </c>
      <c r="O125" s="29">
        <f t="shared" si="24"/>
        <v>1273279.1229480144</v>
      </c>
      <c r="P125" s="29">
        <f t="shared" si="31"/>
        <v>1273279.1229480144</v>
      </c>
      <c r="Q125">
        <f t="shared" si="32"/>
        <v>0</v>
      </c>
      <c r="R125" s="29">
        <f t="shared" si="33"/>
        <v>1273279.1229480144</v>
      </c>
      <c r="S125" s="29">
        <f t="shared" si="25"/>
        <v>1273279.1229480151</v>
      </c>
      <c r="T125" s="29">
        <f t="shared" si="34"/>
        <v>1273279.1229480151</v>
      </c>
      <c r="U125">
        <f t="shared" si="35"/>
        <v>0</v>
      </c>
      <c r="V125" s="29">
        <f t="shared" si="36"/>
        <v>1273279.1229480151</v>
      </c>
      <c r="W125" s="29">
        <f t="shared" si="26"/>
        <v>1273279.1229480153</v>
      </c>
      <c r="X125" s="29">
        <f t="shared" si="37"/>
        <v>1273279.1229480153</v>
      </c>
      <c r="Y125">
        <f t="shared" si="38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allocations'!$A$1:$L$317,3,FALSE)</f>
        <v>307145.14047621604</v>
      </c>
      <c r="E126" s="31">
        <f>VLOOKUP(B126,'Initial adjusted formula count'!$A$1:$P$317,12,FALSE)</f>
        <v>0.12734785875281701</v>
      </c>
      <c r="F126">
        <f>VLOOKUP(B126,'Model allocations'!$A$1:$L$317,8,FALSE)</f>
        <v>294584.44007037953</v>
      </c>
      <c r="G126" s="30">
        <f t="shared" si="27"/>
        <v>0.85</v>
      </c>
      <c r="H126">
        <f t="shared" si="28"/>
        <v>261073.36940478362</v>
      </c>
      <c r="I126">
        <f t="shared" si="20"/>
        <v>0</v>
      </c>
      <c r="J126">
        <f t="shared" si="21"/>
        <v>294584.44007037953</v>
      </c>
      <c r="K126">
        <f t="shared" si="22"/>
        <v>294449.8750641105</v>
      </c>
      <c r="L126">
        <f t="shared" si="29"/>
        <v>294449.8750641105</v>
      </c>
      <c r="M126">
        <f t="shared" si="23"/>
        <v>0</v>
      </c>
      <c r="N126" s="29">
        <f t="shared" si="30"/>
        <v>294449.8750641105</v>
      </c>
      <c r="O126" s="29">
        <f t="shared" si="24"/>
        <v>294434.94043613697</v>
      </c>
      <c r="P126" s="29">
        <f t="shared" si="31"/>
        <v>294434.94043613697</v>
      </c>
      <c r="Q126">
        <f t="shared" si="32"/>
        <v>0</v>
      </c>
      <c r="R126" s="29">
        <f t="shared" si="33"/>
        <v>294434.94043613697</v>
      </c>
      <c r="S126" s="29">
        <f t="shared" si="25"/>
        <v>294434.94043613714</v>
      </c>
      <c r="T126" s="29">
        <f t="shared" si="34"/>
        <v>294434.94043613714</v>
      </c>
      <c r="U126">
        <f t="shared" si="35"/>
        <v>0</v>
      </c>
      <c r="V126" s="29">
        <f t="shared" si="36"/>
        <v>294434.94043613714</v>
      </c>
      <c r="W126" s="29">
        <f t="shared" si="26"/>
        <v>294434.9404361372</v>
      </c>
      <c r="X126" s="29">
        <f t="shared" si="37"/>
        <v>294434.9404361372</v>
      </c>
      <c r="Y126">
        <f t="shared" si="38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allocations'!$A$1:$L$317,3,FALSE)</f>
        <v>0</v>
      </c>
      <c r="E127" s="31">
        <f>VLOOKUP(B127,'Initial adjusted formula count'!$A$1:$P$317,12,FALSE)</f>
        <v>0.35714285714285698</v>
      </c>
      <c r="F127">
        <f>VLOOKUP(B127,'Model allocations'!$A$1:$L$317,8,FALSE)</f>
        <v>8689.8064917516094</v>
      </c>
      <c r="G127" s="30">
        <f t="shared" si="27"/>
        <v>0.95</v>
      </c>
      <c r="H127">
        <f t="shared" si="28"/>
        <v>0</v>
      </c>
      <c r="I127">
        <f t="shared" si="20"/>
        <v>0</v>
      </c>
      <c r="J127">
        <f t="shared" si="21"/>
        <v>8689.8064917516094</v>
      </c>
      <c r="K127">
        <f t="shared" si="22"/>
        <v>8685.8370225401322</v>
      </c>
      <c r="L127">
        <f t="shared" si="29"/>
        <v>8685.8370225401322</v>
      </c>
      <c r="M127">
        <f t="shared" si="23"/>
        <v>0</v>
      </c>
      <c r="N127" s="29">
        <f t="shared" si="30"/>
        <v>8685.8370225401322</v>
      </c>
      <c r="O127" s="29">
        <f t="shared" si="24"/>
        <v>8685.3964730423886</v>
      </c>
      <c r="P127" s="29">
        <f t="shared" si="31"/>
        <v>8685.3964730423886</v>
      </c>
      <c r="Q127">
        <f t="shared" si="32"/>
        <v>0</v>
      </c>
      <c r="R127" s="29">
        <f t="shared" si="33"/>
        <v>8685.3964730423886</v>
      </c>
      <c r="S127" s="29">
        <f t="shared" si="25"/>
        <v>8685.3964730423941</v>
      </c>
      <c r="T127" s="29">
        <f t="shared" si="34"/>
        <v>8685.3964730423941</v>
      </c>
      <c r="U127">
        <f t="shared" si="35"/>
        <v>0</v>
      </c>
      <c r="V127" s="29">
        <f t="shared" si="36"/>
        <v>8685.3964730423941</v>
      </c>
      <c r="W127" s="29">
        <f t="shared" si="26"/>
        <v>8685.3964730423959</v>
      </c>
      <c r="X127" s="29">
        <f t="shared" si="37"/>
        <v>8685.3964730423959</v>
      </c>
      <c r="Y127">
        <f t="shared" si="38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allocations'!$A$1:$L$317,3,FALSE)</f>
        <v>66246.9910831054</v>
      </c>
      <c r="E128" s="31">
        <f>VLOOKUP(B128,'Initial adjusted formula count'!$A$1:$P$317,12,FALSE)</f>
        <v>4.20168067226891E-2</v>
      </c>
      <c r="F128">
        <f>VLOOKUP(B128,'Model allocations'!$A$1:$L$317,8,FALSE)</f>
        <v>56309.942420639585</v>
      </c>
      <c r="G128" s="30">
        <f t="shared" si="27"/>
        <v>0.85</v>
      </c>
      <c r="H128">
        <f t="shared" si="28"/>
        <v>56309.942420639585</v>
      </c>
      <c r="I128">
        <f t="shared" si="20"/>
        <v>0</v>
      </c>
      <c r="J128">
        <f t="shared" si="21"/>
        <v>56309.942420639585</v>
      </c>
      <c r="K128">
        <f t="shared" si="22"/>
        <v>56284.220261814655</v>
      </c>
      <c r="L128">
        <f t="shared" si="29"/>
        <v>56284.220261814655</v>
      </c>
      <c r="M128">
        <f t="shared" si="23"/>
        <v>56309.942420639585</v>
      </c>
      <c r="N128" s="29">
        <f t="shared" si="30"/>
        <v>0</v>
      </c>
      <c r="O128" s="29">
        <f t="shared" si="24"/>
        <v>0</v>
      </c>
      <c r="P128" s="29">
        <f t="shared" si="31"/>
        <v>56309.942420639585</v>
      </c>
      <c r="Q128">
        <f t="shared" si="32"/>
        <v>0</v>
      </c>
      <c r="R128" s="29">
        <f t="shared" si="33"/>
        <v>0</v>
      </c>
      <c r="S128" s="29">
        <f t="shared" si="25"/>
        <v>0</v>
      </c>
      <c r="T128" s="29">
        <f t="shared" si="34"/>
        <v>56309.942420639585</v>
      </c>
      <c r="U128">
        <f t="shared" si="35"/>
        <v>0</v>
      </c>
      <c r="V128" s="29">
        <f t="shared" si="36"/>
        <v>0</v>
      </c>
      <c r="W128" s="29">
        <f t="shared" si="26"/>
        <v>0</v>
      </c>
      <c r="X128" s="29">
        <f t="shared" si="37"/>
        <v>56309.942420639585</v>
      </c>
      <c r="Y128">
        <f t="shared" si="38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allocations'!$A$1:$L$317,3,FALSE)</f>
        <v>69688.393217292716</v>
      </c>
      <c r="E129" s="31">
        <f>VLOOKUP(B129,'Initial adjusted formula count'!$A$1:$P$317,12,FALSE)</f>
        <v>0.16611295681063101</v>
      </c>
      <c r="F129">
        <f>VLOOKUP(B129,'Model allocations'!$A$1:$L$317,8,FALSE)</f>
        <v>62719.553895563447</v>
      </c>
      <c r="G129" s="30">
        <f t="shared" si="27"/>
        <v>0.9</v>
      </c>
      <c r="H129">
        <f t="shared" si="28"/>
        <v>62719.553895563447</v>
      </c>
      <c r="I129">
        <f t="shared" si="20"/>
        <v>0</v>
      </c>
      <c r="J129">
        <f t="shared" si="21"/>
        <v>62719.553895563447</v>
      </c>
      <c r="K129">
        <f t="shared" si="22"/>
        <v>62690.903851585797</v>
      </c>
      <c r="L129">
        <f t="shared" si="29"/>
        <v>62690.903851585797</v>
      </c>
      <c r="M129">
        <f t="shared" si="23"/>
        <v>62719.553895563447</v>
      </c>
      <c r="N129" s="29">
        <f t="shared" si="30"/>
        <v>0</v>
      </c>
      <c r="O129" s="29">
        <f t="shared" si="24"/>
        <v>0</v>
      </c>
      <c r="P129" s="29">
        <f t="shared" si="31"/>
        <v>62719.553895563447</v>
      </c>
      <c r="Q129">
        <f t="shared" si="32"/>
        <v>0</v>
      </c>
      <c r="R129" s="29">
        <f t="shared" si="33"/>
        <v>0</v>
      </c>
      <c r="S129" s="29">
        <f t="shared" si="25"/>
        <v>0</v>
      </c>
      <c r="T129" s="29">
        <f t="shared" si="34"/>
        <v>62719.553895563447</v>
      </c>
      <c r="U129">
        <f t="shared" si="35"/>
        <v>0</v>
      </c>
      <c r="V129" s="29">
        <f t="shared" si="36"/>
        <v>0</v>
      </c>
      <c r="W129" s="29">
        <f t="shared" si="26"/>
        <v>0</v>
      </c>
      <c r="X129" s="29">
        <f t="shared" si="37"/>
        <v>62719.553895563447</v>
      </c>
      <c r="Y129">
        <f t="shared" si="38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allocations'!$A$1:$L$317,3,FALSE)</f>
        <v>1164054.2718888524</v>
      </c>
      <c r="E130" s="31">
        <f>VLOOKUP(B130,'Initial adjusted formula count'!$A$1:$P$317,12,FALSE)</f>
        <v>0.18699631197923799</v>
      </c>
      <c r="F130">
        <f>VLOOKUP(B130,'Model allocations'!$A$1:$L$317,8,FALSE)</f>
        <v>1189634.5087207954</v>
      </c>
      <c r="G130" s="30">
        <f t="shared" si="27"/>
        <v>0.9</v>
      </c>
      <c r="H130">
        <f t="shared" si="28"/>
        <v>1047648.8446999672</v>
      </c>
      <c r="I130">
        <f t="shared" si="20"/>
        <v>0</v>
      </c>
      <c r="J130">
        <f t="shared" si="21"/>
        <v>1189634.5087207954</v>
      </c>
      <c r="K130">
        <f t="shared" si="22"/>
        <v>1189091.0883857445</v>
      </c>
      <c r="L130">
        <f t="shared" si="29"/>
        <v>1189091.0883857445</v>
      </c>
      <c r="M130">
        <f t="shared" si="23"/>
        <v>0</v>
      </c>
      <c r="N130" s="29">
        <f t="shared" si="30"/>
        <v>1189091.0883857445</v>
      </c>
      <c r="O130" s="29">
        <f t="shared" si="24"/>
        <v>1189030.7771595034</v>
      </c>
      <c r="P130" s="29">
        <f t="shared" si="31"/>
        <v>1189030.7771595034</v>
      </c>
      <c r="Q130">
        <f t="shared" si="32"/>
        <v>0</v>
      </c>
      <c r="R130" s="29">
        <f t="shared" si="33"/>
        <v>1189030.7771595034</v>
      </c>
      <c r="S130" s="29">
        <f t="shared" si="25"/>
        <v>1189030.7771595041</v>
      </c>
      <c r="T130" s="29">
        <f t="shared" si="34"/>
        <v>1189030.7771595041</v>
      </c>
      <c r="U130">
        <f t="shared" si="35"/>
        <v>0</v>
      </c>
      <c r="V130" s="29">
        <f t="shared" si="36"/>
        <v>1189030.7771595041</v>
      </c>
      <c r="W130" s="29">
        <f t="shared" si="26"/>
        <v>1189030.7771595044</v>
      </c>
      <c r="X130" s="29">
        <f t="shared" si="37"/>
        <v>1189030.7771595044</v>
      </c>
      <c r="Y130">
        <f t="shared" si="38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allocations'!$A$1:$L$317,3,FALSE)</f>
        <v>49039.980412168938</v>
      </c>
      <c r="E131" s="31">
        <f>VLOOKUP(B131,'Initial adjusted formula count'!$A$1:$P$317,12,FALSE)</f>
        <v>0.22957198443579799</v>
      </c>
      <c r="F131">
        <f>VLOOKUP(B131,'Model allocations'!$A$1:$L$317,8,FALSE)</f>
        <v>51269.858301334483</v>
      </c>
      <c r="G131" s="30">
        <f t="shared" si="27"/>
        <v>0.9</v>
      </c>
      <c r="H131">
        <f t="shared" si="28"/>
        <v>44135.982370952042</v>
      </c>
      <c r="I131">
        <f t="shared" si="20"/>
        <v>0</v>
      </c>
      <c r="J131">
        <f t="shared" si="21"/>
        <v>51269.858301334483</v>
      </c>
      <c r="K131">
        <f t="shared" si="22"/>
        <v>51246.438432986775</v>
      </c>
      <c r="L131">
        <f t="shared" si="29"/>
        <v>51246.438432986775</v>
      </c>
      <c r="M131">
        <f t="shared" si="23"/>
        <v>0</v>
      </c>
      <c r="N131" s="29">
        <f t="shared" si="30"/>
        <v>51246.438432986775</v>
      </c>
      <c r="O131" s="29">
        <f t="shared" si="24"/>
        <v>51243.839190950079</v>
      </c>
      <c r="P131" s="29">
        <f t="shared" si="31"/>
        <v>51243.839190950079</v>
      </c>
      <c r="Q131">
        <f t="shared" si="32"/>
        <v>0</v>
      </c>
      <c r="R131" s="29">
        <f t="shared" si="33"/>
        <v>51243.839190950079</v>
      </c>
      <c r="S131" s="29">
        <f t="shared" si="25"/>
        <v>51243.839190950108</v>
      </c>
      <c r="T131" s="29">
        <f t="shared" si="34"/>
        <v>51243.839190950108</v>
      </c>
      <c r="U131">
        <f t="shared" si="35"/>
        <v>0</v>
      </c>
      <c r="V131" s="29">
        <f t="shared" si="36"/>
        <v>51243.839190950108</v>
      </c>
      <c r="W131" s="29">
        <f t="shared" si="26"/>
        <v>51243.839190950115</v>
      </c>
      <c r="X131" s="29">
        <f t="shared" si="37"/>
        <v>51243.839190950115</v>
      </c>
      <c r="Y131">
        <f t="shared" si="38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allocations'!$A$1:$L$317,3,FALSE)</f>
        <v>41446.1971079047</v>
      </c>
      <c r="E132" s="31">
        <f>VLOOKUP(B132,'Initial adjusted formula count'!$A$1:$P$317,12,FALSE)</f>
        <v>0.17142857142857101</v>
      </c>
      <c r="F132">
        <f>VLOOKUP(B132,'Model allocations'!$A$1:$L$317,8,FALSE)</f>
        <v>41711.071160407722</v>
      </c>
      <c r="G132" s="30">
        <f t="shared" si="27"/>
        <v>0.9</v>
      </c>
      <c r="H132">
        <f t="shared" si="28"/>
        <v>37301.577397114233</v>
      </c>
      <c r="I132">
        <f t="shared" ref="I132:I195" si="39">IF(F132&lt;H132,H132,0)</f>
        <v>0</v>
      </c>
      <c r="J132">
        <f t="shared" ref="J132:J195" si="40">IF(I132=0,F132,0)</f>
        <v>41711.071160407722</v>
      </c>
      <c r="K132">
        <f t="shared" ref="K132:K195" si="41">(J132/$J$3)*($F$3-$I$3)</f>
        <v>41692.017708192638</v>
      </c>
      <c r="L132">
        <f t="shared" si="29"/>
        <v>41692.017708192638</v>
      </c>
      <c r="M132">
        <f t="shared" ref="M132:M195" si="42">IF(L132&lt;H132,H132,0)</f>
        <v>0</v>
      </c>
      <c r="N132" s="29">
        <f t="shared" si="30"/>
        <v>41692.017708192638</v>
      </c>
      <c r="O132" s="29">
        <f t="shared" ref="O132:O195" si="43">((N132/$N$3)*($F$3-$I$3-$M$3))</f>
        <v>41689.903070603468</v>
      </c>
      <c r="P132" s="29">
        <f t="shared" si="31"/>
        <v>41689.903070603468</v>
      </c>
      <c r="Q132">
        <f t="shared" si="32"/>
        <v>0</v>
      </c>
      <c r="R132" s="29">
        <f t="shared" si="33"/>
        <v>41689.903070603468</v>
      </c>
      <c r="S132" s="29">
        <f t="shared" ref="S132:S195" si="44">((R132/$R$3)*($F$3-$I$3-$M$3-$Q$3))</f>
        <v>41689.90307060349</v>
      </c>
      <c r="T132" s="29">
        <f t="shared" si="34"/>
        <v>41689.90307060349</v>
      </c>
      <c r="U132">
        <f t="shared" si="35"/>
        <v>0</v>
      </c>
      <c r="V132" s="29">
        <f t="shared" si="36"/>
        <v>41689.90307060349</v>
      </c>
      <c r="W132" s="29">
        <f t="shared" ref="W132:W195" si="45">((V132/$V$3)*($F$3-$I$3-$M$3-$Q$3-$U$3))</f>
        <v>41689.903070603497</v>
      </c>
      <c r="X132" s="29">
        <f t="shared" si="37"/>
        <v>41689.903070603497</v>
      </c>
      <c r="Y132">
        <f t="shared" si="38"/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allocations'!$A$1:$L$317,3,FALSE)</f>
        <v>0</v>
      </c>
      <c r="E133" s="31">
        <f>VLOOKUP(B133,'Initial adjusted formula count'!$A$1:$P$317,12,FALSE)</f>
        <v>0.20320371091916001</v>
      </c>
      <c r="F133">
        <f>VLOOKUP(B133,'Model allocations'!$A$1:$L$317,8,FALSE)</f>
        <v>0</v>
      </c>
      <c r="G133" s="30">
        <f t="shared" ref="G133:G196" si="46">IF(E133&lt;0.15,0.85,IF(AND(E133&gt;=0.15,E133&lt;0.3),0.9,0.95))</f>
        <v>0.9</v>
      </c>
      <c r="H133">
        <f t="shared" ref="H133:H196" si="47">IF(F133 = 0, 0, D133*G133)</f>
        <v>0</v>
      </c>
      <c r="I133">
        <f t="shared" si="39"/>
        <v>0</v>
      </c>
      <c r="J133">
        <f t="shared" si="40"/>
        <v>0</v>
      </c>
      <c r="K133">
        <f t="shared" si="41"/>
        <v>0</v>
      </c>
      <c r="L133">
        <f t="shared" ref="L133:L196" si="48">I133+K133</f>
        <v>0</v>
      </c>
      <c r="M133">
        <f t="shared" si="42"/>
        <v>0</v>
      </c>
      <c r="N133" s="29">
        <f t="shared" ref="N133:N196" si="49">IF($I133+$M133=0,L133,0)</f>
        <v>0</v>
      </c>
      <c r="O133" s="29">
        <f t="shared" si="43"/>
        <v>0</v>
      </c>
      <c r="P133" s="29">
        <f t="shared" ref="P133:P196" si="50">$I133+$M133+O133</f>
        <v>0</v>
      </c>
      <c r="Q133">
        <f t="shared" ref="Q133:Q196" si="51">IF(P133&lt;H133,H133,0)</f>
        <v>0</v>
      </c>
      <c r="R133" s="29">
        <f t="shared" ref="R133:R196" si="52">IF($I133+$M133+$Q133=0,P133,0)</f>
        <v>0</v>
      </c>
      <c r="S133" s="29">
        <f t="shared" si="44"/>
        <v>0</v>
      </c>
      <c r="T133" s="29">
        <f t="shared" ref="T133:T196" si="53">$I133+$M133+$Q133+S133</f>
        <v>0</v>
      </c>
      <c r="U133">
        <f t="shared" ref="U133:U196" si="54">IF(T133&lt;H133,H133,0)</f>
        <v>0</v>
      </c>
      <c r="V133" s="29">
        <f t="shared" ref="V133:V196" si="55">IF($I133+$M133+$Q133+U133=0,T133,0)</f>
        <v>0</v>
      </c>
      <c r="W133" s="29">
        <f t="shared" si="45"/>
        <v>0</v>
      </c>
      <c r="X133" s="29">
        <f t="shared" ref="X133:X196" si="56">$I133+$M133+$Q133+$U133+W133</f>
        <v>0</v>
      </c>
      <c r="Y133">
        <f t="shared" ref="Y133:Y196" si="57">IF(X133&lt;H133,H133,0)</f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allocations'!$A$1:$L$317,3,FALSE)</f>
        <v>71623.720276266133</v>
      </c>
      <c r="E134" s="31">
        <f>VLOOKUP(B134,'Initial adjusted formula count'!$A$1:$P$317,12,FALSE)</f>
        <v>0.21531100478468901</v>
      </c>
      <c r="F134">
        <f>VLOOKUP(B134,'Model allocations'!$A$1:$L$317,8,FALSE)</f>
        <v>78208.258425764507</v>
      </c>
      <c r="G134" s="30">
        <f t="shared" si="46"/>
        <v>0.9</v>
      </c>
      <c r="H134">
        <f t="shared" si="47"/>
        <v>64461.348248639522</v>
      </c>
      <c r="I134">
        <f t="shared" si="39"/>
        <v>0</v>
      </c>
      <c r="J134">
        <f t="shared" si="40"/>
        <v>78208.258425764507</v>
      </c>
      <c r="K134">
        <f t="shared" si="41"/>
        <v>78172.533202861232</v>
      </c>
      <c r="L134">
        <f t="shared" si="48"/>
        <v>78172.533202861232</v>
      </c>
      <c r="M134">
        <f t="shared" si="42"/>
        <v>0</v>
      </c>
      <c r="N134" s="29">
        <f t="shared" si="49"/>
        <v>78172.533202861232</v>
      </c>
      <c r="O134" s="29">
        <f t="shared" si="43"/>
        <v>78168.568257381528</v>
      </c>
      <c r="P134" s="29">
        <f t="shared" si="50"/>
        <v>78168.568257381528</v>
      </c>
      <c r="Q134">
        <f t="shared" si="51"/>
        <v>0</v>
      </c>
      <c r="R134" s="29">
        <f t="shared" si="52"/>
        <v>78168.568257381528</v>
      </c>
      <c r="S134" s="29">
        <f t="shared" si="44"/>
        <v>78168.568257381572</v>
      </c>
      <c r="T134" s="29">
        <f t="shared" si="53"/>
        <v>78168.568257381572</v>
      </c>
      <c r="U134">
        <f t="shared" si="54"/>
        <v>0</v>
      </c>
      <c r="V134" s="29">
        <f t="shared" si="55"/>
        <v>78168.568257381572</v>
      </c>
      <c r="W134" s="29">
        <f t="shared" si="45"/>
        <v>78168.568257381587</v>
      </c>
      <c r="X134" s="29">
        <f t="shared" si="56"/>
        <v>78168.568257381587</v>
      </c>
      <c r="Y134">
        <f t="shared" si="57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allocations'!$A$1:$L$317,3,FALSE)</f>
        <v>288426.75180354732</v>
      </c>
      <c r="E135" s="31">
        <f>VLOOKUP(B135,'Initial adjusted formula count'!$A$1:$P$317,12,FALSE)</f>
        <v>8.0220032088012802E-2</v>
      </c>
      <c r="F135">
        <f>VLOOKUP(B135,'Model allocations'!$A$1:$L$317,8,FALSE)</f>
        <v>304143.2272113064</v>
      </c>
      <c r="G135" s="30">
        <f t="shared" si="46"/>
        <v>0.85</v>
      </c>
      <c r="H135">
        <f t="shared" si="47"/>
        <v>245162.73903301521</v>
      </c>
      <c r="I135">
        <f t="shared" si="39"/>
        <v>0</v>
      </c>
      <c r="J135">
        <f t="shared" si="40"/>
        <v>304143.2272113064</v>
      </c>
      <c r="K135">
        <f t="shared" si="41"/>
        <v>304004.29578890471</v>
      </c>
      <c r="L135">
        <f t="shared" si="48"/>
        <v>304004.29578890471</v>
      </c>
      <c r="M135">
        <f t="shared" si="42"/>
        <v>0</v>
      </c>
      <c r="N135" s="29">
        <f t="shared" si="49"/>
        <v>304004.29578890471</v>
      </c>
      <c r="O135" s="29">
        <f t="shared" si="43"/>
        <v>303988.87655648362</v>
      </c>
      <c r="P135" s="29">
        <f t="shared" si="50"/>
        <v>303988.87655648362</v>
      </c>
      <c r="Q135">
        <f t="shared" si="51"/>
        <v>0</v>
      </c>
      <c r="R135" s="29">
        <f t="shared" si="52"/>
        <v>303988.87655648362</v>
      </c>
      <c r="S135" s="29">
        <f t="shared" si="44"/>
        <v>303988.8765564838</v>
      </c>
      <c r="T135" s="29">
        <f t="shared" si="53"/>
        <v>303988.8765564838</v>
      </c>
      <c r="U135">
        <f t="shared" si="54"/>
        <v>0</v>
      </c>
      <c r="V135" s="29">
        <f t="shared" si="55"/>
        <v>303988.8765564838</v>
      </c>
      <c r="W135" s="29">
        <f t="shared" si="45"/>
        <v>303988.87655648385</v>
      </c>
      <c r="X135" s="29">
        <f t="shared" si="56"/>
        <v>303988.87655648385</v>
      </c>
      <c r="Y135">
        <f t="shared" si="57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allocations'!$A$1:$L$317,3,FALSE)</f>
        <v>164326.95190744323</v>
      </c>
      <c r="E136" s="31">
        <f>VLOOKUP(B136,'Initial adjusted formula count'!$A$1:$P$317,12,FALSE)</f>
        <v>0.15584415584415601</v>
      </c>
      <c r="F136">
        <f>VLOOKUP(B136,'Model allocations'!$A$1:$L$317,8,FALSE)</f>
        <v>147894.2567166989</v>
      </c>
      <c r="G136" s="30">
        <f t="shared" si="46"/>
        <v>0.9</v>
      </c>
      <c r="H136">
        <f t="shared" si="47"/>
        <v>147894.2567166989</v>
      </c>
      <c r="I136">
        <f t="shared" si="39"/>
        <v>0</v>
      </c>
      <c r="J136">
        <f t="shared" si="40"/>
        <v>147894.2567166989</v>
      </c>
      <c r="K136">
        <f t="shared" si="41"/>
        <v>147826.69920559111</v>
      </c>
      <c r="L136">
        <f t="shared" si="48"/>
        <v>147826.69920559111</v>
      </c>
      <c r="M136">
        <f t="shared" si="42"/>
        <v>147894.2567166989</v>
      </c>
      <c r="N136" s="29">
        <f t="shared" si="49"/>
        <v>0</v>
      </c>
      <c r="O136" s="29">
        <f t="shared" si="43"/>
        <v>0</v>
      </c>
      <c r="P136" s="29">
        <f t="shared" si="50"/>
        <v>147894.2567166989</v>
      </c>
      <c r="Q136">
        <f t="shared" si="51"/>
        <v>0</v>
      </c>
      <c r="R136" s="29">
        <f t="shared" si="52"/>
        <v>0</v>
      </c>
      <c r="S136" s="29">
        <f t="shared" si="44"/>
        <v>0</v>
      </c>
      <c r="T136" s="29">
        <f t="shared" si="53"/>
        <v>147894.2567166989</v>
      </c>
      <c r="U136">
        <f t="shared" si="54"/>
        <v>0</v>
      </c>
      <c r="V136" s="29">
        <f t="shared" si="55"/>
        <v>0</v>
      </c>
      <c r="W136" s="29">
        <f t="shared" si="45"/>
        <v>0</v>
      </c>
      <c r="X136" s="29">
        <f t="shared" si="56"/>
        <v>147894.2567166989</v>
      </c>
      <c r="Y136">
        <f t="shared" si="57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allocations'!$A$1:$L$317,3,FALSE)</f>
        <v>19632.409156375907</v>
      </c>
      <c r="E137" s="31">
        <f>VLOOKUP(B137,'Initial adjusted formula count'!$A$1:$P$317,12,FALSE)</f>
        <v>0.127906976744186</v>
      </c>
      <c r="F137">
        <f>VLOOKUP(B137,'Model allocations'!$A$1:$L$317,8,FALSE)</f>
        <v>16687.547782919519</v>
      </c>
      <c r="G137" s="30">
        <f t="shared" si="46"/>
        <v>0.85</v>
      </c>
      <c r="H137">
        <f t="shared" si="47"/>
        <v>16687.547782919519</v>
      </c>
      <c r="I137">
        <f t="shared" si="39"/>
        <v>0</v>
      </c>
      <c r="J137">
        <f t="shared" si="40"/>
        <v>16687.547782919519</v>
      </c>
      <c r="K137">
        <f t="shared" si="41"/>
        <v>16679.924977141021</v>
      </c>
      <c r="L137">
        <f t="shared" si="48"/>
        <v>16679.924977141021</v>
      </c>
      <c r="M137">
        <f t="shared" si="42"/>
        <v>16687.547782919519</v>
      </c>
      <c r="N137" s="29">
        <f t="shared" si="49"/>
        <v>0</v>
      </c>
      <c r="O137" s="29">
        <f t="shared" si="43"/>
        <v>0</v>
      </c>
      <c r="P137" s="29">
        <f t="shared" si="50"/>
        <v>16687.547782919519</v>
      </c>
      <c r="Q137">
        <f t="shared" si="51"/>
        <v>0</v>
      </c>
      <c r="R137" s="29">
        <f t="shared" si="52"/>
        <v>0</v>
      </c>
      <c r="S137" s="29">
        <f t="shared" si="44"/>
        <v>0</v>
      </c>
      <c r="T137" s="29">
        <f t="shared" si="53"/>
        <v>16687.547782919519</v>
      </c>
      <c r="U137">
        <f t="shared" si="54"/>
        <v>0</v>
      </c>
      <c r="V137" s="29">
        <f t="shared" si="55"/>
        <v>0</v>
      </c>
      <c r="W137" s="29">
        <f t="shared" si="45"/>
        <v>0</v>
      </c>
      <c r="X137" s="29">
        <f t="shared" si="56"/>
        <v>16687.547782919519</v>
      </c>
      <c r="Y137">
        <f t="shared" si="57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allocations'!$A$1:$L$317,3,FALSE)</f>
        <v>103242.06402561882</v>
      </c>
      <c r="E138" s="31">
        <f>VLOOKUP(B138,'Initial adjusted formula count'!$A$1:$P$317,12,FALSE)</f>
        <v>0.167752442996743</v>
      </c>
      <c r="F138">
        <f>VLOOKUP(B138,'Model allocations'!$A$1:$L$317,8,FALSE)</f>
        <v>92917.857623056945</v>
      </c>
      <c r="G138" s="30">
        <f t="shared" si="46"/>
        <v>0.9</v>
      </c>
      <c r="H138">
        <f t="shared" si="47"/>
        <v>92917.857623056945</v>
      </c>
      <c r="I138">
        <f t="shared" si="39"/>
        <v>0</v>
      </c>
      <c r="J138">
        <f t="shared" si="40"/>
        <v>92917.857623056945</v>
      </c>
      <c r="K138">
        <f t="shared" si="41"/>
        <v>92875.413113460425</v>
      </c>
      <c r="L138">
        <f t="shared" si="48"/>
        <v>92875.413113460425</v>
      </c>
      <c r="M138">
        <f t="shared" si="42"/>
        <v>92917.857623056945</v>
      </c>
      <c r="N138" s="29">
        <f t="shared" si="49"/>
        <v>0</v>
      </c>
      <c r="O138" s="29">
        <f t="shared" si="43"/>
        <v>0</v>
      </c>
      <c r="P138" s="29">
        <f t="shared" si="50"/>
        <v>92917.857623056945</v>
      </c>
      <c r="Q138">
        <f t="shared" si="51"/>
        <v>0</v>
      </c>
      <c r="R138" s="29">
        <f t="shared" si="52"/>
        <v>0</v>
      </c>
      <c r="S138" s="29">
        <f t="shared" si="44"/>
        <v>0</v>
      </c>
      <c r="T138" s="29">
        <f t="shared" si="53"/>
        <v>92917.857623056945</v>
      </c>
      <c r="U138">
        <f t="shared" si="54"/>
        <v>0</v>
      </c>
      <c r="V138" s="29">
        <f t="shared" si="55"/>
        <v>0</v>
      </c>
      <c r="W138" s="29">
        <f t="shared" si="45"/>
        <v>0</v>
      </c>
      <c r="X138" s="29">
        <f t="shared" si="56"/>
        <v>92917.857623056945</v>
      </c>
      <c r="Y138">
        <f t="shared" si="57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allocations'!$A$1:$L$317,3,FALSE)</f>
        <v>41368.872918188186</v>
      </c>
      <c r="E139" s="31">
        <f>VLOOKUP(B139,'Initial adjusted formula count'!$A$1:$P$317,12,FALSE)</f>
        <v>0.120192307692308</v>
      </c>
      <c r="F139">
        <f>VLOOKUP(B139,'Model allocations'!$A$1:$L$317,8,FALSE)</f>
        <v>35163.541980459959</v>
      </c>
      <c r="G139" s="30">
        <f t="shared" si="46"/>
        <v>0.85</v>
      </c>
      <c r="H139">
        <f t="shared" si="47"/>
        <v>35163.541980459959</v>
      </c>
      <c r="I139">
        <f t="shared" si="39"/>
        <v>0</v>
      </c>
      <c r="J139">
        <f t="shared" si="40"/>
        <v>35163.541980459959</v>
      </c>
      <c r="K139">
        <f t="shared" si="41"/>
        <v>35147.479413659377</v>
      </c>
      <c r="L139">
        <f t="shared" si="48"/>
        <v>35147.479413659377</v>
      </c>
      <c r="M139">
        <f t="shared" si="42"/>
        <v>35163.541980459959</v>
      </c>
      <c r="N139" s="29">
        <f t="shared" si="49"/>
        <v>0</v>
      </c>
      <c r="O139" s="29">
        <f t="shared" si="43"/>
        <v>0</v>
      </c>
      <c r="P139" s="29">
        <f t="shared" si="50"/>
        <v>35163.541980459959</v>
      </c>
      <c r="Q139">
        <f t="shared" si="51"/>
        <v>0</v>
      </c>
      <c r="R139" s="29">
        <f t="shared" si="52"/>
        <v>0</v>
      </c>
      <c r="S139" s="29">
        <f t="shared" si="44"/>
        <v>0</v>
      </c>
      <c r="T139" s="29">
        <f t="shared" si="53"/>
        <v>35163.541980459959</v>
      </c>
      <c r="U139">
        <f t="shared" si="54"/>
        <v>0</v>
      </c>
      <c r="V139" s="29">
        <f t="shared" si="55"/>
        <v>0</v>
      </c>
      <c r="W139" s="29">
        <f t="shared" si="45"/>
        <v>0</v>
      </c>
      <c r="X139" s="29">
        <f t="shared" si="56"/>
        <v>35163.541980459959</v>
      </c>
      <c r="Y139">
        <f t="shared" si="57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allocations'!$A$1:$L$317,3,FALSE)</f>
        <v>125611.17789783623</v>
      </c>
      <c r="E140" s="31">
        <f>VLOOKUP(B140,'Initial adjusted formula count'!$A$1:$P$317,12,FALSE)</f>
        <v>0.18012422360248401</v>
      </c>
      <c r="F140">
        <f>VLOOKUP(B140,'Model allocations'!$A$1:$L$317,8,FALSE)</f>
        <v>113050.06010805261</v>
      </c>
      <c r="G140" s="30">
        <f t="shared" si="46"/>
        <v>0.9</v>
      </c>
      <c r="H140">
        <f t="shared" si="47"/>
        <v>113050.06010805261</v>
      </c>
      <c r="I140">
        <f t="shared" si="39"/>
        <v>0</v>
      </c>
      <c r="J140">
        <f t="shared" si="40"/>
        <v>113050.06010805261</v>
      </c>
      <c r="K140">
        <f t="shared" si="41"/>
        <v>112998.41928804351</v>
      </c>
      <c r="L140">
        <f t="shared" si="48"/>
        <v>112998.41928804351</v>
      </c>
      <c r="M140">
        <f t="shared" si="42"/>
        <v>113050.06010805261</v>
      </c>
      <c r="N140" s="29">
        <f t="shared" si="49"/>
        <v>0</v>
      </c>
      <c r="O140" s="29">
        <f t="shared" si="43"/>
        <v>0</v>
      </c>
      <c r="P140" s="29">
        <f t="shared" si="50"/>
        <v>113050.06010805261</v>
      </c>
      <c r="Q140">
        <f t="shared" si="51"/>
        <v>0</v>
      </c>
      <c r="R140" s="29">
        <f t="shared" si="52"/>
        <v>0</v>
      </c>
      <c r="S140" s="29">
        <f t="shared" si="44"/>
        <v>0</v>
      </c>
      <c r="T140" s="29">
        <f t="shared" si="53"/>
        <v>113050.06010805261</v>
      </c>
      <c r="U140">
        <f t="shared" si="54"/>
        <v>0</v>
      </c>
      <c r="V140" s="29">
        <f t="shared" si="55"/>
        <v>0</v>
      </c>
      <c r="W140" s="29">
        <f t="shared" si="45"/>
        <v>0</v>
      </c>
      <c r="X140" s="29">
        <f t="shared" si="56"/>
        <v>113050.06010805261</v>
      </c>
      <c r="Y140">
        <f t="shared" si="57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allocations'!$A$1:$L$317,3,FALSE)</f>
        <v>1294827.5529879692</v>
      </c>
      <c r="E141" s="31">
        <f>VLOOKUP(B141,'Initial adjusted formula count'!$A$1:$P$317,12,FALSE)</f>
        <v>0.114197530864198</v>
      </c>
      <c r="F141">
        <f>VLOOKUP(B141,'Model allocations'!$A$1:$L$317,8,FALSE)</f>
        <v>1253939.0767597572</v>
      </c>
      <c r="G141" s="30">
        <f t="shared" si="46"/>
        <v>0.85</v>
      </c>
      <c r="H141">
        <f t="shared" si="47"/>
        <v>1100603.4200397739</v>
      </c>
      <c r="I141">
        <f t="shared" si="39"/>
        <v>0</v>
      </c>
      <c r="J141">
        <f t="shared" si="40"/>
        <v>1253939.0767597572</v>
      </c>
      <c r="K141">
        <f t="shared" si="41"/>
        <v>1253366.2823525413</v>
      </c>
      <c r="L141">
        <f t="shared" si="48"/>
        <v>1253366.2823525413</v>
      </c>
      <c r="M141">
        <f t="shared" si="42"/>
        <v>0</v>
      </c>
      <c r="N141" s="29">
        <f t="shared" si="49"/>
        <v>1253366.2823525413</v>
      </c>
      <c r="O141" s="29">
        <f t="shared" si="43"/>
        <v>1253302.7110600169</v>
      </c>
      <c r="P141" s="29">
        <f t="shared" si="50"/>
        <v>1253302.7110600169</v>
      </c>
      <c r="Q141">
        <f t="shared" si="51"/>
        <v>0</v>
      </c>
      <c r="R141" s="29">
        <f t="shared" si="52"/>
        <v>1253302.7110600169</v>
      </c>
      <c r="S141" s="29">
        <f t="shared" si="44"/>
        <v>1253302.7110600176</v>
      </c>
      <c r="T141" s="29">
        <f t="shared" si="53"/>
        <v>1253302.7110600176</v>
      </c>
      <c r="U141">
        <f t="shared" si="54"/>
        <v>0</v>
      </c>
      <c r="V141" s="29">
        <f t="shared" si="55"/>
        <v>1253302.7110600176</v>
      </c>
      <c r="W141" s="29">
        <f t="shared" si="45"/>
        <v>1253302.7110600178</v>
      </c>
      <c r="X141" s="29">
        <f t="shared" si="56"/>
        <v>1253302.7110600178</v>
      </c>
      <c r="Y141">
        <f t="shared" si="57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allocations'!$A$1:$L$317,3,FALSE)</f>
        <v>64526.290016011735</v>
      </c>
      <c r="E142" s="31">
        <f>VLOOKUP(B142,'Initial adjusted formula count'!$A$1:$P$317,12,FALSE)</f>
        <v>8.2024432809773104E-2</v>
      </c>
      <c r="F142">
        <f>VLOOKUP(B142,'Model allocations'!$A$1:$L$317,8,FALSE)</f>
        <v>54847.346513609977</v>
      </c>
      <c r="G142" s="30">
        <f t="shared" si="46"/>
        <v>0.85</v>
      </c>
      <c r="H142">
        <f t="shared" si="47"/>
        <v>54847.346513609977</v>
      </c>
      <c r="I142">
        <f t="shared" si="39"/>
        <v>0</v>
      </c>
      <c r="J142">
        <f t="shared" si="40"/>
        <v>54847.346513609977</v>
      </c>
      <c r="K142">
        <f t="shared" si="41"/>
        <v>54822.292462806472</v>
      </c>
      <c r="L142">
        <f t="shared" si="48"/>
        <v>54822.292462806472</v>
      </c>
      <c r="M142">
        <f t="shared" si="42"/>
        <v>54847.346513609977</v>
      </c>
      <c r="N142" s="29">
        <f t="shared" si="49"/>
        <v>0</v>
      </c>
      <c r="O142" s="29">
        <f t="shared" si="43"/>
        <v>0</v>
      </c>
      <c r="P142" s="29">
        <f t="shared" si="50"/>
        <v>54847.346513609977</v>
      </c>
      <c r="Q142">
        <f t="shared" si="51"/>
        <v>0</v>
      </c>
      <c r="R142" s="29">
        <f t="shared" si="52"/>
        <v>0</v>
      </c>
      <c r="S142" s="29">
        <f t="shared" si="44"/>
        <v>0</v>
      </c>
      <c r="T142" s="29">
        <f t="shared" si="53"/>
        <v>54847.346513609977</v>
      </c>
      <c r="U142">
        <f t="shared" si="54"/>
        <v>0</v>
      </c>
      <c r="V142" s="29">
        <f t="shared" si="55"/>
        <v>0</v>
      </c>
      <c r="W142" s="29">
        <f t="shared" si="45"/>
        <v>0</v>
      </c>
      <c r="X142" s="29">
        <f t="shared" si="56"/>
        <v>54847.346513609977</v>
      </c>
      <c r="Y142">
        <f t="shared" si="57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allocations'!$A$1:$L$317,3,FALSE)</f>
        <v>887881.75062032172</v>
      </c>
      <c r="E143" s="31">
        <f>VLOOKUP(B143,'Initial adjusted formula count'!$A$1:$P$317,12,FALSE)</f>
        <v>7.4355584930601404E-2</v>
      </c>
      <c r="F143">
        <f>VLOOKUP(B143,'Model allocations'!$A$1:$L$317,8,FALSE)</f>
        <v>782082.58425764472</v>
      </c>
      <c r="G143" s="30">
        <f t="shared" si="46"/>
        <v>0.85</v>
      </c>
      <c r="H143">
        <f t="shared" si="47"/>
        <v>754699.48802727344</v>
      </c>
      <c r="I143">
        <f t="shared" si="39"/>
        <v>0</v>
      </c>
      <c r="J143">
        <f t="shared" si="40"/>
        <v>782082.58425764472</v>
      </c>
      <c r="K143">
        <f t="shared" si="41"/>
        <v>781725.3320286118</v>
      </c>
      <c r="L143">
        <f t="shared" si="48"/>
        <v>781725.3320286118</v>
      </c>
      <c r="M143">
        <f t="shared" si="42"/>
        <v>0</v>
      </c>
      <c r="N143" s="29">
        <f t="shared" si="49"/>
        <v>781725.3320286118</v>
      </c>
      <c r="O143" s="29">
        <f t="shared" si="43"/>
        <v>781685.68257381476</v>
      </c>
      <c r="P143" s="29">
        <f t="shared" si="50"/>
        <v>781685.68257381476</v>
      </c>
      <c r="Q143">
        <f t="shared" si="51"/>
        <v>0</v>
      </c>
      <c r="R143" s="29">
        <f t="shared" si="52"/>
        <v>781685.68257381476</v>
      </c>
      <c r="S143" s="29">
        <f t="shared" si="44"/>
        <v>781685.68257381523</v>
      </c>
      <c r="T143" s="29">
        <f t="shared" si="53"/>
        <v>781685.68257381523</v>
      </c>
      <c r="U143">
        <f t="shared" si="54"/>
        <v>0</v>
      </c>
      <c r="V143" s="29">
        <f t="shared" si="55"/>
        <v>781685.68257381523</v>
      </c>
      <c r="W143" s="29">
        <f t="shared" si="45"/>
        <v>781685.68257381534</v>
      </c>
      <c r="X143" s="29">
        <f t="shared" si="56"/>
        <v>781685.68257381534</v>
      </c>
      <c r="Y143">
        <f t="shared" si="57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allocations'!$A$1:$L$317,3,FALSE)</f>
        <v>180673.61204483293</v>
      </c>
      <c r="E144" s="31">
        <f>VLOOKUP(B144,'Initial adjusted formula count'!$A$1:$P$317,12,FALSE)</f>
        <v>9.3715545755236995E-2</v>
      </c>
      <c r="F144">
        <f>VLOOKUP(B144,'Model allocations'!$A$1:$L$317,8,FALSE)</f>
        <v>153572.57023810799</v>
      </c>
      <c r="G144" s="30">
        <f t="shared" si="46"/>
        <v>0.85</v>
      </c>
      <c r="H144">
        <f t="shared" si="47"/>
        <v>153572.57023810799</v>
      </c>
      <c r="I144">
        <f t="shared" si="39"/>
        <v>0</v>
      </c>
      <c r="J144">
        <f t="shared" si="40"/>
        <v>153572.57023810799</v>
      </c>
      <c r="K144">
        <f t="shared" si="41"/>
        <v>153502.41889585819</v>
      </c>
      <c r="L144">
        <f t="shared" si="48"/>
        <v>153502.41889585819</v>
      </c>
      <c r="M144">
        <f t="shared" si="42"/>
        <v>153572.57023810799</v>
      </c>
      <c r="N144" s="29">
        <f t="shared" si="49"/>
        <v>0</v>
      </c>
      <c r="O144" s="29">
        <f t="shared" si="43"/>
        <v>0</v>
      </c>
      <c r="P144" s="29">
        <f t="shared" si="50"/>
        <v>153572.57023810799</v>
      </c>
      <c r="Q144">
        <f t="shared" si="51"/>
        <v>0</v>
      </c>
      <c r="R144" s="29">
        <f t="shared" si="52"/>
        <v>0</v>
      </c>
      <c r="S144" s="29">
        <f t="shared" si="44"/>
        <v>0</v>
      </c>
      <c r="T144" s="29">
        <f t="shared" si="53"/>
        <v>153572.57023810799</v>
      </c>
      <c r="U144">
        <f t="shared" si="54"/>
        <v>0</v>
      </c>
      <c r="V144" s="29">
        <f t="shared" si="55"/>
        <v>0</v>
      </c>
      <c r="W144" s="29">
        <f t="shared" si="45"/>
        <v>0</v>
      </c>
      <c r="X144" s="29">
        <f t="shared" si="56"/>
        <v>153572.57023810799</v>
      </c>
      <c r="Y144">
        <f t="shared" si="57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allocations'!$A$1:$L$317,3,FALSE)</f>
        <v>126358.38650441123</v>
      </c>
      <c r="E145" s="31">
        <f>VLOOKUP(B145,'Initial adjusted formula count'!$A$1:$P$317,12,FALSE)</f>
        <v>3.06122448979592E-2</v>
      </c>
      <c r="F145">
        <f>VLOOKUP(B145,'Model allocations'!$A$1:$L$317,8,FALSE)</f>
        <v>130347.09737627412</v>
      </c>
      <c r="G145" s="30">
        <f t="shared" si="46"/>
        <v>0.85</v>
      </c>
      <c r="H145">
        <f t="shared" si="47"/>
        <v>107404.62852874954</v>
      </c>
      <c r="I145">
        <f t="shared" si="39"/>
        <v>0</v>
      </c>
      <c r="J145">
        <f t="shared" si="40"/>
        <v>130347.09737627412</v>
      </c>
      <c r="K145">
        <f t="shared" si="41"/>
        <v>130287.55533810199</v>
      </c>
      <c r="L145">
        <f t="shared" si="48"/>
        <v>130287.55533810199</v>
      </c>
      <c r="M145">
        <f t="shared" si="42"/>
        <v>0</v>
      </c>
      <c r="N145" s="29">
        <f t="shared" si="49"/>
        <v>130287.55533810199</v>
      </c>
      <c r="O145" s="29">
        <f t="shared" si="43"/>
        <v>130280.94709563581</v>
      </c>
      <c r="P145" s="29">
        <f t="shared" si="50"/>
        <v>130280.94709563581</v>
      </c>
      <c r="Q145">
        <f t="shared" si="51"/>
        <v>0</v>
      </c>
      <c r="R145" s="29">
        <f t="shared" si="52"/>
        <v>130280.94709563581</v>
      </c>
      <c r="S145" s="29">
        <f t="shared" si="44"/>
        <v>130280.94709563589</v>
      </c>
      <c r="T145" s="29">
        <f t="shared" si="53"/>
        <v>130280.94709563589</v>
      </c>
      <c r="U145">
        <f t="shared" si="54"/>
        <v>0</v>
      </c>
      <c r="V145" s="29">
        <f t="shared" si="55"/>
        <v>130280.94709563589</v>
      </c>
      <c r="W145" s="29">
        <f t="shared" si="45"/>
        <v>130280.94709563591</v>
      </c>
      <c r="X145" s="29">
        <f t="shared" si="56"/>
        <v>130280.94709563591</v>
      </c>
      <c r="Y145">
        <f t="shared" si="57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allocations'!$A$1:$L$317,3,FALSE)</f>
        <v>178952.91097773926</v>
      </c>
      <c r="E146" s="31">
        <f>VLOOKUP(B146,'Initial adjusted formula count'!$A$1:$P$317,12,FALSE)</f>
        <v>0.12697483908718499</v>
      </c>
      <c r="F146">
        <f>VLOOKUP(B146,'Model allocations'!$A$1:$L$317,8,FALSE)</f>
        <v>188568.80087100988</v>
      </c>
      <c r="G146" s="30">
        <f t="shared" si="46"/>
        <v>0.85</v>
      </c>
      <c r="H146">
        <f t="shared" si="47"/>
        <v>152109.97433107835</v>
      </c>
      <c r="I146">
        <f t="shared" si="39"/>
        <v>0</v>
      </c>
      <c r="J146">
        <f t="shared" si="40"/>
        <v>188568.80087100988</v>
      </c>
      <c r="K146">
        <f t="shared" si="41"/>
        <v>188482.66338912086</v>
      </c>
      <c r="L146">
        <f t="shared" si="48"/>
        <v>188482.66338912086</v>
      </c>
      <c r="M146">
        <f t="shared" si="42"/>
        <v>0</v>
      </c>
      <c r="N146" s="29">
        <f t="shared" si="49"/>
        <v>188482.66338912086</v>
      </c>
      <c r="O146" s="29">
        <f t="shared" si="43"/>
        <v>188473.10346501981</v>
      </c>
      <c r="P146" s="29">
        <f t="shared" si="50"/>
        <v>188473.10346501981</v>
      </c>
      <c r="Q146">
        <f t="shared" si="51"/>
        <v>0</v>
      </c>
      <c r="R146" s="29">
        <f t="shared" si="52"/>
        <v>188473.10346501981</v>
      </c>
      <c r="S146" s="29">
        <f t="shared" si="44"/>
        <v>188473.10346501993</v>
      </c>
      <c r="T146" s="29">
        <f t="shared" si="53"/>
        <v>188473.10346501993</v>
      </c>
      <c r="U146">
        <f t="shared" si="54"/>
        <v>0</v>
      </c>
      <c r="V146" s="29">
        <f t="shared" si="55"/>
        <v>188473.10346501993</v>
      </c>
      <c r="W146" s="29">
        <f t="shared" si="45"/>
        <v>188473.10346501996</v>
      </c>
      <c r="X146" s="29">
        <f t="shared" si="56"/>
        <v>188473.10346501996</v>
      </c>
      <c r="Y146">
        <f t="shared" si="57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allocations'!$A$1:$L$317,3,FALSE)</f>
        <v>71150.931113684783</v>
      </c>
      <c r="E147" s="31">
        <f>VLOOKUP(B147,'Initial adjusted formula count'!$A$1:$P$317,12,FALSE)</f>
        <v>0.154121863799283</v>
      </c>
      <c r="F147">
        <f>VLOOKUP(B147,'Model allocations'!$A$1:$L$317,8,FALSE)</f>
        <v>112098.50374359573</v>
      </c>
      <c r="G147" s="30">
        <f t="shared" si="46"/>
        <v>0.9</v>
      </c>
      <c r="H147">
        <f t="shared" si="47"/>
        <v>64035.838002316304</v>
      </c>
      <c r="I147">
        <f t="shared" si="39"/>
        <v>0</v>
      </c>
      <c r="J147">
        <f t="shared" si="40"/>
        <v>112098.50374359573</v>
      </c>
      <c r="K147">
        <f t="shared" si="41"/>
        <v>112047.29759076769</v>
      </c>
      <c r="L147">
        <f t="shared" si="48"/>
        <v>112047.29759076769</v>
      </c>
      <c r="M147">
        <f t="shared" si="42"/>
        <v>0</v>
      </c>
      <c r="N147" s="29">
        <f t="shared" si="49"/>
        <v>112047.29759076769</v>
      </c>
      <c r="O147" s="29">
        <f t="shared" si="43"/>
        <v>112041.6145022468</v>
      </c>
      <c r="P147" s="29">
        <f t="shared" si="50"/>
        <v>112041.6145022468</v>
      </c>
      <c r="Q147">
        <f t="shared" si="51"/>
        <v>0</v>
      </c>
      <c r="R147" s="29">
        <f t="shared" si="52"/>
        <v>112041.6145022468</v>
      </c>
      <c r="S147" s="29">
        <f t="shared" si="44"/>
        <v>112041.61450224686</v>
      </c>
      <c r="T147" s="29">
        <f t="shared" si="53"/>
        <v>112041.61450224686</v>
      </c>
      <c r="U147">
        <f t="shared" si="54"/>
        <v>0</v>
      </c>
      <c r="V147" s="29">
        <f t="shared" si="55"/>
        <v>112041.61450224686</v>
      </c>
      <c r="W147" s="29">
        <f t="shared" si="45"/>
        <v>112041.61450224686</v>
      </c>
      <c r="X147" s="29">
        <f t="shared" si="56"/>
        <v>112041.61450224686</v>
      </c>
      <c r="Y147">
        <f t="shared" si="57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allocations'!$A$1:$L$317,3,FALSE)</f>
        <v>15486.309603842823</v>
      </c>
      <c r="E148" s="31">
        <f>VLOOKUP(B148,'Initial adjusted formula count'!$A$1:$P$317,12,FALSE)</f>
        <v>0.17808219178082199</v>
      </c>
      <c r="F148">
        <f>VLOOKUP(B148,'Model allocations'!$A$1:$L$317,8,FALSE)</f>
        <v>13937.678643458541</v>
      </c>
      <c r="G148" s="30">
        <f t="shared" si="46"/>
        <v>0.9</v>
      </c>
      <c r="H148">
        <f t="shared" si="47"/>
        <v>13937.678643458541</v>
      </c>
      <c r="I148">
        <f t="shared" si="39"/>
        <v>0</v>
      </c>
      <c r="J148">
        <f t="shared" si="40"/>
        <v>13937.678643458541</v>
      </c>
      <c r="K148">
        <f t="shared" si="41"/>
        <v>13931.311967019063</v>
      </c>
      <c r="L148">
        <f t="shared" si="48"/>
        <v>13931.311967019063</v>
      </c>
      <c r="M148">
        <f t="shared" si="42"/>
        <v>13937.678643458541</v>
      </c>
      <c r="N148" s="29">
        <f t="shared" si="49"/>
        <v>0</v>
      </c>
      <c r="O148" s="29">
        <f t="shared" si="43"/>
        <v>0</v>
      </c>
      <c r="P148" s="29">
        <f t="shared" si="50"/>
        <v>13937.678643458541</v>
      </c>
      <c r="Q148">
        <f t="shared" si="51"/>
        <v>0</v>
      </c>
      <c r="R148" s="29">
        <f t="shared" si="52"/>
        <v>0</v>
      </c>
      <c r="S148" s="29">
        <f t="shared" si="44"/>
        <v>0</v>
      </c>
      <c r="T148" s="29">
        <f t="shared" si="53"/>
        <v>13937.678643458541</v>
      </c>
      <c r="U148">
        <f t="shared" si="54"/>
        <v>0</v>
      </c>
      <c r="V148" s="29">
        <f t="shared" si="55"/>
        <v>0</v>
      </c>
      <c r="W148" s="29">
        <f t="shared" si="45"/>
        <v>0</v>
      </c>
      <c r="X148" s="29">
        <f t="shared" si="56"/>
        <v>13937.678643458541</v>
      </c>
      <c r="Y148">
        <f t="shared" si="57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allocations'!$A$1:$L$317,3,FALSE)</f>
        <v>374252.48209286825</v>
      </c>
      <c r="E149" s="31">
        <f>VLOOKUP(B149,'Initial adjusted formula count'!$A$1:$P$317,12,FALSE)</f>
        <v>6.8399044205495793E-2</v>
      </c>
      <c r="F149">
        <f>VLOOKUP(B149,'Model allocations'!$A$1:$L$317,8,FALSE)</f>
        <v>397993.13732222375</v>
      </c>
      <c r="G149" s="30">
        <f t="shared" si="46"/>
        <v>0.85</v>
      </c>
      <c r="H149">
        <f t="shared" si="47"/>
        <v>318114.609778938</v>
      </c>
      <c r="I149">
        <f t="shared" si="39"/>
        <v>0</v>
      </c>
      <c r="J149">
        <f t="shared" si="40"/>
        <v>397993.13732222375</v>
      </c>
      <c r="K149">
        <f t="shared" si="41"/>
        <v>397811.33563233813</v>
      </c>
      <c r="L149">
        <f t="shared" si="48"/>
        <v>397811.33563233813</v>
      </c>
      <c r="M149">
        <f t="shared" si="42"/>
        <v>0</v>
      </c>
      <c r="N149" s="29">
        <f t="shared" si="49"/>
        <v>397811.33563233813</v>
      </c>
      <c r="O149" s="29">
        <f t="shared" si="43"/>
        <v>397791.15846534143</v>
      </c>
      <c r="P149" s="29">
        <f t="shared" si="50"/>
        <v>397791.15846534143</v>
      </c>
      <c r="Q149">
        <f t="shared" si="51"/>
        <v>0</v>
      </c>
      <c r="R149" s="29">
        <f t="shared" si="52"/>
        <v>397791.15846534143</v>
      </c>
      <c r="S149" s="29">
        <f t="shared" si="44"/>
        <v>397791.15846534166</v>
      </c>
      <c r="T149" s="29">
        <f t="shared" si="53"/>
        <v>397791.15846534166</v>
      </c>
      <c r="U149">
        <f t="shared" si="54"/>
        <v>0</v>
      </c>
      <c r="V149" s="29">
        <f t="shared" si="55"/>
        <v>397791.15846534166</v>
      </c>
      <c r="W149" s="29">
        <f t="shared" si="45"/>
        <v>397791.15846534172</v>
      </c>
      <c r="X149" s="29">
        <f t="shared" si="56"/>
        <v>397791.15846534172</v>
      </c>
      <c r="Y149">
        <f t="shared" si="57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allocations'!$A$1:$L$317,3,FALSE)</f>
        <v>183254.6636454734</v>
      </c>
      <c r="E150" s="31">
        <f>VLOOKUP(B150,'Initial adjusted formula count'!$A$1:$P$317,12,FALSE)</f>
        <v>9.4988780852655205E-2</v>
      </c>
      <c r="F150">
        <f>VLOOKUP(B150,'Model allocations'!$A$1:$L$317,8,FALSE)</f>
        <v>155766.46409865239</v>
      </c>
      <c r="G150" s="30">
        <f t="shared" si="46"/>
        <v>0.85</v>
      </c>
      <c r="H150">
        <f t="shared" si="47"/>
        <v>155766.46409865239</v>
      </c>
      <c r="I150">
        <f t="shared" si="39"/>
        <v>0</v>
      </c>
      <c r="J150">
        <f t="shared" si="40"/>
        <v>155766.46409865239</v>
      </c>
      <c r="K150">
        <f t="shared" si="41"/>
        <v>155695.31059437044</v>
      </c>
      <c r="L150">
        <f t="shared" si="48"/>
        <v>155695.31059437044</v>
      </c>
      <c r="M150">
        <f t="shared" si="42"/>
        <v>155766.46409865239</v>
      </c>
      <c r="N150" s="29">
        <f t="shared" si="49"/>
        <v>0</v>
      </c>
      <c r="O150" s="29">
        <f t="shared" si="43"/>
        <v>0</v>
      </c>
      <c r="P150" s="29">
        <f t="shared" si="50"/>
        <v>155766.46409865239</v>
      </c>
      <c r="Q150">
        <f t="shared" si="51"/>
        <v>0</v>
      </c>
      <c r="R150" s="29">
        <f t="shared" si="52"/>
        <v>0</v>
      </c>
      <c r="S150" s="29">
        <f t="shared" si="44"/>
        <v>0</v>
      </c>
      <c r="T150" s="29">
        <f t="shared" si="53"/>
        <v>155766.46409865239</v>
      </c>
      <c r="U150">
        <f t="shared" si="54"/>
        <v>0</v>
      </c>
      <c r="V150" s="29">
        <f t="shared" si="55"/>
        <v>0</v>
      </c>
      <c r="W150" s="29">
        <f t="shared" si="45"/>
        <v>0</v>
      </c>
      <c r="X150" s="29">
        <f t="shared" si="56"/>
        <v>155766.46409865239</v>
      </c>
      <c r="Y150">
        <f t="shared" si="57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allocations'!$A$1:$L$317,3,FALSE)</f>
        <v>45324.203854843152</v>
      </c>
      <c r="E151" s="31">
        <f>VLOOKUP(B151,'Initial adjusted formula count'!$A$1:$P$317,12,FALSE)</f>
        <v>0.124629080118694</v>
      </c>
      <c r="F151">
        <f>VLOOKUP(B151,'Model allocations'!$A$1:$L$317,8,FALSE)</f>
        <v>38525.573276616677</v>
      </c>
      <c r="G151" s="30">
        <f t="shared" si="46"/>
        <v>0.85</v>
      </c>
      <c r="H151">
        <f t="shared" si="47"/>
        <v>38525.573276616677</v>
      </c>
      <c r="I151">
        <f t="shared" si="39"/>
        <v>0</v>
      </c>
      <c r="J151">
        <f t="shared" si="40"/>
        <v>38525.573276616677</v>
      </c>
      <c r="K151">
        <f t="shared" si="41"/>
        <v>38507.974947226816</v>
      </c>
      <c r="L151">
        <f t="shared" si="48"/>
        <v>38507.974947226816</v>
      </c>
      <c r="M151">
        <f t="shared" si="42"/>
        <v>38525.573276616677</v>
      </c>
      <c r="N151" s="29">
        <f t="shared" si="49"/>
        <v>0</v>
      </c>
      <c r="O151" s="29">
        <f t="shared" si="43"/>
        <v>0</v>
      </c>
      <c r="P151" s="29">
        <f t="shared" si="50"/>
        <v>38525.573276616677</v>
      </c>
      <c r="Q151">
        <f t="shared" si="51"/>
        <v>0</v>
      </c>
      <c r="R151" s="29">
        <f t="shared" si="52"/>
        <v>0</v>
      </c>
      <c r="S151" s="29">
        <f t="shared" si="44"/>
        <v>0</v>
      </c>
      <c r="T151" s="29">
        <f t="shared" si="53"/>
        <v>38525.573276616677</v>
      </c>
      <c r="U151">
        <f t="shared" si="54"/>
        <v>0</v>
      </c>
      <c r="V151" s="29">
        <f t="shared" si="55"/>
        <v>0</v>
      </c>
      <c r="W151" s="29">
        <f t="shared" si="45"/>
        <v>0</v>
      </c>
      <c r="X151" s="29">
        <f t="shared" si="56"/>
        <v>38525.573276616677</v>
      </c>
      <c r="Y151">
        <f t="shared" si="57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allocations'!$A$1:$L$317,3,FALSE)</f>
        <v>1185563.0352275227</v>
      </c>
      <c r="E152" s="31">
        <f>VLOOKUP(B152,'Initial adjusted formula count'!$A$1:$P$317,12,FALSE)</f>
        <v>0.16554054054054099</v>
      </c>
      <c r="F152">
        <f>VLOOKUP(B152,'Model allocations'!$A$1:$L$317,8,FALSE)</f>
        <v>1405141.7097162353</v>
      </c>
      <c r="G152" s="30">
        <f t="shared" si="46"/>
        <v>0.9</v>
      </c>
      <c r="H152">
        <f t="shared" si="47"/>
        <v>1067006.7317047706</v>
      </c>
      <c r="I152">
        <f t="shared" si="39"/>
        <v>0</v>
      </c>
      <c r="J152">
        <f t="shared" si="40"/>
        <v>1405141.7097162353</v>
      </c>
      <c r="K152">
        <f t="shared" si="41"/>
        <v>1404499.8465447396</v>
      </c>
      <c r="L152">
        <f t="shared" si="48"/>
        <v>1404499.8465447396</v>
      </c>
      <c r="M152">
        <f t="shared" si="42"/>
        <v>0</v>
      </c>
      <c r="N152" s="29">
        <f t="shared" si="49"/>
        <v>1404499.8465447396</v>
      </c>
      <c r="O152" s="29">
        <f t="shared" si="43"/>
        <v>1404428.6096909544</v>
      </c>
      <c r="P152" s="29">
        <f t="shared" si="50"/>
        <v>1404428.6096909544</v>
      </c>
      <c r="Q152">
        <f t="shared" si="51"/>
        <v>0</v>
      </c>
      <c r="R152" s="29">
        <f t="shared" si="52"/>
        <v>1404428.6096909544</v>
      </c>
      <c r="S152" s="29">
        <f t="shared" si="44"/>
        <v>1404428.6096909554</v>
      </c>
      <c r="T152" s="29">
        <f t="shared" si="53"/>
        <v>1404428.6096909554</v>
      </c>
      <c r="U152">
        <f t="shared" si="54"/>
        <v>0</v>
      </c>
      <c r="V152" s="29">
        <f t="shared" si="55"/>
        <v>1404428.6096909554</v>
      </c>
      <c r="W152" s="29">
        <f t="shared" si="45"/>
        <v>1404428.6096909556</v>
      </c>
      <c r="X152" s="29">
        <f t="shared" si="56"/>
        <v>1404428.6096909556</v>
      </c>
      <c r="Y152">
        <f t="shared" si="57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allocations'!$A$1:$L$317,3,FALSE)</f>
        <v>106683.46615980611</v>
      </c>
      <c r="E153" s="31">
        <f>VLOOKUP(B153,'Initial adjusted formula count'!$A$1:$P$317,12,FALSE)</f>
        <v>9.6045197740112997E-2</v>
      </c>
      <c r="F153">
        <f>VLOOKUP(B153,'Model allocations'!$A$1:$L$317,8,FALSE)</f>
        <v>90680.946235835188</v>
      </c>
      <c r="G153" s="30">
        <f t="shared" si="46"/>
        <v>0.85</v>
      </c>
      <c r="H153">
        <f t="shared" si="47"/>
        <v>90680.946235835188</v>
      </c>
      <c r="I153">
        <f t="shared" si="39"/>
        <v>0</v>
      </c>
      <c r="J153">
        <f t="shared" si="40"/>
        <v>90680.946235835188</v>
      </c>
      <c r="K153">
        <f t="shared" si="41"/>
        <v>90639.523538506735</v>
      </c>
      <c r="L153">
        <f t="shared" si="48"/>
        <v>90639.523538506735</v>
      </c>
      <c r="M153">
        <f t="shared" si="42"/>
        <v>90680.946235835188</v>
      </c>
      <c r="N153" s="29">
        <f t="shared" si="49"/>
        <v>0</v>
      </c>
      <c r="O153" s="29">
        <f t="shared" si="43"/>
        <v>0</v>
      </c>
      <c r="P153" s="29">
        <f t="shared" si="50"/>
        <v>90680.946235835188</v>
      </c>
      <c r="Q153">
        <f t="shared" si="51"/>
        <v>0</v>
      </c>
      <c r="R153" s="29">
        <f t="shared" si="52"/>
        <v>0</v>
      </c>
      <c r="S153" s="29">
        <f t="shared" si="44"/>
        <v>0</v>
      </c>
      <c r="T153" s="29">
        <f t="shared" si="53"/>
        <v>90680.946235835188</v>
      </c>
      <c r="U153">
        <f t="shared" si="54"/>
        <v>0</v>
      </c>
      <c r="V153" s="29">
        <f t="shared" si="55"/>
        <v>0</v>
      </c>
      <c r="W153" s="29">
        <f t="shared" si="45"/>
        <v>0</v>
      </c>
      <c r="X153" s="29">
        <f t="shared" si="56"/>
        <v>90680.946235835188</v>
      </c>
      <c r="Y153">
        <f t="shared" si="57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allocations'!$A$1:$L$317,3,FALSE)</f>
        <v>228853.24192345503</v>
      </c>
      <c r="E154" s="31">
        <f>VLOOKUP(B154,'Initial adjusted formula count'!$A$1:$P$317,12,FALSE)</f>
        <v>0.1312625250501</v>
      </c>
      <c r="F154">
        <f>VLOOKUP(B154,'Model allocations'!$A$1:$L$317,8,FALSE)</f>
        <v>194525.25563493677</v>
      </c>
      <c r="G154" s="30">
        <f t="shared" si="46"/>
        <v>0.85</v>
      </c>
      <c r="H154">
        <f t="shared" si="47"/>
        <v>194525.25563493677</v>
      </c>
      <c r="I154">
        <f t="shared" si="39"/>
        <v>0</v>
      </c>
      <c r="J154">
        <f t="shared" si="40"/>
        <v>194525.25563493677</v>
      </c>
      <c r="K154">
        <f t="shared" si="41"/>
        <v>194436.39726808702</v>
      </c>
      <c r="L154">
        <f t="shared" si="48"/>
        <v>194436.39726808702</v>
      </c>
      <c r="M154">
        <f t="shared" si="42"/>
        <v>194525.25563493677</v>
      </c>
      <c r="N154" s="29">
        <f t="shared" si="49"/>
        <v>0</v>
      </c>
      <c r="O154" s="29">
        <f t="shared" si="43"/>
        <v>0</v>
      </c>
      <c r="P154" s="29">
        <f t="shared" si="50"/>
        <v>194525.25563493677</v>
      </c>
      <c r="Q154">
        <f t="shared" si="51"/>
        <v>0</v>
      </c>
      <c r="R154" s="29">
        <f t="shared" si="52"/>
        <v>0</v>
      </c>
      <c r="S154" s="29">
        <f t="shared" si="44"/>
        <v>0</v>
      </c>
      <c r="T154" s="29">
        <f t="shared" si="53"/>
        <v>194525.25563493677</v>
      </c>
      <c r="U154">
        <f t="shared" si="54"/>
        <v>0</v>
      </c>
      <c r="V154" s="29">
        <f t="shared" si="55"/>
        <v>0</v>
      </c>
      <c r="W154" s="29">
        <f t="shared" si="45"/>
        <v>0</v>
      </c>
      <c r="X154" s="29">
        <f t="shared" si="56"/>
        <v>194525.25563493677</v>
      </c>
      <c r="Y154">
        <f t="shared" si="57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allocations'!$A$1:$L$317,3,FALSE)</f>
        <v>291173.67324929539</v>
      </c>
      <c r="E155" s="31">
        <f>VLOOKUP(B155,'Initial adjusted formula count'!$A$1:$P$317,12,FALSE)</f>
        <v>0.111839410077837</v>
      </c>
      <c r="F155">
        <f>VLOOKUP(B155,'Model allocations'!$A$1:$L$317,8,FALSE)</f>
        <v>247497.62226190107</v>
      </c>
      <c r="G155" s="30">
        <f t="shared" si="46"/>
        <v>0.85</v>
      </c>
      <c r="H155">
        <f t="shared" si="47"/>
        <v>247497.62226190107</v>
      </c>
      <c r="I155">
        <f t="shared" si="39"/>
        <v>0</v>
      </c>
      <c r="J155">
        <f t="shared" si="40"/>
        <v>247497.62226190107</v>
      </c>
      <c r="K155">
        <f t="shared" si="41"/>
        <v>247384.5663276389</v>
      </c>
      <c r="L155">
        <f t="shared" si="48"/>
        <v>247384.5663276389</v>
      </c>
      <c r="M155">
        <f t="shared" si="42"/>
        <v>247497.62226190107</v>
      </c>
      <c r="N155" s="29">
        <f t="shared" si="49"/>
        <v>0</v>
      </c>
      <c r="O155" s="29">
        <f t="shared" si="43"/>
        <v>0</v>
      </c>
      <c r="P155" s="29">
        <f t="shared" si="50"/>
        <v>247497.62226190107</v>
      </c>
      <c r="Q155">
        <f t="shared" si="51"/>
        <v>0</v>
      </c>
      <c r="R155" s="29">
        <f t="shared" si="52"/>
        <v>0</v>
      </c>
      <c r="S155" s="29">
        <f t="shared" si="44"/>
        <v>0</v>
      </c>
      <c r="T155" s="29">
        <f t="shared" si="53"/>
        <v>247497.62226190107</v>
      </c>
      <c r="U155">
        <f t="shared" si="54"/>
        <v>0</v>
      </c>
      <c r="V155" s="29">
        <f t="shared" si="55"/>
        <v>0</v>
      </c>
      <c r="W155" s="29">
        <f t="shared" si="45"/>
        <v>0</v>
      </c>
      <c r="X155" s="29">
        <f t="shared" si="56"/>
        <v>247497.62226190107</v>
      </c>
      <c r="Y155">
        <f t="shared" si="57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allocations'!$A$1:$L$317,3,FALSE)</f>
        <v>0</v>
      </c>
      <c r="E156" s="31">
        <f>VLOOKUP(B156,'Initial adjusted formula count'!$A$1:$P$317,12,FALSE)</f>
        <v>4.8780487804878002E-2</v>
      </c>
      <c r="F156">
        <f>VLOOKUP(B156,'Model allocations'!$A$1:$L$317,8,FALSE)</f>
        <v>0</v>
      </c>
      <c r="G156" s="30">
        <f t="shared" si="46"/>
        <v>0.85</v>
      </c>
      <c r="H156">
        <f t="shared" si="47"/>
        <v>0</v>
      </c>
      <c r="I156">
        <f t="shared" si="39"/>
        <v>0</v>
      </c>
      <c r="J156">
        <f t="shared" si="40"/>
        <v>0</v>
      </c>
      <c r="K156">
        <f t="shared" si="41"/>
        <v>0</v>
      </c>
      <c r="L156">
        <f t="shared" si="48"/>
        <v>0</v>
      </c>
      <c r="M156">
        <f t="shared" si="42"/>
        <v>0</v>
      </c>
      <c r="N156" s="29">
        <f t="shared" si="49"/>
        <v>0</v>
      </c>
      <c r="O156" s="29">
        <f t="shared" si="43"/>
        <v>0</v>
      </c>
      <c r="P156" s="29">
        <f t="shared" si="50"/>
        <v>0</v>
      </c>
      <c r="Q156">
        <f t="shared" si="51"/>
        <v>0</v>
      </c>
      <c r="R156" s="29">
        <f t="shared" si="52"/>
        <v>0</v>
      </c>
      <c r="S156" s="29">
        <f t="shared" si="44"/>
        <v>0</v>
      </c>
      <c r="T156" s="29">
        <f t="shared" si="53"/>
        <v>0</v>
      </c>
      <c r="U156">
        <f t="shared" si="54"/>
        <v>0</v>
      </c>
      <c r="V156" s="29">
        <f t="shared" si="55"/>
        <v>0</v>
      </c>
      <c r="W156" s="29">
        <f t="shared" si="45"/>
        <v>0</v>
      </c>
      <c r="X156" s="29">
        <f t="shared" si="56"/>
        <v>0</v>
      </c>
      <c r="Y156">
        <f t="shared" si="57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allocations'!$A$1:$L$317,3,FALSE)</f>
        <v>801846.69726563944</v>
      </c>
      <c r="E157" s="31">
        <f>VLOOKUP(B157,'Initial adjusted formula count'!$A$1:$P$317,12,FALSE)</f>
        <v>0.13442136498516299</v>
      </c>
      <c r="F157">
        <f>VLOOKUP(B157,'Model allocations'!$A$1:$L$317,8,FALSE)</f>
        <v>787296.4681526958</v>
      </c>
      <c r="G157" s="30">
        <f t="shared" si="46"/>
        <v>0.85</v>
      </c>
      <c r="H157">
        <f t="shared" si="47"/>
        <v>681569.69267579354</v>
      </c>
      <c r="I157">
        <f t="shared" si="39"/>
        <v>0</v>
      </c>
      <c r="J157">
        <f t="shared" si="40"/>
        <v>787296.4681526958</v>
      </c>
      <c r="K157">
        <f t="shared" si="41"/>
        <v>786936.8342421361</v>
      </c>
      <c r="L157">
        <f t="shared" si="48"/>
        <v>786936.8342421361</v>
      </c>
      <c r="M157">
        <f t="shared" si="42"/>
        <v>0</v>
      </c>
      <c r="N157" s="29">
        <f t="shared" si="49"/>
        <v>786936.8342421361</v>
      </c>
      <c r="O157" s="29">
        <f t="shared" si="43"/>
        <v>786896.92045764043</v>
      </c>
      <c r="P157" s="29">
        <f t="shared" si="50"/>
        <v>786896.92045764043</v>
      </c>
      <c r="Q157">
        <f t="shared" si="51"/>
        <v>0</v>
      </c>
      <c r="R157" s="29">
        <f t="shared" si="52"/>
        <v>786896.92045764043</v>
      </c>
      <c r="S157" s="29">
        <f t="shared" si="44"/>
        <v>786896.9204576409</v>
      </c>
      <c r="T157" s="29">
        <f t="shared" si="53"/>
        <v>786896.9204576409</v>
      </c>
      <c r="U157">
        <f t="shared" si="54"/>
        <v>0</v>
      </c>
      <c r="V157" s="29">
        <f t="shared" si="55"/>
        <v>786896.9204576409</v>
      </c>
      <c r="W157" s="29">
        <f t="shared" si="45"/>
        <v>786896.92045764101</v>
      </c>
      <c r="X157" s="29">
        <f t="shared" si="56"/>
        <v>786896.92045764101</v>
      </c>
      <c r="Y157">
        <f t="shared" si="57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allocations'!$A$1:$L$317,3,FALSE)</f>
        <v>1996873.5883621771</v>
      </c>
      <c r="E158" s="31">
        <f>VLOOKUP(B158,'Initial adjusted formula count'!$A$1:$P$317,12,FALSE)</f>
        <v>0.144155235080314</v>
      </c>
      <c r="F158">
        <f>VLOOKUP(B158,'Model allocations'!$A$1:$L$317,8,FALSE)</f>
        <v>2136823.4163217209</v>
      </c>
      <c r="G158" s="30">
        <f t="shared" si="46"/>
        <v>0.85</v>
      </c>
      <c r="H158">
        <f t="shared" si="47"/>
        <v>1697342.5501078505</v>
      </c>
      <c r="I158">
        <f t="shared" si="39"/>
        <v>0</v>
      </c>
      <c r="J158">
        <f t="shared" si="40"/>
        <v>2136823.4163217209</v>
      </c>
      <c r="K158">
        <f t="shared" si="41"/>
        <v>2135847.3238426191</v>
      </c>
      <c r="L158">
        <f t="shared" si="48"/>
        <v>2135847.3238426191</v>
      </c>
      <c r="M158">
        <f t="shared" si="42"/>
        <v>0</v>
      </c>
      <c r="N158" s="29">
        <f t="shared" si="49"/>
        <v>2135847.3238426191</v>
      </c>
      <c r="O158" s="29">
        <f t="shared" si="43"/>
        <v>2135738.9927211236</v>
      </c>
      <c r="P158" s="29">
        <f t="shared" si="50"/>
        <v>2135738.9927211236</v>
      </c>
      <c r="Q158">
        <f t="shared" si="51"/>
        <v>0</v>
      </c>
      <c r="R158" s="29">
        <f t="shared" si="52"/>
        <v>2135738.9927211236</v>
      </c>
      <c r="S158" s="29">
        <f t="shared" si="44"/>
        <v>2135738.992721125</v>
      </c>
      <c r="T158" s="29">
        <f t="shared" si="53"/>
        <v>2135738.992721125</v>
      </c>
      <c r="U158">
        <f t="shared" si="54"/>
        <v>0</v>
      </c>
      <c r="V158" s="29">
        <f t="shared" si="55"/>
        <v>2135738.992721125</v>
      </c>
      <c r="W158" s="29">
        <f t="shared" si="45"/>
        <v>2135738.992721125</v>
      </c>
      <c r="X158" s="29">
        <f t="shared" si="56"/>
        <v>2135738.992721125</v>
      </c>
      <c r="Y158">
        <f t="shared" si="57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allocations'!$A$1:$L$317,3,FALSE)</f>
        <v>188416.76684675436</v>
      </c>
      <c r="E159" s="31">
        <f>VLOOKUP(B159,'Initial adjusted formula count'!$A$1:$P$317,12,FALSE)</f>
        <v>0.107806691449814</v>
      </c>
      <c r="F159">
        <f>VLOOKUP(B159,'Model allocations'!$A$1:$L$317,8,FALSE)</f>
        <v>160154.25181974118</v>
      </c>
      <c r="G159" s="30">
        <f t="shared" si="46"/>
        <v>0.85</v>
      </c>
      <c r="H159">
        <f t="shared" si="47"/>
        <v>160154.25181974118</v>
      </c>
      <c r="I159">
        <f t="shared" si="39"/>
        <v>0</v>
      </c>
      <c r="J159">
        <f t="shared" si="40"/>
        <v>160154.25181974118</v>
      </c>
      <c r="K159">
        <f t="shared" si="41"/>
        <v>160081.09399139497</v>
      </c>
      <c r="L159">
        <f t="shared" si="48"/>
        <v>160081.09399139497</v>
      </c>
      <c r="M159">
        <f t="shared" si="42"/>
        <v>160154.25181974118</v>
      </c>
      <c r="N159" s="29">
        <f t="shared" si="49"/>
        <v>0</v>
      </c>
      <c r="O159" s="29">
        <f t="shared" si="43"/>
        <v>0</v>
      </c>
      <c r="P159" s="29">
        <f t="shared" si="50"/>
        <v>160154.25181974118</v>
      </c>
      <c r="Q159">
        <f t="shared" si="51"/>
        <v>0</v>
      </c>
      <c r="R159" s="29">
        <f t="shared" si="52"/>
        <v>0</v>
      </c>
      <c r="S159" s="29">
        <f t="shared" si="44"/>
        <v>0</v>
      </c>
      <c r="T159" s="29">
        <f t="shared" si="53"/>
        <v>160154.25181974118</v>
      </c>
      <c r="U159">
        <f t="shared" si="54"/>
        <v>0</v>
      </c>
      <c r="V159" s="29">
        <f t="shared" si="55"/>
        <v>0</v>
      </c>
      <c r="W159" s="29">
        <f t="shared" si="45"/>
        <v>0</v>
      </c>
      <c r="X159" s="29">
        <f t="shared" si="56"/>
        <v>160154.25181974118</v>
      </c>
      <c r="Y159">
        <f t="shared" si="57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allocations'!$A$1:$L$317,3,FALSE)</f>
        <v>65538.829396048022</v>
      </c>
      <c r="E160" s="31">
        <f>VLOOKUP(B160,'Initial adjusted formula count'!$A$1:$P$317,12,FALSE)</f>
        <v>0.104458598726115</v>
      </c>
      <c r="F160">
        <f>VLOOKUP(B160,'Model allocations'!$A$1:$L$317,8,FALSE)</f>
        <v>71256.413232363207</v>
      </c>
      <c r="G160" s="30">
        <f t="shared" si="46"/>
        <v>0.85</v>
      </c>
      <c r="H160">
        <f t="shared" si="47"/>
        <v>55708.004986640815</v>
      </c>
      <c r="I160">
        <f t="shared" si="39"/>
        <v>0</v>
      </c>
      <c r="J160">
        <f t="shared" si="40"/>
        <v>71256.413232363207</v>
      </c>
      <c r="K160">
        <f t="shared" si="41"/>
        <v>71223.863584829101</v>
      </c>
      <c r="L160">
        <f t="shared" si="48"/>
        <v>71223.863584829101</v>
      </c>
      <c r="M160">
        <f t="shared" si="42"/>
        <v>0</v>
      </c>
      <c r="N160" s="29">
        <f t="shared" si="49"/>
        <v>71223.863584829101</v>
      </c>
      <c r="O160" s="29">
        <f t="shared" si="43"/>
        <v>71220.251078947593</v>
      </c>
      <c r="P160" s="29">
        <f t="shared" si="50"/>
        <v>71220.251078947593</v>
      </c>
      <c r="Q160">
        <f t="shared" si="51"/>
        <v>0</v>
      </c>
      <c r="R160" s="29">
        <f t="shared" si="52"/>
        <v>71220.251078947593</v>
      </c>
      <c r="S160" s="29">
        <f t="shared" si="44"/>
        <v>71220.251078947636</v>
      </c>
      <c r="T160" s="29">
        <f t="shared" si="53"/>
        <v>71220.251078947636</v>
      </c>
      <c r="U160">
        <f t="shared" si="54"/>
        <v>0</v>
      </c>
      <c r="V160" s="29">
        <f t="shared" si="55"/>
        <v>71220.251078947636</v>
      </c>
      <c r="W160" s="29">
        <f t="shared" si="45"/>
        <v>71220.251078947651</v>
      </c>
      <c r="X160" s="29">
        <f t="shared" si="56"/>
        <v>71220.251078947651</v>
      </c>
      <c r="Y160">
        <f t="shared" si="57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allocations'!$A$1:$L$317,3,FALSE)</f>
        <v>33290.802631173603</v>
      </c>
      <c r="E161" s="31">
        <f>VLOOKUP(B161,'Initial adjusted formula count'!$A$1:$P$317,12,FALSE)</f>
        <v>0.119402985074627</v>
      </c>
      <c r="F161">
        <f>VLOOKUP(B161,'Model allocations'!$A$1:$L$317,8,FALSE)</f>
        <v>34759.225967006438</v>
      </c>
      <c r="G161" s="30">
        <f t="shared" si="46"/>
        <v>0.85</v>
      </c>
      <c r="H161">
        <f t="shared" si="47"/>
        <v>28297.182236497563</v>
      </c>
      <c r="I161">
        <f t="shared" si="39"/>
        <v>0</v>
      </c>
      <c r="J161">
        <f t="shared" si="40"/>
        <v>34759.225967006438</v>
      </c>
      <c r="K161">
        <f t="shared" si="41"/>
        <v>34743.348090160529</v>
      </c>
      <c r="L161">
        <f t="shared" si="48"/>
        <v>34743.348090160529</v>
      </c>
      <c r="M161">
        <f t="shared" si="42"/>
        <v>0</v>
      </c>
      <c r="N161" s="29">
        <f t="shared" si="49"/>
        <v>34743.348090160529</v>
      </c>
      <c r="O161" s="29">
        <f t="shared" si="43"/>
        <v>34741.585892169554</v>
      </c>
      <c r="P161" s="29">
        <f t="shared" si="50"/>
        <v>34741.585892169554</v>
      </c>
      <c r="Q161">
        <f t="shared" si="51"/>
        <v>0</v>
      </c>
      <c r="R161" s="29">
        <f t="shared" si="52"/>
        <v>34741.585892169554</v>
      </c>
      <c r="S161" s="29">
        <f t="shared" si="44"/>
        <v>34741.585892169576</v>
      </c>
      <c r="T161" s="29">
        <f t="shared" si="53"/>
        <v>34741.585892169576</v>
      </c>
      <c r="U161">
        <f t="shared" si="54"/>
        <v>0</v>
      </c>
      <c r="V161" s="29">
        <f t="shared" si="55"/>
        <v>34741.585892169576</v>
      </c>
      <c r="W161" s="29">
        <f t="shared" si="45"/>
        <v>34741.585892169584</v>
      </c>
      <c r="X161" s="29">
        <f t="shared" si="56"/>
        <v>34741.585892169584</v>
      </c>
      <c r="Y161">
        <f t="shared" si="57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allocations'!$A$1:$L$317,3,FALSE)</f>
        <v>60008.823143023299</v>
      </c>
      <c r="E162" s="31">
        <f>VLOOKUP(B162,'Initial adjusted formula count'!$A$1:$P$317,12,FALSE)</f>
        <v>0.284552845528455</v>
      </c>
      <c r="F162">
        <f>VLOOKUP(B162,'Model allocations'!$A$1:$L$317,8,FALSE)</f>
        <v>60828.645442261259</v>
      </c>
      <c r="G162" s="30">
        <f t="shared" si="46"/>
        <v>0.9</v>
      </c>
      <c r="H162">
        <f t="shared" si="47"/>
        <v>54007.940828720974</v>
      </c>
      <c r="I162">
        <f t="shared" si="39"/>
        <v>0</v>
      </c>
      <c r="J162">
        <f t="shared" si="40"/>
        <v>60828.645442261259</v>
      </c>
      <c r="K162">
        <f t="shared" si="41"/>
        <v>60800.85915778092</v>
      </c>
      <c r="L162">
        <f t="shared" si="48"/>
        <v>60800.85915778092</v>
      </c>
      <c r="M162">
        <f t="shared" si="42"/>
        <v>0</v>
      </c>
      <c r="N162" s="29">
        <f t="shared" si="49"/>
        <v>60800.85915778092</v>
      </c>
      <c r="O162" s="29">
        <f t="shared" si="43"/>
        <v>60797.775311296711</v>
      </c>
      <c r="P162" s="29">
        <f t="shared" si="50"/>
        <v>60797.775311296711</v>
      </c>
      <c r="Q162">
        <f t="shared" si="51"/>
        <v>0</v>
      </c>
      <c r="R162" s="29">
        <f t="shared" si="52"/>
        <v>60797.775311296711</v>
      </c>
      <c r="S162" s="29">
        <f t="shared" si="44"/>
        <v>60797.77531129674</v>
      </c>
      <c r="T162" s="29">
        <f t="shared" si="53"/>
        <v>60797.77531129674</v>
      </c>
      <c r="U162">
        <f t="shared" si="54"/>
        <v>0</v>
      </c>
      <c r="V162" s="29">
        <f t="shared" si="55"/>
        <v>60797.77531129674</v>
      </c>
      <c r="W162" s="29">
        <f t="shared" si="45"/>
        <v>60797.77531129674</v>
      </c>
      <c r="X162" s="29">
        <f t="shared" si="56"/>
        <v>60797.77531129674</v>
      </c>
      <c r="Y162">
        <f t="shared" si="57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allocations'!$A$1:$L$317,3,FALSE)</f>
        <v>234875.69565828278</v>
      </c>
      <c r="E163" s="31">
        <f>VLOOKUP(B163,'Initial adjusted formula count'!$A$1:$P$317,12,FALSE)</f>
        <v>0.190909090909091</v>
      </c>
      <c r="F163">
        <f>VLOOKUP(B163,'Model allocations'!$A$1:$L$317,8,FALSE)</f>
        <v>237231.71722481895</v>
      </c>
      <c r="G163" s="30">
        <f t="shared" si="46"/>
        <v>0.9</v>
      </c>
      <c r="H163">
        <f t="shared" si="47"/>
        <v>211388.12609245451</v>
      </c>
      <c r="I163">
        <f t="shared" si="39"/>
        <v>0</v>
      </c>
      <c r="J163">
        <f t="shared" si="40"/>
        <v>237231.71722481895</v>
      </c>
      <c r="K163">
        <f t="shared" si="41"/>
        <v>237123.35071534564</v>
      </c>
      <c r="L163">
        <f t="shared" si="48"/>
        <v>237123.35071534564</v>
      </c>
      <c r="M163">
        <f t="shared" si="42"/>
        <v>0</v>
      </c>
      <c r="N163" s="29">
        <f t="shared" si="49"/>
        <v>237123.35071534564</v>
      </c>
      <c r="O163" s="29">
        <f t="shared" si="43"/>
        <v>237111.32371405725</v>
      </c>
      <c r="P163" s="29">
        <f t="shared" si="50"/>
        <v>237111.32371405725</v>
      </c>
      <c r="Q163">
        <f t="shared" si="51"/>
        <v>0</v>
      </c>
      <c r="R163" s="29">
        <f t="shared" si="52"/>
        <v>237111.32371405725</v>
      </c>
      <c r="S163" s="29">
        <f t="shared" si="44"/>
        <v>237111.32371405736</v>
      </c>
      <c r="T163" s="29">
        <f t="shared" si="53"/>
        <v>237111.32371405736</v>
      </c>
      <c r="U163">
        <f t="shared" si="54"/>
        <v>0</v>
      </c>
      <c r="V163" s="29">
        <f t="shared" si="55"/>
        <v>237111.32371405736</v>
      </c>
      <c r="W163" s="29">
        <f t="shared" si="45"/>
        <v>237111.32371405736</v>
      </c>
      <c r="X163" s="29">
        <f t="shared" si="56"/>
        <v>237111.32371405736</v>
      </c>
      <c r="Y163">
        <f t="shared" si="57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allocations'!$A$1:$L$317,3,FALSE)</f>
        <v>183425.79488940752</v>
      </c>
      <c r="E164" s="31">
        <f>VLOOKUP(B164,'Initial adjusted formula count'!$A$1:$P$317,12,FALSE)</f>
        <v>7.3062261753494298E-2</v>
      </c>
      <c r="F164">
        <f>VLOOKUP(B164,'Model allocations'!$A$1:$L$317,8,FALSE)</f>
        <v>155911.9256559964</v>
      </c>
      <c r="G164" s="30">
        <f t="shared" si="46"/>
        <v>0.85</v>
      </c>
      <c r="H164">
        <f t="shared" si="47"/>
        <v>155911.9256559964</v>
      </c>
      <c r="I164">
        <f t="shared" si="39"/>
        <v>0</v>
      </c>
      <c r="J164">
        <f t="shared" si="40"/>
        <v>155911.9256559964</v>
      </c>
      <c r="K164">
        <f t="shared" si="41"/>
        <v>155840.70570545079</v>
      </c>
      <c r="L164">
        <f t="shared" si="48"/>
        <v>155840.70570545079</v>
      </c>
      <c r="M164">
        <f t="shared" si="42"/>
        <v>155911.9256559964</v>
      </c>
      <c r="N164" s="29">
        <f t="shared" si="49"/>
        <v>0</v>
      </c>
      <c r="O164" s="29">
        <f t="shared" si="43"/>
        <v>0</v>
      </c>
      <c r="P164" s="29">
        <f t="shared" si="50"/>
        <v>155911.9256559964</v>
      </c>
      <c r="Q164">
        <f t="shared" si="51"/>
        <v>0</v>
      </c>
      <c r="R164" s="29">
        <f t="shared" si="52"/>
        <v>0</v>
      </c>
      <c r="S164" s="29">
        <f t="shared" si="44"/>
        <v>0</v>
      </c>
      <c r="T164" s="29">
        <f t="shared" si="53"/>
        <v>155911.9256559964</v>
      </c>
      <c r="U164">
        <f t="shared" si="54"/>
        <v>0</v>
      </c>
      <c r="V164" s="29">
        <f t="shared" si="55"/>
        <v>0</v>
      </c>
      <c r="W164" s="29">
        <f t="shared" si="45"/>
        <v>0</v>
      </c>
      <c r="X164" s="29">
        <f t="shared" si="56"/>
        <v>155911.9256559964</v>
      </c>
      <c r="Y164">
        <f t="shared" si="57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allocations'!$A$1:$L$317,3,FALSE)</f>
        <v>207392.56915397925</v>
      </c>
      <c r="E165" s="31">
        <f>VLOOKUP(B165,'Initial adjusted formula count'!$A$1:$P$317,12,FALSE)</f>
        <v>0.112815884476534</v>
      </c>
      <c r="F165">
        <f>VLOOKUP(B165,'Model allocations'!$A$1:$L$317,8,FALSE)</f>
        <v>217245.1622937902</v>
      </c>
      <c r="G165" s="30">
        <f t="shared" si="46"/>
        <v>0.85</v>
      </c>
      <c r="H165">
        <f t="shared" si="47"/>
        <v>176283.68378088236</v>
      </c>
      <c r="I165">
        <f t="shared" si="39"/>
        <v>0</v>
      </c>
      <c r="J165">
        <f t="shared" si="40"/>
        <v>217245.1622937902</v>
      </c>
      <c r="K165">
        <f t="shared" si="41"/>
        <v>217145.92556350332</v>
      </c>
      <c r="L165">
        <f t="shared" si="48"/>
        <v>217145.92556350332</v>
      </c>
      <c r="M165">
        <f t="shared" si="42"/>
        <v>0</v>
      </c>
      <c r="N165" s="29">
        <f t="shared" si="49"/>
        <v>217145.92556350332</v>
      </c>
      <c r="O165" s="29">
        <f t="shared" si="43"/>
        <v>217134.91182605972</v>
      </c>
      <c r="P165" s="29">
        <f t="shared" si="50"/>
        <v>217134.91182605972</v>
      </c>
      <c r="Q165">
        <f t="shared" si="51"/>
        <v>0</v>
      </c>
      <c r="R165" s="29">
        <f t="shared" si="52"/>
        <v>217134.91182605972</v>
      </c>
      <c r="S165" s="29">
        <f t="shared" si="44"/>
        <v>217134.91182605983</v>
      </c>
      <c r="T165" s="29">
        <f t="shared" si="53"/>
        <v>217134.91182605983</v>
      </c>
      <c r="U165">
        <f t="shared" si="54"/>
        <v>0</v>
      </c>
      <c r="V165" s="29">
        <f t="shared" si="55"/>
        <v>217134.91182605983</v>
      </c>
      <c r="W165" s="29">
        <f t="shared" si="45"/>
        <v>217134.91182605983</v>
      </c>
      <c r="X165" s="29">
        <f t="shared" si="56"/>
        <v>217134.91182605983</v>
      </c>
      <c r="Y165">
        <f t="shared" si="57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allocations'!$A$1:$L$317,3,FALSE)</f>
        <v>137656.08536749179</v>
      </c>
      <c r="E166" s="31">
        <f>VLOOKUP(B166,'Initial adjusted formula count'!$A$1:$P$317,12,FALSE)</f>
        <v>0.182978723404255</v>
      </c>
      <c r="F166">
        <f>VLOOKUP(B166,'Model allocations'!$A$1:$L$317,8,FALSE)</f>
        <v>123890.47683074261</v>
      </c>
      <c r="G166" s="30">
        <f t="shared" si="46"/>
        <v>0.9</v>
      </c>
      <c r="H166">
        <f t="shared" si="47"/>
        <v>123890.47683074261</v>
      </c>
      <c r="I166">
        <f t="shared" si="39"/>
        <v>0</v>
      </c>
      <c r="J166">
        <f t="shared" si="40"/>
        <v>123890.47683074261</v>
      </c>
      <c r="K166">
        <f t="shared" si="41"/>
        <v>123833.8841512806</v>
      </c>
      <c r="L166">
        <f t="shared" si="48"/>
        <v>123833.8841512806</v>
      </c>
      <c r="M166">
        <f t="shared" si="42"/>
        <v>123890.47683074261</v>
      </c>
      <c r="N166" s="29">
        <f t="shared" si="49"/>
        <v>0</v>
      </c>
      <c r="O166" s="29">
        <f t="shared" si="43"/>
        <v>0</v>
      </c>
      <c r="P166" s="29">
        <f t="shared" si="50"/>
        <v>123890.47683074261</v>
      </c>
      <c r="Q166">
        <f t="shared" si="51"/>
        <v>0</v>
      </c>
      <c r="R166" s="29">
        <f t="shared" si="52"/>
        <v>0</v>
      </c>
      <c r="S166" s="29">
        <f t="shared" si="44"/>
        <v>0</v>
      </c>
      <c r="T166" s="29">
        <f t="shared" si="53"/>
        <v>123890.47683074261</v>
      </c>
      <c r="U166">
        <f t="shared" si="54"/>
        <v>0</v>
      </c>
      <c r="V166" s="29">
        <f t="shared" si="55"/>
        <v>0</v>
      </c>
      <c r="W166" s="29">
        <f t="shared" si="45"/>
        <v>0</v>
      </c>
      <c r="X166" s="29">
        <f t="shared" si="56"/>
        <v>123890.47683074261</v>
      </c>
      <c r="Y166">
        <f t="shared" si="57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allocations'!$A$1:$L$317,3,FALSE)</f>
        <v>356185.12088838493</v>
      </c>
      <c r="E167" s="31">
        <f>VLOOKUP(B167,'Initial adjusted formula count'!$A$1:$P$317,12,FALSE)</f>
        <v>8.9673913043478201E-2</v>
      </c>
      <c r="F167">
        <f>VLOOKUP(B167,'Model allocations'!$A$1:$L$317,8,FALSE)</f>
        <v>302757.35275512718</v>
      </c>
      <c r="G167" s="30">
        <f t="shared" si="46"/>
        <v>0.85</v>
      </c>
      <c r="H167">
        <f t="shared" si="47"/>
        <v>302757.35275512718</v>
      </c>
      <c r="I167">
        <f t="shared" si="39"/>
        <v>0</v>
      </c>
      <c r="J167">
        <f t="shared" si="40"/>
        <v>302757.35275512718</v>
      </c>
      <c r="K167">
        <f t="shared" si="41"/>
        <v>302619.05439469189</v>
      </c>
      <c r="L167">
        <f t="shared" si="48"/>
        <v>302619.05439469189</v>
      </c>
      <c r="M167">
        <f t="shared" si="42"/>
        <v>302757.35275512718</v>
      </c>
      <c r="N167" s="29">
        <f t="shared" si="49"/>
        <v>0</v>
      </c>
      <c r="O167" s="29">
        <f t="shared" si="43"/>
        <v>0</v>
      </c>
      <c r="P167" s="29">
        <f t="shared" si="50"/>
        <v>302757.35275512718</v>
      </c>
      <c r="Q167">
        <f t="shared" si="51"/>
        <v>0</v>
      </c>
      <c r="R167" s="29">
        <f t="shared" si="52"/>
        <v>0</v>
      </c>
      <c r="S167" s="29">
        <f t="shared" si="44"/>
        <v>0</v>
      </c>
      <c r="T167" s="29">
        <f t="shared" si="53"/>
        <v>302757.35275512718</v>
      </c>
      <c r="U167">
        <f t="shared" si="54"/>
        <v>0</v>
      </c>
      <c r="V167" s="29">
        <f t="shared" si="55"/>
        <v>0</v>
      </c>
      <c r="W167" s="29">
        <f t="shared" si="45"/>
        <v>0</v>
      </c>
      <c r="X167" s="29">
        <f t="shared" si="56"/>
        <v>302757.35275512718</v>
      </c>
      <c r="Y167">
        <f t="shared" si="57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allocations'!$A$1:$L$317,3,FALSE)</f>
        <v>492120.50518878293</v>
      </c>
      <c r="E168" s="31">
        <f>VLOOKUP(B168,'Initial adjusted formula count'!$A$1:$P$317,12,FALSE)</f>
        <v>6.9692737430167601E-2</v>
      </c>
      <c r="F168">
        <f>VLOOKUP(B168,'Model allocations'!$A$1:$L$317,8,FALSE)</f>
        <v>433621.34393840539</v>
      </c>
      <c r="G168" s="30">
        <f t="shared" si="46"/>
        <v>0.85</v>
      </c>
      <c r="H168">
        <f t="shared" si="47"/>
        <v>418302.42941046547</v>
      </c>
      <c r="I168">
        <f t="shared" si="39"/>
        <v>0</v>
      </c>
      <c r="J168">
        <f t="shared" si="40"/>
        <v>433621.34393840539</v>
      </c>
      <c r="K168">
        <f t="shared" si="41"/>
        <v>433423.26742475276</v>
      </c>
      <c r="L168">
        <f t="shared" si="48"/>
        <v>433423.26742475276</v>
      </c>
      <c r="M168">
        <f t="shared" si="42"/>
        <v>0</v>
      </c>
      <c r="N168" s="29">
        <f t="shared" si="49"/>
        <v>433423.26742475276</v>
      </c>
      <c r="O168" s="29">
        <f t="shared" si="43"/>
        <v>433401.28400481533</v>
      </c>
      <c r="P168" s="29">
        <f t="shared" si="50"/>
        <v>433401.28400481533</v>
      </c>
      <c r="Q168">
        <f t="shared" si="51"/>
        <v>0</v>
      </c>
      <c r="R168" s="29">
        <f t="shared" si="52"/>
        <v>433401.28400481533</v>
      </c>
      <c r="S168" s="29">
        <f t="shared" si="44"/>
        <v>433401.28400481562</v>
      </c>
      <c r="T168" s="29">
        <f t="shared" si="53"/>
        <v>433401.28400481562</v>
      </c>
      <c r="U168">
        <f t="shared" si="54"/>
        <v>0</v>
      </c>
      <c r="V168" s="29">
        <f t="shared" si="55"/>
        <v>433401.28400481562</v>
      </c>
      <c r="W168" s="29">
        <f t="shared" si="45"/>
        <v>433401.28400481568</v>
      </c>
      <c r="X168" s="29">
        <f t="shared" si="56"/>
        <v>433401.28400481568</v>
      </c>
      <c r="Y168">
        <f t="shared" si="57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allocations'!$A$1:$L$317,3,FALSE)</f>
        <v>295100.23300656042</v>
      </c>
      <c r="E169" s="31">
        <f>VLOOKUP(B169,'Initial adjusted formula count'!$A$1:$P$317,12,FALSE)</f>
        <v>0.150242326332795</v>
      </c>
      <c r="F169">
        <f>VLOOKUP(B169,'Model allocations'!$A$1:$L$317,8,FALSE)</f>
        <v>323260.8014931599</v>
      </c>
      <c r="G169" s="30">
        <f t="shared" si="46"/>
        <v>0.9</v>
      </c>
      <c r="H169">
        <f t="shared" si="47"/>
        <v>265590.20970590436</v>
      </c>
      <c r="I169">
        <f t="shared" si="39"/>
        <v>0</v>
      </c>
      <c r="J169">
        <f t="shared" si="40"/>
        <v>323260.8014931599</v>
      </c>
      <c r="K169">
        <f t="shared" si="41"/>
        <v>323113.13723849301</v>
      </c>
      <c r="L169">
        <f t="shared" si="48"/>
        <v>323113.13723849301</v>
      </c>
      <c r="M169">
        <f t="shared" si="42"/>
        <v>0</v>
      </c>
      <c r="N169" s="29">
        <f t="shared" si="49"/>
        <v>323113.13723849301</v>
      </c>
      <c r="O169" s="29">
        <f t="shared" si="43"/>
        <v>323096.74879717693</v>
      </c>
      <c r="P169" s="29">
        <f t="shared" si="50"/>
        <v>323096.74879717693</v>
      </c>
      <c r="Q169">
        <f t="shared" si="51"/>
        <v>0</v>
      </c>
      <c r="R169" s="29">
        <f t="shared" si="52"/>
        <v>323096.74879717693</v>
      </c>
      <c r="S169" s="29">
        <f t="shared" si="44"/>
        <v>323096.7487971771</v>
      </c>
      <c r="T169" s="29">
        <f t="shared" si="53"/>
        <v>323096.7487971771</v>
      </c>
      <c r="U169">
        <f t="shared" si="54"/>
        <v>0</v>
      </c>
      <c r="V169" s="29">
        <f t="shared" si="55"/>
        <v>323096.7487971771</v>
      </c>
      <c r="W169" s="29">
        <f t="shared" si="45"/>
        <v>323096.7487971771</v>
      </c>
      <c r="X169" s="29">
        <f t="shared" si="56"/>
        <v>323096.7487971771</v>
      </c>
      <c r="Y169">
        <f t="shared" si="57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allocations'!$A$1:$L$317,3,FALSE)</f>
        <v>0</v>
      </c>
      <c r="E170" s="31">
        <f>VLOOKUP(B170,'Initial adjusted formula count'!$A$1:$P$317,12,FALSE)</f>
        <v>0.19607843137254899</v>
      </c>
      <c r="F170">
        <f>VLOOKUP(B170,'Model allocations'!$A$1:$L$317,8,FALSE)</f>
        <v>8689.8064917516094</v>
      </c>
      <c r="G170" s="30">
        <f t="shared" si="46"/>
        <v>0.9</v>
      </c>
      <c r="H170">
        <f t="shared" si="47"/>
        <v>0</v>
      </c>
      <c r="I170">
        <f t="shared" si="39"/>
        <v>0</v>
      </c>
      <c r="J170">
        <f t="shared" si="40"/>
        <v>8689.8064917516094</v>
      </c>
      <c r="K170">
        <f t="shared" si="41"/>
        <v>8685.8370225401322</v>
      </c>
      <c r="L170">
        <f t="shared" si="48"/>
        <v>8685.8370225401322</v>
      </c>
      <c r="M170">
        <f t="shared" si="42"/>
        <v>0</v>
      </c>
      <c r="N170" s="29">
        <f t="shared" si="49"/>
        <v>8685.8370225401322</v>
      </c>
      <c r="O170" s="29">
        <f t="shared" si="43"/>
        <v>8685.3964730423886</v>
      </c>
      <c r="P170" s="29">
        <f t="shared" si="50"/>
        <v>8685.3964730423886</v>
      </c>
      <c r="Q170">
        <f t="shared" si="51"/>
        <v>0</v>
      </c>
      <c r="R170" s="29">
        <f t="shared" si="52"/>
        <v>8685.3964730423886</v>
      </c>
      <c r="S170" s="29">
        <f t="shared" si="44"/>
        <v>8685.3964730423941</v>
      </c>
      <c r="T170" s="29">
        <f t="shared" si="53"/>
        <v>8685.3964730423941</v>
      </c>
      <c r="U170">
        <f t="shared" si="54"/>
        <v>0</v>
      </c>
      <c r="V170" s="29">
        <f t="shared" si="55"/>
        <v>8685.3964730423941</v>
      </c>
      <c r="W170" s="29">
        <f t="shared" si="45"/>
        <v>8685.3964730423959</v>
      </c>
      <c r="X170" s="29">
        <f t="shared" si="56"/>
        <v>8685.3964730423959</v>
      </c>
      <c r="Y170">
        <f t="shared" si="57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allocations'!$A$1:$L$317,3,FALSE)</f>
        <v>1296548.2540550628</v>
      </c>
      <c r="E171" s="31">
        <f>VLOOKUP(B171,'Initial adjusted formula count'!$A$1:$P$317,12,FALSE)</f>
        <v>9.5308003993188103E-2</v>
      </c>
      <c r="F171">
        <f>VLOOKUP(B171,'Model allocations'!$A$1:$L$317,8,FALSE)</f>
        <v>1410355.5936112858</v>
      </c>
      <c r="G171" s="30">
        <f t="shared" si="46"/>
        <v>0.85</v>
      </c>
      <c r="H171">
        <f t="shared" si="47"/>
        <v>1102066.0159468034</v>
      </c>
      <c r="I171">
        <f t="shared" si="39"/>
        <v>0</v>
      </c>
      <c r="J171">
        <f t="shared" si="40"/>
        <v>1410355.5936112858</v>
      </c>
      <c r="K171">
        <f t="shared" si="41"/>
        <v>1409711.348758263</v>
      </c>
      <c r="L171">
        <f t="shared" si="48"/>
        <v>1409711.348758263</v>
      </c>
      <c r="M171">
        <f t="shared" si="42"/>
        <v>0</v>
      </c>
      <c r="N171" s="29">
        <f t="shared" si="49"/>
        <v>1409711.348758263</v>
      </c>
      <c r="O171" s="29">
        <f t="shared" si="43"/>
        <v>1409639.8475747791</v>
      </c>
      <c r="P171" s="29">
        <f t="shared" si="50"/>
        <v>1409639.8475747791</v>
      </c>
      <c r="Q171">
        <f t="shared" si="51"/>
        <v>0</v>
      </c>
      <c r="R171" s="29">
        <f t="shared" si="52"/>
        <v>1409639.8475747791</v>
      </c>
      <c r="S171" s="29">
        <f t="shared" si="44"/>
        <v>1409639.8475747798</v>
      </c>
      <c r="T171" s="29">
        <f t="shared" si="53"/>
        <v>1409639.8475747798</v>
      </c>
      <c r="U171">
        <f t="shared" si="54"/>
        <v>0</v>
      </c>
      <c r="V171" s="29">
        <f t="shared" si="55"/>
        <v>1409639.8475747798</v>
      </c>
      <c r="W171" s="29">
        <f t="shared" si="45"/>
        <v>1409639.84757478</v>
      </c>
      <c r="X171" s="29">
        <f t="shared" si="56"/>
        <v>1409639.84757478</v>
      </c>
      <c r="Y171">
        <f t="shared" si="57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allocations'!$A$1:$L$317,3,FALSE)</f>
        <v>60224.537348277634</v>
      </c>
      <c r="E172" s="31">
        <f>VLOOKUP(B172,'Initial adjusted formula count'!$A$1:$P$317,12,FALSE)</f>
        <v>0.19383259911894299</v>
      </c>
      <c r="F172">
        <f>VLOOKUP(B172,'Model allocations'!$A$1:$L$317,8,FALSE)</f>
        <v>54202.083613449875</v>
      </c>
      <c r="G172" s="30">
        <f t="shared" si="46"/>
        <v>0.9</v>
      </c>
      <c r="H172">
        <f t="shared" si="47"/>
        <v>54202.083613449875</v>
      </c>
      <c r="I172">
        <f t="shared" si="39"/>
        <v>0</v>
      </c>
      <c r="J172">
        <f t="shared" si="40"/>
        <v>54202.083613449875</v>
      </c>
      <c r="K172">
        <f t="shared" si="41"/>
        <v>54177.324316185237</v>
      </c>
      <c r="L172">
        <f t="shared" si="48"/>
        <v>54177.324316185237</v>
      </c>
      <c r="M172">
        <f t="shared" si="42"/>
        <v>54202.083613449875</v>
      </c>
      <c r="N172" s="29">
        <f t="shared" si="49"/>
        <v>0</v>
      </c>
      <c r="O172" s="29">
        <f t="shared" si="43"/>
        <v>0</v>
      </c>
      <c r="P172" s="29">
        <f t="shared" si="50"/>
        <v>54202.083613449875</v>
      </c>
      <c r="Q172">
        <f t="shared" si="51"/>
        <v>0</v>
      </c>
      <c r="R172" s="29">
        <f t="shared" si="52"/>
        <v>0</v>
      </c>
      <c r="S172" s="29">
        <f t="shared" si="44"/>
        <v>0</v>
      </c>
      <c r="T172" s="29">
        <f t="shared" si="53"/>
        <v>54202.083613449875</v>
      </c>
      <c r="U172">
        <f t="shared" si="54"/>
        <v>0</v>
      </c>
      <c r="V172" s="29">
        <f t="shared" si="55"/>
        <v>0</v>
      </c>
      <c r="W172" s="29">
        <f t="shared" si="45"/>
        <v>0</v>
      </c>
      <c r="X172" s="29">
        <f t="shared" si="56"/>
        <v>54202.083613449875</v>
      </c>
      <c r="Y172">
        <f t="shared" si="57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allocations'!$A$1:$L$317,3,FALSE)</f>
        <v>872395.4410164787</v>
      </c>
      <c r="E173" s="31">
        <f>VLOOKUP(B173,'Initial adjusted formula count'!$A$1:$P$317,12,FALSE)</f>
        <v>4.0660881427867702E-2</v>
      </c>
      <c r="F173">
        <f>VLOOKUP(B173,'Model allocations'!$A$1:$L$317,8,FALSE)</f>
        <v>932416.23656494764</v>
      </c>
      <c r="G173" s="30">
        <f t="shared" si="46"/>
        <v>0.85</v>
      </c>
      <c r="H173">
        <f t="shared" si="47"/>
        <v>741536.12486400688</v>
      </c>
      <c r="I173">
        <f t="shared" si="39"/>
        <v>0</v>
      </c>
      <c r="J173">
        <f t="shared" si="40"/>
        <v>932416.23656494764</v>
      </c>
      <c r="K173">
        <f t="shared" si="41"/>
        <v>931990.31251855614</v>
      </c>
      <c r="L173">
        <f t="shared" si="48"/>
        <v>931990.31251855614</v>
      </c>
      <c r="M173">
        <f t="shared" si="42"/>
        <v>0</v>
      </c>
      <c r="N173" s="29">
        <f t="shared" si="49"/>
        <v>931990.31251855614</v>
      </c>
      <c r="O173" s="29">
        <f t="shared" si="43"/>
        <v>931943.0415574481</v>
      </c>
      <c r="P173" s="29">
        <f t="shared" si="50"/>
        <v>931943.0415574481</v>
      </c>
      <c r="Q173">
        <f t="shared" si="51"/>
        <v>0</v>
      </c>
      <c r="R173" s="29">
        <f t="shared" si="52"/>
        <v>931943.0415574481</v>
      </c>
      <c r="S173" s="29">
        <f t="shared" si="44"/>
        <v>931943.04155744868</v>
      </c>
      <c r="T173" s="29">
        <f t="shared" si="53"/>
        <v>931943.04155744868</v>
      </c>
      <c r="U173">
        <f t="shared" si="54"/>
        <v>0</v>
      </c>
      <c r="V173" s="29">
        <f t="shared" si="55"/>
        <v>931943.04155744868</v>
      </c>
      <c r="W173" s="29">
        <f t="shared" si="45"/>
        <v>931943.0415574488</v>
      </c>
      <c r="X173" s="29">
        <f t="shared" si="56"/>
        <v>931943.0415574488</v>
      </c>
      <c r="Y173">
        <f t="shared" si="57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allocations'!$A$1:$L$317,3,FALSE)</f>
        <v>384569.00240472978</v>
      </c>
      <c r="E174" s="31">
        <f>VLOOKUP(B174,'Initial adjusted formula count'!$A$1:$P$317,12,FALSE)</f>
        <v>9.6389588581024394E-2</v>
      </c>
      <c r="F174">
        <f>VLOOKUP(B174,'Model allocations'!$A$1:$L$317,8,FALSE)</f>
        <v>498794.89262654225</v>
      </c>
      <c r="G174" s="30">
        <f t="shared" si="46"/>
        <v>0.85</v>
      </c>
      <c r="H174">
        <f t="shared" si="47"/>
        <v>326883.6520440203</v>
      </c>
      <c r="I174">
        <f t="shared" si="39"/>
        <v>0</v>
      </c>
      <c r="J174">
        <f t="shared" si="40"/>
        <v>498794.89262654225</v>
      </c>
      <c r="K174">
        <f t="shared" si="41"/>
        <v>498567.04509380355</v>
      </c>
      <c r="L174">
        <f t="shared" si="48"/>
        <v>498567.04509380355</v>
      </c>
      <c r="M174">
        <f t="shared" si="42"/>
        <v>0</v>
      </c>
      <c r="N174" s="29">
        <f t="shared" si="49"/>
        <v>498567.04509380355</v>
      </c>
      <c r="O174" s="29">
        <f t="shared" si="43"/>
        <v>498541.75755263306</v>
      </c>
      <c r="P174" s="29">
        <f t="shared" si="50"/>
        <v>498541.75755263306</v>
      </c>
      <c r="Q174">
        <f t="shared" si="51"/>
        <v>0</v>
      </c>
      <c r="R174" s="29">
        <f t="shared" si="52"/>
        <v>498541.75755263306</v>
      </c>
      <c r="S174" s="29">
        <f t="shared" si="44"/>
        <v>498541.75755263335</v>
      </c>
      <c r="T174" s="29">
        <f t="shared" si="53"/>
        <v>498541.75755263335</v>
      </c>
      <c r="U174">
        <f t="shared" si="54"/>
        <v>0</v>
      </c>
      <c r="V174" s="29">
        <f t="shared" si="55"/>
        <v>498541.75755263335</v>
      </c>
      <c r="W174" s="29">
        <f t="shared" si="45"/>
        <v>498541.75755263341</v>
      </c>
      <c r="X174" s="29">
        <f t="shared" si="56"/>
        <v>498541.75755263341</v>
      </c>
      <c r="Y174">
        <f t="shared" si="57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allocations'!$A$1:$L$317,3,FALSE)</f>
        <v>14625.959070295998</v>
      </c>
      <c r="E175" s="31">
        <f>VLOOKUP(B175,'Initial adjusted formula count'!$A$1:$P$317,12,FALSE)</f>
        <v>6.8702290076335895E-2</v>
      </c>
      <c r="F175">
        <f>VLOOKUP(B175,'Model allocations'!$A$1:$L$317,8,FALSE)</f>
        <v>0</v>
      </c>
      <c r="G175" s="30">
        <f t="shared" si="46"/>
        <v>0.85</v>
      </c>
      <c r="H175">
        <f t="shared" si="47"/>
        <v>0</v>
      </c>
      <c r="I175">
        <f t="shared" si="39"/>
        <v>0</v>
      </c>
      <c r="J175">
        <f t="shared" si="40"/>
        <v>0</v>
      </c>
      <c r="K175">
        <f t="shared" si="41"/>
        <v>0</v>
      </c>
      <c r="L175">
        <f t="shared" si="48"/>
        <v>0</v>
      </c>
      <c r="M175">
        <f t="shared" si="42"/>
        <v>0</v>
      </c>
      <c r="N175" s="29">
        <f t="shared" si="49"/>
        <v>0</v>
      </c>
      <c r="O175" s="29">
        <f t="shared" si="43"/>
        <v>0</v>
      </c>
      <c r="P175" s="29">
        <f t="shared" si="50"/>
        <v>0</v>
      </c>
      <c r="Q175">
        <f t="shared" si="51"/>
        <v>0</v>
      </c>
      <c r="R175" s="29">
        <f t="shared" si="52"/>
        <v>0</v>
      </c>
      <c r="S175" s="29">
        <f t="shared" si="44"/>
        <v>0</v>
      </c>
      <c r="T175" s="29">
        <f t="shared" si="53"/>
        <v>0</v>
      </c>
      <c r="U175">
        <f t="shared" si="54"/>
        <v>0</v>
      </c>
      <c r="V175" s="29">
        <f t="shared" si="55"/>
        <v>0</v>
      </c>
      <c r="W175" s="29">
        <f t="shared" si="45"/>
        <v>0</v>
      </c>
      <c r="X175" s="29">
        <f t="shared" si="56"/>
        <v>0</v>
      </c>
      <c r="Y175">
        <f t="shared" si="57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allocations'!$A$1:$L$317,3,FALSE)</f>
        <v>96359.259757244217</v>
      </c>
      <c r="E176" s="31">
        <f>VLOOKUP(B176,'Initial adjusted formula count'!$A$1:$P$317,12,FALSE)</f>
        <v>0.146017699115044</v>
      </c>
      <c r="F176">
        <f>VLOOKUP(B176,'Model allocations'!$A$1:$L$317,8,FALSE)</f>
        <v>81905.370793657581</v>
      </c>
      <c r="G176" s="30">
        <f t="shared" si="46"/>
        <v>0.85</v>
      </c>
      <c r="H176">
        <f t="shared" si="47"/>
        <v>81905.370793657581</v>
      </c>
      <c r="I176">
        <f t="shared" si="39"/>
        <v>0</v>
      </c>
      <c r="J176">
        <f t="shared" si="40"/>
        <v>81905.370793657581</v>
      </c>
      <c r="K176">
        <f t="shared" si="41"/>
        <v>81867.956744457682</v>
      </c>
      <c r="L176">
        <f t="shared" si="48"/>
        <v>81867.956744457682</v>
      </c>
      <c r="M176">
        <f t="shared" si="42"/>
        <v>81905.370793657581</v>
      </c>
      <c r="N176" s="29">
        <f t="shared" si="49"/>
        <v>0</v>
      </c>
      <c r="O176" s="29">
        <f t="shared" si="43"/>
        <v>0</v>
      </c>
      <c r="P176" s="29">
        <f t="shared" si="50"/>
        <v>81905.370793657581</v>
      </c>
      <c r="Q176">
        <f t="shared" si="51"/>
        <v>0</v>
      </c>
      <c r="R176" s="29">
        <f t="shared" si="52"/>
        <v>0</v>
      </c>
      <c r="S176" s="29">
        <f t="shared" si="44"/>
        <v>0</v>
      </c>
      <c r="T176" s="29">
        <f t="shared" si="53"/>
        <v>81905.370793657581</v>
      </c>
      <c r="U176">
        <f t="shared" si="54"/>
        <v>0</v>
      </c>
      <c r="V176" s="29">
        <f t="shared" si="55"/>
        <v>0</v>
      </c>
      <c r="W176" s="29">
        <f t="shared" si="45"/>
        <v>0</v>
      </c>
      <c r="X176" s="29">
        <f t="shared" si="56"/>
        <v>81905.370793657581</v>
      </c>
      <c r="Y176">
        <f t="shared" si="57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allocations'!$A$1:$L$317,3,FALSE)</f>
        <v>166047.6529745369</v>
      </c>
      <c r="E177" s="31">
        <f>VLOOKUP(B177,'Initial adjusted formula count'!$A$1:$P$317,12,FALSE)</f>
        <v>0.18866080156402701</v>
      </c>
      <c r="F177">
        <f>VLOOKUP(B177,'Model allocations'!$A$1:$L$317,8,FALSE)</f>
        <v>167713.26529080601</v>
      </c>
      <c r="G177" s="30">
        <f t="shared" si="46"/>
        <v>0.9</v>
      </c>
      <c r="H177">
        <f t="shared" si="47"/>
        <v>149442.88767708323</v>
      </c>
      <c r="I177">
        <f t="shared" si="39"/>
        <v>0</v>
      </c>
      <c r="J177">
        <f t="shared" si="40"/>
        <v>167713.26529080601</v>
      </c>
      <c r="K177">
        <f t="shared" si="41"/>
        <v>167636.65453502451</v>
      </c>
      <c r="L177">
        <f t="shared" si="48"/>
        <v>167636.65453502451</v>
      </c>
      <c r="M177">
        <f t="shared" si="42"/>
        <v>0</v>
      </c>
      <c r="N177" s="29">
        <f t="shared" si="49"/>
        <v>167636.65453502451</v>
      </c>
      <c r="O177" s="29">
        <f t="shared" si="43"/>
        <v>167628.15192971803</v>
      </c>
      <c r="P177" s="29">
        <f t="shared" si="50"/>
        <v>167628.15192971803</v>
      </c>
      <c r="Q177">
        <f t="shared" si="51"/>
        <v>0</v>
      </c>
      <c r="R177" s="29">
        <f t="shared" si="52"/>
        <v>167628.15192971803</v>
      </c>
      <c r="S177" s="29">
        <f t="shared" si="44"/>
        <v>167628.15192971812</v>
      </c>
      <c r="T177" s="29">
        <f t="shared" si="53"/>
        <v>167628.15192971812</v>
      </c>
      <c r="U177">
        <f t="shared" si="54"/>
        <v>0</v>
      </c>
      <c r="V177" s="29">
        <f t="shared" si="55"/>
        <v>167628.15192971812</v>
      </c>
      <c r="W177" s="29">
        <f t="shared" si="45"/>
        <v>167628.15192971815</v>
      </c>
      <c r="X177" s="29">
        <f t="shared" si="56"/>
        <v>167628.15192971815</v>
      </c>
      <c r="Y177">
        <f t="shared" si="57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allocations'!$A$1:$L$317,3,FALSE)</f>
        <v>169489.05510872419</v>
      </c>
      <c r="E178" s="31">
        <f>VLOOKUP(B178,'Initial adjusted formula count'!$A$1:$P$317,12,FALSE)</f>
        <v>0.21212121212121199</v>
      </c>
      <c r="F178">
        <f>VLOOKUP(B178,'Model allocations'!$A$1:$L$317,8,FALSE)</f>
        <v>152540.14959785176</v>
      </c>
      <c r="G178" s="30">
        <f t="shared" si="46"/>
        <v>0.9</v>
      </c>
      <c r="H178">
        <f t="shared" si="47"/>
        <v>152540.14959785176</v>
      </c>
      <c r="I178">
        <f t="shared" si="39"/>
        <v>0</v>
      </c>
      <c r="J178">
        <f t="shared" si="40"/>
        <v>152540.14959785176</v>
      </c>
      <c r="K178">
        <f t="shared" si="41"/>
        <v>152470.46986126417</v>
      </c>
      <c r="L178">
        <f t="shared" si="48"/>
        <v>152470.46986126417</v>
      </c>
      <c r="M178">
        <f t="shared" si="42"/>
        <v>152540.14959785176</v>
      </c>
      <c r="N178" s="29">
        <f t="shared" si="49"/>
        <v>0</v>
      </c>
      <c r="O178" s="29">
        <f t="shared" si="43"/>
        <v>0</v>
      </c>
      <c r="P178" s="29">
        <f t="shared" si="50"/>
        <v>152540.14959785176</v>
      </c>
      <c r="Q178">
        <f t="shared" si="51"/>
        <v>0</v>
      </c>
      <c r="R178" s="29">
        <f t="shared" si="52"/>
        <v>0</v>
      </c>
      <c r="S178" s="29">
        <f t="shared" si="44"/>
        <v>0</v>
      </c>
      <c r="T178" s="29">
        <f t="shared" si="53"/>
        <v>152540.14959785176</v>
      </c>
      <c r="U178">
        <f t="shared" si="54"/>
        <v>0</v>
      </c>
      <c r="V178" s="29">
        <f t="shared" si="55"/>
        <v>0</v>
      </c>
      <c r="W178" s="29">
        <f t="shared" si="45"/>
        <v>0</v>
      </c>
      <c r="X178" s="29">
        <f t="shared" si="56"/>
        <v>152540.14959785176</v>
      </c>
      <c r="Y178">
        <f t="shared" si="57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allocations'!$A$1:$L$317,3,FALSE)</f>
        <v>28155.944818917713</v>
      </c>
      <c r="E179" s="31">
        <f>VLOOKUP(B179,'Initial adjusted formula count'!$A$1:$P$317,12,FALSE)</f>
        <v>0.14610389610389601</v>
      </c>
      <c r="F179">
        <f>VLOOKUP(B179,'Model allocations'!$A$1:$L$317,8,FALSE)</f>
        <v>39104.129212882253</v>
      </c>
      <c r="G179" s="30">
        <f t="shared" si="46"/>
        <v>0.85</v>
      </c>
      <c r="H179">
        <f t="shared" si="47"/>
        <v>23932.553096080057</v>
      </c>
      <c r="I179">
        <f t="shared" si="39"/>
        <v>0</v>
      </c>
      <c r="J179">
        <f t="shared" si="40"/>
        <v>39104.129212882253</v>
      </c>
      <c r="K179">
        <f t="shared" si="41"/>
        <v>39086.266601430616</v>
      </c>
      <c r="L179">
        <f t="shared" si="48"/>
        <v>39086.266601430616</v>
      </c>
      <c r="M179">
        <f t="shared" si="42"/>
        <v>0</v>
      </c>
      <c r="N179" s="29">
        <f t="shared" si="49"/>
        <v>39086.266601430616</v>
      </c>
      <c r="O179" s="29">
        <f t="shared" si="43"/>
        <v>39084.284128690764</v>
      </c>
      <c r="P179" s="29">
        <f t="shared" si="50"/>
        <v>39084.284128690764</v>
      </c>
      <c r="Q179">
        <f t="shared" si="51"/>
        <v>0</v>
      </c>
      <c r="R179" s="29">
        <f t="shared" si="52"/>
        <v>39084.284128690764</v>
      </c>
      <c r="S179" s="29">
        <f t="shared" si="44"/>
        <v>39084.284128690786</v>
      </c>
      <c r="T179" s="29">
        <f t="shared" si="53"/>
        <v>39084.284128690786</v>
      </c>
      <c r="U179">
        <f t="shared" si="54"/>
        <v>0</v>
      </c>
      <c r="V179" s="29">
        <f t="shared" si="55"/>
        <v>39084.284128690786</v>
      </c>
      <c r="W179" s="29">
        <f t="shared" si="45"/>
        <v>39084.284128690793</v>
      </c>
      <c r="X179" s="29">
        <f t="shared" si="56"/>
        <v>39084.284128690793</v>
      </c>
      <c r="Y179">
        <f t="shared" si="57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allocations'!$A$1:$L$317,3,FALSE)</f>
        <v>189540.06334198822</v>
      </c>
      <c r="E180" s="31">
        <f>VLOOKUP(B180,'Initial adjusted formula count'!$A$1:$P$317,12,FALSE)</f>
        <v>0.15970772442588699</v>
      </c>
      <c r="F180">
        <f>VLOOKUP(B180,'Model allocations'!$A$1:$L$317,8,FALSE)</f>
        <v>170586.05700778941</v>
      </c>
      <c r="G180" s="30">
        <f t="shared" si="46"/>
        <v>0.9</v>
      </c>
      <c r="H180">
        <f t="shared" si="47"/>
        <v>170586.05700778941</v>
      </c>
      <c r="I180">
        <f t="shared" si="39"/>
        <v>0</v>
      </c>
      <c r="J180">
        <f t="shared" si="40"/>
        <v>170586.05700778941</v>
      </c>
      <c r="K180">
        <f t="shared" si="41"/>
        <v>170508.13397212201</v>
      </c>
      <c r="L180">
        <f t="shared" si="48"/>
        <v>170508.13397212201</v>
      </c>
      <c r="M180">
        <f t="shared" si="42"/>
        <v>170586.05700778941</v>
      </c>
      <c r="N180" s="29">
        <f t="shared" si="49"/>
        <v>0</v>
      </c>
      <c r="O180" s="29">
        <f t="shared" si="43"/>
        <v>0</v>
      </c>
      <c r="P180" s="29">
        <f t="shared" si="50"/>
        <v>170586.05700778941</v>
      </c>
      <c r="Q180">
        <f t="shared" si="51"/>
        <v>0</v>
      </c>
      <c r="R180" s="29">
        <f t="shared" si="52"/>
        <v>0</v>
      </c>
      <c r="S180" s="29">
        <f t="shared" si="44"/>
        <v>0</v>
      </c>
      <c r="T180" s="29">
        <f t="shared" si="53"/>
        <v>170586.05700778941</v>
      </c>
      <c r="U180">
        <f t="shared" si="54"/>
        <v>0</v>
      </c>
      <c r="V180" s="29">
        <f t="shared" si="55"/>
        <v>0</v>
      </c>
      <c r="W180" s="29">
        <f t="shared" si="45"/>
        <v>0</v>
      </c>
      <c r="X180" s="29">
        <f t="shared" si="56"/>
        <v>170586.05700778941</v>
      </c>
      <c r="Y180">
        <f t="shared" si="57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allocations'!$A$1:$L$317,3,FALSE)</f>
        <v>938642.43209958449</v>
      </c>
      <c r="E181" s="31">
        <f>VLOOKUP(B181,'Initial adjusted formula count'!$A$1:$P$317,12,FALSE)</f>
        <v>8.54479046520569E-2</v>
      </c>
      <c r="F181">
        <f>VLOOKUP(B181,'Model allocations'!$A$1:$L$317,8,FALSE)</f>
        <v>797429.69839450764</v>
      </c>
      <c r="G181" s="30">
        <f t="shared" si="46"/>
        <v>0.85</v>
      </c>
      <c r="H181">
        <f t="shared" si="47"/>
        <v>797846.06728464679</v>
      </c>
      <c r="I181">
        <f t="shared" si="39"/>
        <v>797846.06728464679</v>
      </c>
      <c r="J181">
        <f t="shared" si="40"/>
        <v>0</v>
      </c>
      <c r="K181">
        <f t="shared" si="41"/>
        <v>0</v>
      </c>
      <c r="L181">
        <f t="shared" si="48"/>
        <v>797846.06728464679</v>
      </c>
      <c r="M181">
        <f t="shared" si="42"/>
        <v>0</v>
      </c>
      <c r="N181" s="29">
        <f t="shared" si="49"/>
        <v>0</v>
      </c>
      <c r="O181" s="29">
        <f t="shared" si="43"/>
        <v>0</v>
      </c>
      <c r="P181" s="29">
        <f t="shared" si="50"/>
        <v>797846.06728464679</v>
      </c>
      <c r="Q181">
        <f t="shared" si="51"/>
        <v>0</v>
      </c>
      <c r="R181" s="29">
        <f t="shared" si="52"/>
        <v>0</v>
      </c>
      <c r="S181" s="29">
        <f t="shared" si="44"/>
        <v>0</v>
      </c>
      <c r="T181" s="29">
        <f t="shared" si="53"/>
        <v>797846.06728464679</v>
      </c>
      <c r="U181">
        <f t="shared" si="54"/>
        <v>0</v>
      </c>
      <c r="V181" s="29">
        <f t="shared" si="55"/>
        <v>0</v>
      </c>
      <c r="W181" s="29">
        <f t="shared" si="45"/>
        <v>0</v>
      </c>
      <c r="X181" s="29">
        <f t="shared" si="56"/>
        <v>797846.06728464679</v>
      </c>
      <c r="Y181">
        <f t="shared" si="57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allocations'!$A$1:$L$317,3,FALSE)</f>
        <v>362248.38360727491</v>
      </c>
      <c r="E182" s="31">
        <f>VLOOKUP(B182,'Initial adjusted formula count'!$A$1:$P$317,12,FALSE)</f>
        <v>0.21063829787234001</v>
      </c>
      <c r="F182">
        <f>VLOOKUP(B182,'Model allocations'!$A$1:$L$317,8,FALSE)</f>
        <v>344116.33707336371</v>
      </c>
      <c r="G182" s="30">
        <f t="shared" si="46"/>
        <v>0.9</v>
      </c>
      <c r="H182">
        <f t="shared" si="47"/>
        <v>326023.54524654744</v>
      </c>
      <c r="I182">
        <f t="shared" si="39"/>
        <v>0</v>
      </c>
      <c r="J182">
        <f t="shared" si="40"/>
        <v>344116.33707336371</v>
      </c>
      <c r="K182">
        <f t="shared" si="41"/>
        <v>343959.14609258925</v>
      </c>
      <c r="L182">
        <f t="shared" si="48"/>
        <v>343959.14609258925</v>
      </c>
      <c r="M182">
        <f t="shared" si="42"/>
        <v>0</v>
      </c>
      <c r="N182" s="29">
        <f t="shared" si="49"/>
        <v>343959.14609258925</v>
      </c>
      <c r="O182" s="29">
        <f t="shared" si="43"/>
        <v>343941.70033247856</v>
      </c>
      <c r="P182" s="29">
        <f t="shared" si="50"/>
        <v>343941.70033247856</v>
      </c>
      <c r="Q182">
        <f t="shared" si="51"/>
        <v>0</v>
      </c>
      <c r="R182" s="29">
        <f t="shared" si="52"/>
        <v>343941.70033247856</v>
      </c>
      <c r="S182" s="29">
        <f t="shared" si="44"/>
        <v>343941.70033247874</v>
      </c>
      <c r="T182" s="29">
        <f t="shared" si="53"/>
        <v>343941.70033247874</v>
      </c>
      <c r="U182">
        <f t="shared" si="54"/>
        <v>0</v>
      </c>
      <c r="V182" s="29">
        <f t="shared" si="55"/>
        <v>343941.70033247874</v>
      </c>
      <c r="W182" s="29">
        <f t="shared" si="45"/>
        <v>343941.70033247879</v>
      </c>
      <c r="X182" s="29">
        <f t="shared" si="56"/>
        <v>343941.70033247879</v>
      </c>
      <c r="Y182">
        <f t="shared" si="57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allocations'!$A$1:$L$317,3,FALSE)</f>
        <v>110985.21882754021</v>
      </c>
      <c r="E183" s="31">
        <f>VLOOKUP(B183,'Initial adjusted formula count'!$A$1:$P$317,12,FALSE)</f>
        <v>0.10993657505285399</v>
      </c>
      <c r="F183">
        <f>VLOOKUP(B183,'Model allocations'!$A$1:$L$317,8,FALSE)</f>
        <v>94337.436003409181</v>
      </c>
      <c r="G183" s="30">
        <f t="shared" si="46"/>
        <v>0.85</v>
      </c>
      <c r="H183">
        <f t="shared" si="47"/>
        <v>94337.436003409181</v>
      </c>
      <c r="I183">
        <f t="shared" si="39"/>
        <v>0</v>
      </c>
      <c r="J183">
        <f t="shared" si="40"/>
        <v>94337.436003409181</v>
      </c>
      <c r="K183">
        <f t="shared" si="41"/>
        <v>94294.34303602716</v>
      </c>
      <c r="L183">
        <f t="shared" si="48"/>
        <v>94294.34303602716</v>
      </c>
      <c r="M183">
        <f t="shared" si="42"/>
        <v>94337.436003409181</v>
      </c>
      <c r="N183" s="29">
        <f t="shared" si="49"/>
        <v>0</v>
      </c>
      <c r="O183" s="29">
        <f t="shared" si="43"/>
        <v>0</v>
      </c>
      <c r="P183" s="29">
        <f t="shared" si="50"/>
        <v>94337.436003409181</v>
      </c>
      <c r="Q183">
        <f t="shared" si="51"/>
        <v>0</v>
      </c>
      <c r="R183" s="29">
        <f t="shared" si="52"/>
        <v>0</v>
      </c>
      <c r="S183" s="29">
        <f t="shared" si="44"/>
        <v>0</v>
      </c>
      <c r="T183" s="29">
        <f t="shared" si="53"/>
        <v>94337.436003409181</v>
      </c>
      <c r="U183">
        <f t="shared" si="54"/>
        <v>0</v>
      </c>
      <c r="V183" s="29">
        <f t="shared" si="55"/>
        <v>0</v>
      </c>
      <c r="W183" s="29">
        <f t="shared" si="45"/>
        <v>0</v>
      </c>
      <c r="X183" s="29">
        <f t="shared" si="56"/>
        <v>94337.436003409181</v>
      </c>
      <c r="Y183">
        <f t="shared" si="57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allocations'!$A$1:$L$317,3,FALSE)</f>
        <v>16346.660137389648</v>
      </c>
      <c r="E184" s="31">
        <f>VLOOKUP(B184,'Initial adjusted formula count'!$A$1:$P$317,12,FALSE)</f>
        <v>0.38095238095238099</v>
      </c>
      <c r="F184">
        <f>VLOOKUP(B184,'Model allocations'!$A$1:$L$317,8,FALSE)</f>
        <v>20855.535580203861</v>
      </c>
      <c r="G184" s="30">
        <f t="shared" si="46"/>
        <v>0.95</v>
      </c>
      <c r="H184">
        <f t="shared" si="47"/>
        <v>15529.327130520165</v>
      </c>
      <c r="I184">
        <f t="shared" si="39"/>
        <v>0</v>
      </c>
      <c r="J184">
        <f t="shared" si="40"/>
        <v>20855.535580203861</v>
      </c>
      <c r="K184">
        <f t="shared" si="41"/>
        <v>20846.008854096319</v>
      </c>
      <c r="L184">
        <f t="shared" si="48"/>
        <v>20846.008854096319</v>
      </c>
      <c r="M184">
        <f t="shared" si="42"/>
        <v>0</v>
      </c>
      <c r="N184" s="29">
        <f t="shared" si="49"/>
        <v>20846.008854096319</v>
      </c>
      <c r="O184" s="29">
        <f t="shared" si="43"/>
        <v>20844.951535301734</v>
      </c>
      <c r="P184" s="29">
        <f t="shared" si="50"/>
        <v>20844.951535301734</v>
      </c>
      <c r="Q184">
        <f t="shared" si="51"/>
        <v>0</v>
      </c>
      <c r="R184" s="29">
        <f t="shared" si="52"/>
        <v>20844.951535301734</v>
      </c>
      <c r="S184" s="29">
        <f t="shared" si="44"/>
        <v>20844.951535301745</v>
      </c>
      <c r="T184" s="29">
        <f t="shared" si="53"/>
        <v>20844.951535301745</v>
      </c>
      <c r="U184">
        <f t="shared" si="54"/>
        <v>0</v>
      </c>
      <c r="V184" s="29">
        <f t="shared" si="55"/>
        <v>20844.951535301745</v>
      </c>
      <c r="W184" s="29">
        <f t="shared" si="45"/>
        <v>20844.951535301749</v>
      </c>
      <c r="X184" s="29">
        <f t="shared" si="56"/>
        <v>20844.951535301749</v>
      </c>
      <c r="Y184">
        <f t="shared" si="57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allocations'!$A$1:$L$317,3,FALSE)</f>
        <v>67967.692150199073</v>
      </c>
      <c r="E185" s="31">
        <f>VLOOKUP(B185,'Initial adjusted formula count'!$A$1:$P$317,12,FALSE)</f>
        <v>0.146596858638743</v>
      </c>
      <c r="F185">
        <f>VLOOKUP(B185,'Model allocations'!$A$1:$L$317,8,FALSE)</f>
        <v>72994.374530713496</v>
      </c>
      <c r="G185" s="30">
        <f t="shared" si="46"/>
        <v>0.85</v>
      </c>
      <c r="H185">
        <f t="shared" si="47"/>
        <v>57772.538327669208</v>
      </c>
      <c r="I185">
        <f t="shared" si="39"/>
        <v>0</v>
      </c>
      <c r="J185">
        <f t="shared" si="40"/>
        <v>72994.374530713496</v>
      </c>
      <c r="K185">
        <f t="shared" si="41"/>
        <v>72961.030989337101</v>
      </c>
      <c r="L185">
        <f t="shared" si="48"/>
        <v>72961.030989337101</v>
      </c>
      <c r="M185">
        <f t="shared" si="42"/>
        <v>0</v>
      </c>
      <c r="N185" s="29">
        <f t="shared" si="49"/>
        <v>72961.030989337101</v>
      </c>
      <c r="O185" s="29">
        <f t="shared" si="43"/>
        <v>72957.330373556062</v>
      </c>
      <c r="P185" s="29">
        <f t="shared" si="50"/>
        <v>72957.330373556062</v>
      </c>
      <c r="Q185">
        <f t="shared" si="51"/>
        <v>0</v>
      </c>
      <c r="R185" s="29">
        <f t="shared" si="52"/>
        <v>72957.330373556062</v>
      </c>
      <c r="S185" s="29">
        <f t="shared" si="44"/>
        <v>72957.330373556106</v>
      </c>
      <c r="T185" s="29">
        <f t="shared" si="53"/>
        <v>72957.330373556106</v>
      </c>
      <c r="U185">
        <f t="shared" si="54"/>
        <v>0</v>
      </c>
      <c r="V185" s="29">
        <f t="shared" si="55"/>
        <v>72957.330373556106</v>
      </c>
      <c r="W185" s="29">
        <f t="shared" si="45"/>
        <v>72957.330373556106</v>
      </c>
      <c r="X185" s="29">
        <f t="shared" si="56"/>
        <v>72957.330373556106</v>
      </c>
      <c r="Y185">
        <f t="shared" si="57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allocations'!$A$1:$L$317,3,FALSE)</f>
        <v>18927.711738030121</v>
      </c>
      <c r="E186" s="31">
        <f>VLOOKUP(B186,'Initial adjusted formula count'!$A$1:$P$317,12,FALSE)</f>
        <v>8.98876404494382E-2</v>
      </c>
      <c r="F186">
        <f>VLOOKUP(B186,'Model allocations'!$A$1:$L$317,8,FALSE)</f>
        <v>16088.554977325603</v>
      </c>
      <c r="G186" s="30">
        <f t="shared" si="46"/>
        <v>0.85</v>
      </c>
      <c r="H186">
        <f t="shared" si="47"/>
        <v>16088.554977325603</v>
      </c>
      <c r="I186">
        <f t="shared" si="39"/>
        <v>0</v>
      </c>
      <c r="J186">
        <f t="shared" si="40"/>
        <v>16088.554977325603</v>
      </c>
      <c r="K186">
        <f t="shared" si="41"/>
        <v>16081.205789089909</v>
      </c>
      <c r="L186">
        <f t="shared" si="48"/>
        <v>16081.205789089909</v>
      </c>
      <c r="M186">
        <f t="shared" si="42"/>
        <v>16088.554977325603</v>
      </c>
      <c r="N186" s="29">
        <f t="shared" si="49"/>
        <v>0</v>
      </c>
      <c r="O186" s="29">
        <f t="shared" si="43"/>
        <v>0</v>
      </c>
      <c r="P186" s="29">
        <f t="shared" si="50"/>
        <v>16088.554977325603</v>
      </c>
      <c r="Q186">
        <f t="shared" si="51"/>
        <v>0</v>
      </c>
      <c r="R186" s="29">
        <f t="shared" si="52"/>
        <v>0</v>
      </c>
      <c r="S186" s="29">
        <f t="shared" si="44"/>
        <v>0</v>
      </c>
      <c r="T186" s="29">
        <f t="shared" si="53"/>
        <v>16088.554977325603</v>
      </c>
      <c r="U186">
        <f t="shared" si="54"/>
        <v>0</v>
      </c>
      <c r="V186" s="29">
        <f t="shared" si="55"/>
        <v>0</v>
      </c>
      <c r="W186" s="29">
        <f t="shared" si="45"/>
        <v>0</v>
      </c>
      <c r="X186" s="29">
        <f t="shared" si="56"/>
        <v>16088.554977325603</v>
      </c>
      <c r="Y186">
        <f t="shared" si="57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allocations'!$A$1:$L$317,3,FALSE)</f>
        <v>30972.619207685646</v>
      </c>
      <c r="E187" s="31">
        <f>VLOOKUP(B187,'Initial adjusted formula count'!$A$1:$P$317,12,FALSE)</f>
        <v>0.34615384615384598</v>
      </c>
      <c r="F187">
        <f>VLOOKUP(B187,'Model allocations'!$A$1:$L$317,8,FALSE)</f>
        <v>39104.129212882253</v>
      </c>
      <c r="G187" s="30">
        <f t="shared" si="46"/>
        <v>0.95</v>
      </c>
      <c r="H187">
        <f t="shared" si="47"/>
        <v>29423.988247301364</v>
      </c>
      <c r="I187">
        <f t="shared" si="39"/>
        <v>0</v>
      </c>
      <c r="J187">
        <f t="shared" si="40"/>
        <v>39104.129212882253</v>
      </c>
      <c r="K187">
        <f t="shared" si="41"/>
        <v>39086.266601430616</v>
      </c>
      <c r="L187">
        <f t="shared" si="48"/>
        <v>39086.266601430616</v>
      </c>
      <c r="M187">
        <f t="shared" si="42"/>
        <v>0</v>
      </c>
      <c r="N187" s="29">
        <f t="shared" si="49"/>
        <v>39086.266601430616</v>
      </c>
      <c r="O187" s="29">
        <f t="shared" si="43"/>
        <v>39084.284128690764</v>
      </c>
      <c r="P187" s="29">
        <f t="shared" si="50"/>
        <v>39084.284128690764</v>
      </c>
      <c r="Q187">
        <f t="shared" si="51"/>
        <v>0</v>
      </c>
      <c r="R187" s="29">
        <f t="shared" si="52"/>
        <v>39084.284128690764</v>
      </c>
      <c r="S187" s="29">
        <f t="shared" si="44"/>
        <v>39084.284128690786</v>
      </c>
      <c r="T187" s="29">
        <f t="shared" si="53"/>
        <v>39084.284128690786</v>
      </c>
      <c r="U187">
        <f t="shared" si="54"/>
        <v>0</v>
      </c>
      <c r="V187" s="29">
        <f t="shared" si="55"/>
        <v>39084.284128690786</v>
      </c>
      <c r="W187" s="29">
        <f t="shared" si="45"/>
        <v>39084.284128690793</v>
      </c>
      <c r="X187" s="29">
        <f t="shared" si="56"/>
        <v>39084.284128690793</v>
      </c>
      <c r="Y187">
        <f t="shared" si="57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allocations'!$A$1:$L$317,3,FALSE)</f>
        <v>51145.731377996824</v>
      </c>
      <c r="E188" s="31">
        <f>VLOOKUP(B188,'Initial adjusted formula count'!$A$1:$P$317,12,FALSE)</f>
        <v>7.1969696969697003E-2</v>
      </c>
      <c r="F188">
        <f>VLOOKUP(B188,'Model allocations'!$A$1:$L$317,8,FALSE)</f>
        <v>43473.871671297296</v>
      </c>
      <c r="G188" s="30">
        <f t="shared" si="46"/>
        <v>0.85</v>
      </c>
      <c r="H188">
        <f t="shared" si="47"/>
        <v>43473.871671297296</v>
      </c>
      <c r="I188">
        <f t="shared" si="39"/>
        <v>0</v>
      </c>
      <c r="J188">
        <f t="shared" si="40"/>
        <v>43473.871671297296</v>
      </c>
      <c r="K188">
        <f t="shared" si="41"/>
        <v>43454.012978785941</v>
      </c>
      <c r="L188">
        <f t="shared" si="48"/>
        <v>43454.012978785941</v>
      </c>
      <c r="M188">
        <f t="shared" si="42"/>
        <v>43473.871671297296</v>
      </c>
      <c r="N188" s="29">
        <f t="shared" si="49"/>
        <v>0</v>
      </c>
      <c r="O188" s="29">
        <f t="shared" si="43"/>
        <v>0</v>
      </c>
      <c r="P188" s="29">
        <f t="shared" si="50"/>
        <v>43473.871671297296</v>
      </c>
      <c r="Q188">
        <f t="shared" si="51"/>
        <v>0</v>
      </c>
      <c r="R188" s="29">
        <f t="shared" si="52"/>
        <v>0</v>
      </c>
      <c r="S188" s="29">
        <f t="shared" si="44"/>
        <v>0</v>
      </c>
      <c r="T188" s="29">
        <f t="shared" si="53"/>
        <v>43473.871671297296</v>
      </c>
      <c r="U188">
        <f t="shared" si="54"/>
        <v>0</v>
      </c>
      <c r="V188" s="29">
        <f t="shared" si="55"/>
        <v>0</v>
      </c>
      <c r="W188" s="29">
        <f t="shared" si="45"/>
        <v>0</v>
      </c>
      <c r="X188" s="29">
        <f t="shared" si="56"/>
        <v>43473.871671297296</v>
      </c>
      <c r="Y188">
        <f t="shared" si="57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allocations'!$A$1:$L$317,3,FALSE)</f>
        <v>221699.26327839165</v>
      </c>
      <c r="E189" s="31">
        <f>VLOOKUP(B189,'Initial adjusted formula count'!$A$1:$P$317,12,FALSE)</f>
        <v>0.215317919075144</v>
      </c>
      <c r="F189">
        <f>VLOOKUP(B189,'Model allocations'!$A$1:$L$317,8,FALSE)</f>
        <v>199529.33695055248</v>
      </c>
      <c r="G189" s="30">
        <f t="shared" si="46"/>
        <v>0.9</v>
      </c>
      <c r="H189">
        <f t="shared" si="47"/>
        <v>199529.33695055248</v>
      </c>
      <c r="I189">
        <f t="shared" si="39"/>
        <v>0</v>
      </c>
      <c r="J189">
        <f t="shared" si="40"/>
        <v>199529.33695055248</v>
      </c>
      <c r="K189">
        <f t="shared" si="41"/>
        <v>199438.19273916373</v>
      </c>
      <c r="L189">
        <f t="shared" si="48"/>
        <v>199438.19273916373</v>
      </c>
      <c r="M189">
        <f t="shared" si="42"/>
        <v>199529.33695055248</v>
      </c>
      <c r="N189" s="29">
        <f t="shared" si="49"/>
        <v>0</v>
      </c>
      <c r="O189" s="29">
        <f t="shared" si="43"/>
        <v>0</v>
      </c>
      <c r="P189" s="29">
        <f t="shared" si="50"/>
        <v>199529.33695055248</v>
      </c>
      <c r="Q189">
        <f t="shared" si="51"/>
        <v>0</v>
      </c>
      <c r="R189" s="29">
        <f t="shared" si="52"/>
        <v>0</v>
      </c>
      <c r="S189" s="29">
        <f t="shared" si="44"/>
        <v>0</v>
      </c>
      <c r="T189" s="29">
        <f t="shared" si="53"/>
        <v>199529.33695055248</v>
      </c>
      <c r="U189">
        <f t="shared" si="54"/>
        <v>0</v>
      </c>
      <c r="V189" s="29">
        <f t="shared" si="55"/>
        <v>0</v>
      </c>
      <c r="W189" s="29">
        <f t="shared" si="45"/>
        <v>0</v>
      </c>
      <c r="X189" s="29">
        <f t="shared" si="56"/>
        <v>199529.33695055248</v>
      </c>
      <c r="Y189">
        <f t="shared" si="57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allocations'!$A$1:$L$317,3,FALSE)</f>
        <v>148840.64230360044</v>
      </c>
      <c r="E190" s="31">
        <f>VLOOKUP(B190,'Initial adjusted formula count'!$A$1:$P$317,12,FALSE)</f>
        <v>5.0091631032376301E-2</v>
      </c>
      <c r="F190">
        <f>VLOOKUP(B190,'Model allocations'!$A$1:$L$317,8,FALSE)</f>
        <v>142512.82646472641</v>
      </c>
      <c r="G190" s="30">
        <f t="shared" si="46"/>
        <v>0.85</v>
      </c>
      <c r="H190">
        <f t="shared" si="47"/>
        <v>126514.54595806038</v>
      </c>
      <c r="I190">
        <f t="shared" si="39"/>
        <v>0</v>
      </c>
      <c r="J190">
        <f t="shared" si="40"/>
        <v>142512.82646472641</v>
      </c>
      <c r="K190">
        <f t="shared" si="41"/>
        <v>142447.7271696582</v>
      </c>
      <c r="L190">
        <f t="shared" si="48"/>
        <v>142447.7271696582</v>
      </c>
      <c r="M190">
        <f t="shared" si="42"/>
        <v>0</v>
      </c>
      <c r="N190" s="29">
        <f t="shared" si="49"/>
        <v>142447.7271696582</v>
      </c>
      <c r="O190" s="29">
        <f t="shared" si="43"/>
        <v>142440.50215789519</v>
      </c>
      <c r="P190" s="29">
        <f t="shared" si="50"/>
        <v>142440.50215789519</v>
      </c>
      <c r="Q190">
        <f t="shared" si="51"/>
        <v>0</v>
      </c>
      <c r="R190" s="29">
        <f t="shared" si="52"/>
        <v>142440.50215789519</v>
      </c>
      <c r="S190" s="29">
        <f t="shared" si="44"/>
        <v>142440.50215789527</v>
      </c>
      <c r="T190" s="29">
        <f t="shared" si="53"/>
        <v>142440.50215789527</v>
      </c>
      <c r="U190">
        <f t="shared" si="54"/>
        <v>0</v>
      </c>
      <c r="V190" s="29">
        <f t="shared" si="55"/>
        <v>142440.50215789527</v>
      </c>
      <c r="W190" s="29">
        <f t="shared" si="45"/>
        <v>142440.5021578953</v>
      </c>
      <c r="X190" s="29">
        <f t="shared" si="56"/>
        <v>142440.5021578953</v>
      </c>
      <c r="Y190">
        <f t="shared" si="57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allocations'!$A$1:$L$317,3,FALSE)</f>
        <v>652959.38601576176</v>
      </c>
      <c r="E191" s="31">
        <f>VLOOKUP(B191,'Initial adjusted formula count'!$A$1:$P$317,12,FALSE)</f>
        <v>0.199514991181658</v>
      </c>
      <c r="F191">
        <f>VLOOKUP(B191,'Model allocations'!$A$1:$L$317,8,FALSE)</f>
        <v>786427.48750352056</v>
      </c>
      <c r="G191" s="30">
        <f t="shared" si="46"/>
        <v>0.9</v>
      </c>
      <c r="H191">
        <f t="shared" si="47"/>
        <v>587663.44741418562</v>
      </c>
      <c r="I191">
        <f t="shared" si="39"/>
        <v>0</v>
      </c>
      <c r="J191">
        <f t="shared" si="40"/>
        <v>786427.48750352056</v>
      </c>
      <c r="K191">
        <f t="shared" si="41"/>
        <v>786068.25053988199</v>
      </c>
      <c r="L191">
        <f t="shared" si="48"/>
        <v>786068.25053988199</v>
      </c>
      <c r="M191">
        <f t="shared" si="42"/>
        <v>0</v>
      </c>
      <c r="N191" s="29">
        <f t="shared" si="49"/>
        <v>786068.25053988199</v>
      </c>
      <c r="O191" s="29">
        <f t="shared" si="43"/>
        <v>786028.38081033621</v>
      </c>
      <c r="P191" s="29">
        <f t="shared" si="50"/>
        <v>786028.38081033621</v>
      </c>
      <c r="Q191">
        <f t="shared" si="51"/>
        <v>0</v>
      </c>
      <c r="R191" s="29">
        <f t="shared" si="52"/>
        <v>786028.38081033621</v>
      </c>
      <c r="S191" s="29">
        <f t="shared" si="44"/>
        <v>786028.38081033668</v>
      </c>
      <c r="T191" s="29">
        <f t="shared" si="53"/>
        <v>786028.38081033668</v>
      </c>
      <c r="U191">
        <f t="shared" si="54"/>
        <v>0</v>
      </c>
      <c r="V191" s="29">
        <f t="shared" si="55"/>
        <v>786028.38081033668</v>
      </c>
      <c r="W191" s="29">
        <f t="shared" si="45"/>
        <v>786028.38081033679</v>
      </c>
      <c r="X191" s="29">
        <f t="shared" si="56"/>
        <v>786028.38081033679</v>
      </c>
      <c r="Y191">
        <f t="shared" si="57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allocations'!$A$1:$L$317,3,FALSE)</f>
        <v>9513.5939129183298</v>
      </c>
      <c r="E192" s="31">
        <f>VLOOKUP(B192,'Initial adjusted formula count'!$A$1:$P$317,12,FALSE)</f>
        <v>0.10638297872340401</v>
      </c>
      <c r="F192">
        <f>VLOOKUP(B192,'Model allocations'!$A$1:$L$317,8,FALSE)</f>
        <v>0</v>
      </c>
      <c r="G192" s="30">
        <f t="shared" si="46"/>
        <v>0.85</v>
      </c>
      <c r="H192">
        <f t="shared" si="47"/>
        <v>0</v>
      </c>
      <c r="I192">
        <f t="shared" si="39"/>
        <v>0</v>
      </c>
      <c r="J192">
        <f t="shared" si="40"/>
        <v>0</v>
      </c>
      <c r="K192">
        <f t="shared" si="41"/>
        <v>0</v>
      </c>
      <c r="L192">
        <f t="shared" si="48"/>
        <v>0</v>
      </c>
      <c r="M192">
        <f t="shared" si="42"/>
        <v>0</v>
      </c>
      <c r="N192" s="29">
        <f t="shared" si="49"/>
        <v>0</v>
      </c>
      <c r="O192" s="29">
        <f t="shared" si="43"/>
        <v>0</v>
      </c>
      <c r="P192" s="29">
        <f t="shared" si="50"/>
        <v>0</v>
      </c>
      <c r="Q192">
        <f t="shared" si="51"/>
        <v>0</v>
      </c>
      <c r="R192" s="29">
        <f t="shared" si="52"/>
        <v>0</v>
      </c>
      <c r="S192" s="29">
        <f t="shared" si="44"/>
        <v>0</v>
      </c>
      <c r="T192" s="29">
        <f t="shared" si="53"/>
        <v>0</v>
      </c>
      <c r="U192">
        <f t="shared" si="54"/>
        <v>0</v>
      </c>
      <c r="V192" s="29">
        <f t="shared" si="55"/>
        <v>0</v>
      </c>
      <c r="W192" s="29">
        <f t="shared" si="45"/>
        <v>0</v>
      </c>
      <c r="X192" s="29">
        <f t="shared" si="56"/>
        <v>0</v>
      </c>
      <c r="Y192">
        <f t="shared" si="57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allocations'!$A$1:$L$317,3,FALSE)</f>
        <v>15794.798313051404</v>
      </c>
      <c r="E193" s="31">
        <f>VLOOKUP(B193,'Initial adjusted formula count'!$A$1:$P$317,12,FALSE)</f>
        <v>4.8582995951416998E-2</v>
      </c>
      <c r="F193">
        <f>VLOOKUP(B193,'Model allocations'!$A$1:$L$317,8,FALSE)</f>
        <v>13425.578566093693</v>
      </c>
      <c r="G193" s="30">
        <f t="shared" si="46"/>
        <v>0.85</v>
      </c>
      <c r="H193">
        <f t="shared" si="47"/>
        <v>13425.578566093693</v>
      </c>
      <c r="I193">
        <f t="shared" si="39"/>
        <v>0</v>
      </c>
      <c r="J193">
        <f t="shared" si="40"/>
        <v>13425.578566093693</v>
      </c>
      <c r="K193">
        <f t="shared" si="41"/>
        <v>13419.445814942681</v>
      </c>
      <c r="L193">
        <f t="shared" si="48"/>
        <v>13419.445814942681</v>
      </c>
      <c r="M193">
        <f t="shared" si="42"/>
        <v>13425.578566093693</v>
      </c>
      <c r="N193" s="29">
        <f t="shared" si="49"/>
        <v>0</v>
      </c>
      <c r="O193" s="29">
        <f t="shared" si="43"/>
        <v>0</v>
      </c>
      <c r="P193" s="29">
        <f t="shared" si="50"/>
        <v>13425.578566093693</v>
      </c>
      <c r="Q193">
        <f t="shared" si="51"/>
        <v>0</v>
      </c>
      <c r="R193" s="29">
        <f t="shared" si="52"/>
        <v>0</v>
      </c>
      <c r="S193" s="29">
        <f t="shared" si="44"/>
        <v>0</v>
      </c>
      <c r="T193" s="29">
        <f t="shared" si="53"/>
        <v>13425.578566093693</v>
      </c>
      <c r="U193">
        <f t="shared" si="54"/>
        <v>0</v>
      </c>
      <c r="V193" s="29">
        <f t="shared" si="55"/>
        <v>0</v>
      </c>
      <c r="W193" s="29">
        <f t="shared" si="45"/>
        <v>0</v>
      </c>
      <c r="X193" s="29">
        <f t="shared" si="56"/>
        <v>13425.578566093693</v>
      </c>
      <c r="Y193">
        <f t="shared" si="57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allocations'!$A$1:$L$317,3,FALSE)</f>
        <v>2082908.6417168598</v>
      </c>
      <c r="E194" s="31">
        <f>VLOOKUP(B194,'Initial adjusted formula count'!$A$1:$P$317,12,FALSE)</f>
        <v>0.15642321086967201</v>
      </c>
      <c r="F194">
        <f>VLOOKUP(B194,'Model allocations'!$A$1:$L$317,8,FALSE)</f>
        <v>2771179.2902195877</v>
      </c>
      <c r="G194" s="30">
        <f t="shared" si="46"/>
        <v>0.9</v>
      </c>
      <c r="H194">
        <f t="shared" si="47"/>
        <v>1874617.7775451739</v>
      </c>
      <c r="I194">
        <f t="shared" si="39"/>
        <v>0</v>
      </c>
      <c r="J194">
        <f t="shared" si="40"/>
        <v>2771179.2902195877</v>
      </c>
      <c r="K194">
        <f t="shared" si="41"/>
        <v>2769913.4264880479</v>
      </c>
      <c r="L194">
        <f t="shared" si="48"/>
        <v>2769913.4264880479</v>
      </c>
      <c r="M194">
        <f t="shared" si="42"/>
        <v>0</v>
      </c>
      <c r="N194" s="29">
        <f t="shared" si="49"/>
        <v>2769913.4264880479</v>
      </c>
      <c r="O194" s="29">
        <f t="shared" si="43"/>
        <v>2769772.9352532174</v>
      </c>
      <c r="P194" s="29">
        <f t="shared" si="50"/>
        <v>2769772.9352532174</v>
      </c>
      <c r="Q194">
        <f t="shared" si="51"/>
        <v>0</v>
      </c>
      <c r="R194" s="29">
        <f t="shared" si="52"/>
        <v>2769772.9352532174</v>
      </c>
      <c r="S194" s="29">
        <f t="shared" si="44"/>
        <v>2769772.9352532192</v>
      </c>
      <c r="T194" s="29">
        <f t="shared" si="53"/>
        <v>2769772.9352532192</v>
      </c>
      <c r="U194">
        <f t="shared" si="54"/>
        <v>0</v>
      </c>
      <c r="V194" s="29">
        <f t="shared" si="55"/>
        <v>2769772.9352532192</v>
      </c>
      <c r="W194" s="29">
        <f t="shared" si="45"/>
        <v>2769772.9352532197</v>
      </c>
      <c r="X194" s="29">
        <f t="shared" si="56"/>
        <v>2769772.9352532197</v>
      </c>
      <c r="Y194">
        <f t="shared" si="57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allocations'!$A$1:$L$317,3,FALSE)</f>
        <v>44387.736841564809</v>
      </c>
      <c r="E195" s="31">
        <f>VLOOKUP(B195,'Initial adjusted formula count'!$A$1:$P$317,12,FALSE)</f>
        <v>0.16027874564459901</v>
      </c>
      <c r="F195">
        <f>VLOOKUP(B195,'Model allocations'!$A$1:$L$317,8,FALSE)</f>
        <v>39973.109862057398</v>
      </c>
      <c r="G195" s="30">
        <f t="shared" si="46"/>
        <v>0.9</v>
      </c>
      <c r="H195">
        <f t="shared" si="47"/>
        <v>39948.963157408332</v>
      </c>
      <c r="I195">
        <f t="shared" si="39"/>
        <v>0</v>
      </c>
      <c r="J195">
        <f t="shared" si="40"/>
        <v>39973.109862057398</v>
      </c>
      <c r="K195">
        <f t="shared" si="41"/>
        <v>39954.850303684609</v>
      </c>
      <c r="L195">
        <f t="shared" si="48"/>
        <v>39954.850303684609</v>
      </c>
      <c r="M195">
        <f t="shared" si="42"/>
        <v>0</v>
      </c>
      <c r="N195" s="29">
        <f t="shared" si="49"/>
        <v>39954.850303684609</v>
      </c>
      <c r="O195" s="29">
        <f t="shared" si="43"/>
        <v>39952.823775994984</v>
      </c>
      <c r="P195" s="29">
        <f t="shared" si="50"/>
        <v>39952.823775994984</v>
      </c>
      <c r="Q195">
        <f t="shared" si="51"/>
        <v>0</v>
      </c>
      <c r="R195" s="29">
        <f t="shared" si="52"/>
        <v>39952.823775994984</v>
      </c>
      <c r="S195" s="29">
        <f t="shared" si="44"/>
        <v>39952.823775995006</v>
      </c>
      <c r="T195" s="29">
        <f t="shared" si="53"/>
        <v>39952.823775995006</v>
      </c>
      <c r="U195">
        <f t="shared" si="54"/>
        <v>0</v>
      </c>
      <c r="V195" s="29">
        <f t="shared" si="55"/>
        <v>39952.823775995006</v>
      </c>
      <c r="W195" s="29">
        <f t="shared" si="45"/>
        <v>39952.823775995013</v>
      </c>
      <c r="X195" s="29">
        <f t="shared" si="56"/>
        <v>39952.823775995013</v>
      </c>
      <c r="Y195">
        <f t="shared" si="57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allocations'!$A$1:$L$317,3,FALSE)</f>
        <v>0</v>
      </c>
      <c r="E196" s="31">
        <f>VLOOKUP(B196,'Initial adjusted formula count'!$A$1:$P$317,12,FALSE)</f>
        <v>4.49438202247191E-2</v>
      </c>
      <c r="F196">
        <f>VLOOKUP(B196,'Model allocations'!$A$1:$L$317,8,FALSE)</f>
        <v>0</v>
      </c>
      <c r="G196" s="30">
        <f t="shared" si="46"/>
        <v>0.85</v>
      </c>
      <c r="H196">
        <f t="shared" si="47"/>
        <v>0</v>
      </c>
      <c r="I196">
        <f t="shared" ref="I196:I258" si="58">IF(F196&lt;H196,H196,0)</f>
        <v>0</v>
      </c>
      <c r="J196">
        <f t="shared" ref="J196:J258" si="59">IF(I196=0,F196,0)</f>
        <v>0</v>
      </c>
      <c r="K196">
        <f t="shared" ref="K196:K258" si="60">(J196/$J$3)*($F$3-$I$3)</f>
        <v>0</v>
      </c>
      <c r="L196">
        <f t="shared" si="48"/>
        <v>0</v>
      </c>
      <c r="M196">
        <f t="shared" ref="M196:M258" si="61">IF(L196&lt;H196,H196,0)</f>
        <v>0</v>
      </c>
      <c r="N196" s="29">
        <f t="shared" si="49"/>
        <v>0</v>
      </c>
      <c r="O196" s="29">
        <f t="shared" ref="O196:O258" si="62">((N196/$N$3)*($F$3-$I$3-$M$3))</f>
        <v>0</v>
      </c>
      <c r="P196" s="29">
        <f t="shared" si="50"/>
        <v>0</v>
      </c>
      <c r="Q196">
        <f t="shared" si="51"/>
        <v>0</v>
      </c>
      <c r="R196" s="29">
        <f t="shared" si="52"/>
        <v>0</v>
      </c>
      <c r="S196" s="29">
        <f t="shared" ref="S196:S258" si="63">((R196/$R$3)*($F$3-$I$3-$M$3-$Q$3))</f>
        <v>0</v>
      </c>
      <c r="T196" s="29">
        <f t="shared" si="53"/>
        <v>0</v>
      </c>
      <c r="U196">
        <f t="shared" si="54"/>
        <v>0</v>
      </c>
      <c r="V196" s="29">
        <f t="shared" si="55"/>
        <v>0</v>
      </c>
      <c r="W196" s="29">
        <f t="shared" ref="W196:W258" si="64">((V196/$V$3)*($F$3-$I$3-$M$3-$Q$3-$U$3))</f>
        <v>0</v>
      </c>
      <c r="X196" s="29">
        <f t="shared" si="56"/>
        <v>0</v>
      </c>
      <c r="Y196">
        <f t="shared" si="57"/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allocations'!$A$1:$L$317,3,FALSE)</f>
        <v>28068.715943930685</v>
      </c>
      <c r="E197" s="31">
        <f>VLOOKUP(B197,'Initial adjusted formula count'!$A$1:$P$317,12,FALSE)</f>
        <v>9.1269841269841306E-2</v>
      </c>
      <c r="F197">
        <f>VLOOKUP(B197,'Model allocations'!$A$1:$L$317,8,FALSE)</f>
        <v>23858.408552341083</v>
      </c>
      <c r="G197" s="30">
        <f t="shared" ref="G197:G259" si="65">IF(E197&lt;0.15,0.85,IF(AND(E197&gt;=0.15,E197&lt;0.3),0.9,0.95))</f>
        <v>0.85</v>
      </c>
      <c r="H197">
        <f t="shared" ref="H197:H259" si="66">IF(F197 = 0, 0, D197*G197)</f>
        <v>23858.408552341083</v>
      </c>
      <c r="I197">
        <f t="shared" si="58"/>
        <v>0</v>
      </c>
      <c r="J197">
        <f t="shared" si="59"/>
        <v>23858.408552341083</v>
      </c>
      <c r="K197">
        <f t="shared" si="60"/>
        <v>23847.510125745135</v>
      </c>
      <c r="L197">
        <f t="shared" ref="L197:L259" si="67">I197+K197</f>
        <v>23847.510125745135</v>
      </c>
      <c r="M197">
        <f t="shared" si="61"/>
        <v>23858.408552341083</v>
      </c>
      <c r="N197" s="29">
        <f t="shared" ref="N197:N259" si="68">IF($I197+$M197=0,L197,0)</f>
        <v>0</v>
      </c>
      <c r="O197" s="29">
        <f t="shared" si="62"/>
        <v>0</v>
      </c>
      <c r="P197" s="29">
        <f t="shared" ref="P197:P259" si="69">$I197+$M197+O197</f>
        <v>23858.408552341083</v>
      </c>
      <c r="Q197">
        <f t="shared" ref="Q197:Q259" si="70">IF(P197&lt;H197,H197,0)</f>
        <v>0</v>
      </c>
      <c r="R197" s="29">
        <f t="shared" ref="R197:R259" si="71">IF($I197+$M197+$Q197=0,P197,0)</f>
        <v>0</v>
      </c>
      <c r="S197" s="29">
        <f t="shared" si="63"/>
        <v>0</v>
      </c>
      <c r="T197" s="29">
        <f t="shared" ref="T197:T259" si="72">$I197+$M197+$Q197+S197</f>
        <v>23858.408552341083</v>
      </c>
      <c r="U197">
        <f t="shared" ref="U197:U259" si="73">IF(T197&lt;H197,H197,0)</f>
        <v>0</v>
      </c>
      <c r="V197" s="29">
        <f t="shared" ref="V197:V259" si="74">IF($I197+$M197+$Q197+U197=0,T197,0)</f>
        <v>0</v>
      </c>
      <c r="W197" s="29">
        <f t="shared" si="64"/>
        <v>0</v>
      </c>
      <c r="X197" s="29">
        <f t="shared" ref="X197:X259" si="75">$I197+$M197+$Q197+$U197+W197</f>
        <v>23858.408552341083</v>
      </c>
      <c r="Y197">
        <f t="shared" ref="Y197:Y259" si="76">IF(X197&lt;H197,H197,0)</f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allocations'!$A$1:$L$317,3,FALSE)</f>
        <v>459427.18491400371</v>
      </c>
      <c r="E198" s="31">
        <f>VLOOKUP(B198,'Initial adjusted formula count'!$A$1:$P$317,12,FALSE)</f>
        <v>4.4242527173912999E-2</v>
      </c>
      <c r="F198">
        <f>VLOOKUP(B198,'Model allocations'!$A$1:$L$317,8,FALSE)</f>
        <v>452738.9182202589</v>
      </c>
      <c r="G198" s="30">
        <f t="shared" si="65"/>
        <v>0.85</v>
      </c>
      <c r="H198">
        <f t="shared" si="66"/>
        <v>390513.10717690317</v>
      </c>
      <c r="I198">
        <f t="shared" si="58"/>
        <v>0</v>
      </c>
      <c r="J198">
        <f t="shared" si="59"/>
        <v>452738.9182202589</v>
      </c>
      <c r="K198">
        <f t="shared" si="60"/>
        <v>452532.10887434101</v>
      </c>
      <c r="L198">
        <f t="shared" si="67"/>
        <v>452532.10887434101</v>
      </c>
      <c r="M198">
        <f t="shared" si="61"/>
        <v>0</v>
      </c>
      <c r="N198" s="29">
        <f t="shared" si="68"/>
        <v>452532.10887434101</v>
      </c>
      <c r="O198" s="29">
        <f t="shared" si="62"/>
        <v>452509.15624550852</v>
      </c>
      <c r="P198" s="29">
        <f t="shared" si="69"/>
        <v>452509.15624550852</v>
      </c>
      <c r="Q198">
        <f t="shared" si="70"/>
        <v>0</v>
      </c>
      <c r="R198" s="29">
        <f t="shared" si="71"/>
        <v>452509.15624550852</v>
      </c>
      <c r="S198" s="29">
        <f t="shared" si="63"/>
        <v>452509.15624550881</v>
      </c>
      <c r="T198" s="29">
        <f t="shared" si="72"/>
        <v>452509.15624550881</v>
      </c>
      <c r="U198">
        <f t="shared" si="73"/>
        <v>0</v>
      </c>
      <c r="V198" s="29">
        <f t="shared" si="74"/>
        <v>452509.15624550881</v>
      </c>
      <c r="W198" s="29">
        <f t="shared" si="64"/>
        <v>452509.15624550893</v>
      </c>
      <c r="X198" s="29">
        <f t="shared" si="75"/>
        <v>452509.15624550893</v>
      </c>
      <c r="Y198">
        <f t="shared" si="76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allocations'!$A$1:$L$317,3,FALSE)</f>
        <v>16501.837971525518</v>
      </c>
      <c r="E199" s="31">
        <f>VLOOKUP(B199,'Initial adjusted formula count'!$A$1:$P$317,12,FALSE)</f>
        <v>8.8673742888640106E-2</v>
      </c>
      <c r="F199">
        <f>VLOOKUP(B199,'Model allocations'!$A$1:$L$317,8,FALSE)</f>
        <v>20465.935332100711</v>
      </c>
      <c r="G199" s="30">
        <f t="shared" si="65"/>
        <v>0.85</v>
      </c>
      <c r="H199">
        <f t="shared" si="66"/>
        <v>14026.56227579669</v>
      </c>
      <c r="I199">
        <f t="shared" si="58"/>
        <v>0</v>
      </c>
      <c r="J199">
        <f t="shared" si="59"/>
        <v>20465.935332100711</v>
      </c>
      <c r="K199">
        <f t="shared" si="60"/>
        <v>20456.586573844477</v>
      </c>
      <c r="L199">
        <f t="shared" si="67"/>
        <v>20456.586573844477</v>
      </c>
      <c r="M199">
        <f t="shared" si="61"/>
        <v>0</v>
      </c>
      <c r="N199" s="29">
        <f t="shared" si="68"/>
        <v>20456.586573844477</v>
      </c>
      <c r="O199" s="29">
        <f t="shared" si="62"/>
        <v>20455.549006720285</v>
      </c>
      <c r="P199" s="29">
        <f t="shared" si="69"/>
        <v>20455.549006720285</v>
      </c>
      <c r="Q199">
        <f t="shared" si="70"/>
        <v>0</v>
      </c>
      <c r="R199" s="29">
        <f t="shared" si="71"/>
        <v>20455.549006720285</v>
      </c>
      <c r="S199" s="29">
        <f t="shared" si="63"/>
        <v>20455.549006720295</v>
      </c>
      <c r="T199" s="29">
        <f t="shared" si="72"/>
        <v>20455.549006720295</v>
      </c>
      <c r="U199">
        <f t="shared" si="73"/>
        <v>0</v>
      </c>
      <c r="V199" s="29">
        <f t="shared" si="74"/>
        <v>20455.549006720295</v>
      </c>
      <c r="W199" s="29">
        <f t="shared" si="64"/>
        <v>20455.549006720295</v>
      </c>
      <c r="X199" s="29">
        <f t="shared" si="75"/>
        <v>20455.549006720295</v>
      </c>
      <c r="Y199">
        <f t="shared" si="76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allocations'!$A$1:$L$317,3,FALSE)</f>
        <v>170995.85999781726</v>
      </c>
      <c r="E200" s="31">
        <f>VLOOKUP(B200,'Initial adjusted formula count'!$A$1:$P$317,12,FALSE)</f>
        <v>0.114417989417989</v>
      </c>
      <c r="F200">
        <f>VLOOKUP(B200,'Model allocations'!$A$1:$L$317,8,FALSE)</f>
        <v>150333.65230730278</v>
      </c>
      <c r="G200" s="30">
        <f t="shared" si="65"/>
        <v>0.85</v>
      </c>
      <c r="H200">
        <f t="shared" si="66"/>
        <v>145346.48099814466</v>
      </c>
      <c r="I200">
        <f t="shared" si="58"/>
        <v>0</v>
      </c>
      <c r="J200">
        <f t="shared" si="59"/>
        <v>150333.65230730278</v>
      </c>
      <c r="K200">
        <f t="shared" si="60"/>
        <v>150264.98048994425</v>
      </c>
      <c r="L200">
        <f t="shared" si="67"/>
        <v>150264.98048994425</v>
      </c>
      <c r="M200">
        <f t="shared" si="61"/>
        <v>0</v>
      </c>
      <c r="N200" s="29">
        <f t="shared" si="68"/>
        <v>150264.98048994425</v>
      </c>
      <c r="O200" s="29">
        <f t="shared" si="62"/>
        <v>150257.35898363328</v>
      </c>
      <c r="P200" s="29">
        <f t="shared" si="69"/>
        <v>150257.35898363328</v>
      </c>
      <c r="Q200">
        <f t="shared" si="70"/>
        <v>0</v>
      </c>
      <c r="R200" s="29">
        <f t="shared" si="71"/>
        <v>150257.35898363328</v>
      </c>
      <c r="S200" s="29">
        <f t="shared" si="63"/>
        <v>150257.35898363337</v>
      </c>
      <c r="T200" s="29">
        <f t="shared" si="72"/>
        <v>150257.35898363337</v>
      </c>
      <c r="U200">
        <f t="shared" si="73"/>
        <v>0</v>
      </c>
      <c r="V200" s="29">
        <f t="shared" si="74"/>
        <v>150257.35898363337</v>
      </c>
      <c r="W200" s="29">
        <f t="shared" si="64"/>
        <v>150257.3589836334</v>
      </c>
      <c r="X200" s="29">
        <f t="shared" si="75"/>
        <v>150257.3589836334</v>
      </c>
      <c r="Y200">
        <f t="shared" si="76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allocations'!$A$1:$L$317,3,FALSE)</f>
        <v>55922.78468054354</v>
      </c>
      <c r="E201" s="31">
        <f>VLOOKUP(B201,'Initial adjusted formula count'!$A$1:$P$317,12,FALSE)</f>
        <v>0.16253443526170799</v>
      </c>
      <c r="F201">
        <f>VLOOKUP(B201,'Model allocations'!$A$1:$L$317,8,FALSE)</f>
        <v>51269.858301334483</v>
      </c>
      <c r="G201" s="30">
        <f t="shared" si="65"/>
        <v>0.9</v>
      </c>
      <c r="H201">
        <f t="shared" si="66"/>
        <v>50330.506212489185</v>
      </c>
      <c r="I201">
        <f t="shared" si="58"/>
        <v>0</v>
      </c>
      <c r="J201">
        <f t="shared" si="59"/>
        <v>51269.858301334483</v>
      </c>
      <c r="K201">
        <f t="shared" si="60"/>
        <v>51246.438432986775</v>
      </c>
      <c r="L201">
        <f t="shared" si="67"/>
        <v>51246.438432986775</v>
      </c>
      <c r="M201">
        <f t="shared" si="61"/>
        <v>0</v>
      </c>
      <c r="N201" s="29">
        <f t="shared" si="68"/>
        <v>51246.438432986775</v>
      </c>
      <c r="O201" s="29">
        <f t="shared" si="62"/>
        <v>51243.839190950079</v>
      </c>
      <c r="P201" s="29">
        <f t="shared" si="69"/>
        <v>51243.839190950079</v>
      </c>
      <c r="Q201">
        <f t="shared" si="70"/>
        <v>0</v>
      </c>
      <c r="R201" s="29">
        <f t="shared" si="71"/>
        <v>51243.839190950079</v>
      </c>
      <c r="S201" s="29">
        <f t="shared" si="63"/>
        <v>51243.839190950108</v>
      </c>
      <c r="T201" s="29">
        <f t="shared" si="72"/>
        <v>51243.839190950108</v>
      </c>
      <c r="U201">
        <f t="shared" si="73"/>
        <v>0</v>
      </c>
      <c r="V201" s="29">
        <f t="shared" si="74"/>
        <v>51243.839190950108</v>
      </c>
      <c r="W201" s="29">
        <f t="shared" si="64"/>
        <v>51243.839190950115</v>
      </c>
      <c r="X201" s="29">
        <f t="shared" si="75"/>
        <v>51243.839190950115</v>
      </c>
      <c r="Y201">
        <f t="shared" si="76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allocations'!$A$1:$L$317,3,FALSE)</f>
        <v>511908.56746036001</v>
      </c>
      <c r="E202" s="31">
        <f>VLOOKUP(B202,'Initial adjusted formula count'!$A$1:$P$317,12,FALSE)</f>
        <v>0.142252527627557</v>
      </c>
      <c r="F202">
        <f>VLOOKUP(B202,'Model allocations'!$A$1:$L$317,8,FALSE)</f>
        <v>525733.29275097221</v>
      </c>
      <c r="G202" s="30">
        <f t="shared" si="65"/>
        <v>0.85</v>
      </c>
      <c r="H202">
        <f t="shared" si="66"/>
        <v>435122.28234130598</v>
      </c>
      <c r="I202">
        <f t="shared" si="58"/>
        <v>0</v>
      </c>
      <c r="J202">
        <f t="shared" si="59"/>
        <v>525733.29275097221</v>
      </c>
      <c r="K202">
        <f t="shared" si="60"/>
        <v>525493.1398636779</v>
      </c>
      <c r="L202">
        <f t="shared" si="67"/>
        <v>525493.1398636779</v>
      </c>
      <c r="M202">
        <f t="shared" si="61"/>
        <v>0</v>
      </c>
      <c r="N202" s="29">
        <f t="shared" si="68"/>
        <v>525493.1398636779</v>
      </c>
      <c r="O202" s="29">
        <f t="shared" si="62"/>
        <v>525466.48661906435</v>
      </c>
      <c r="P202" s="29">
        <f t="shared" si="69"/>
        <v>525466.48661906435</v>
      </c>
      <c r="Q202">
        <f t="shared" si="70"/>
        <v>0</v>
      </c>
      <c r="R202" s="29">
        <f t="shared" si="71"/>
        <v>525466.48661906435</v>
      </c>
      <c r="S202" s="29">
        <f t="shared" si="63"/>
        <v>525466.48661906458</v>
      </c>
      <c r="T202" s="29">
        <f t="shared" si="72"/>
        <v>525466.48661906458</v>
      </c>
      <c r="U202">
        <f t="shared" si="73"/>
        <v>0</v>
      </c>
      <c r="V202" s="29">
        <f t="shared" si="74"/>
        <v>525466.48661906458</v>
      </c>
      <c r="W202" s="29">
        <f t="shared" si="64"/>
        <v>525466.48661906458</v>
      </c>
      <c r="X202" s="29">
        <f t="shared" si="75"/>
        <v>525466.48661906458</v>
      </c>
      <c r="Y202">
        <f t="shared" si="76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allocations'!$A$1:$L$317,3,FALSE)</f>
        <v>184730.46722655772</v>
      </c>
      <c r="E203" s="31">
        <f>VLOOKUP(B203,'Initial adjusted formula count'!$A$1:$P$317,12,FALSE)</f>
        <v>0.173180076628352</v>
      </c>
      <c r="F203">
        <f>VLOOKUP(B203,'Model allocations'!$A$1:$L$317,8,FALSE)</f>
        <v>196389.62671358636</v>
      </c>
      <c r="G203" s="30">
        <f t="shared" si="65"/>
        <v>0.9</v>
      </c>
      <c r="H203">
        <f t="shared" si="66"/>
        <v>166257.42050390196</v>
      </c>
      <c r="I203">
        <f t="shared" si="58"/>
        <v>0</v>
      </c>
      <c r="J203">
        <f t="shared" si="59"/>
        <v>196389.62671358636</v>
      </c>
      <c r="K203">
        <f t="shared" si="60"/>
        <v>196299.916709407</v>
      </c>
      <c r="L203">
        <f t="shared" si="67"/>
        <v>196299.916709407</v>
      </c>
      <c r="M203">
        <f t="shared" si="61"/>
        <v>0</v>
      </c>
      <c r="N203" s="29">
        <f t="shared" si="68"/>
        <v>196299.916709407</v>
      </c>
      <c r="O203" s="29">
        <f t="shared" si="62"/>
        <v>196289.96029075797</v>
      </c>
      <c r="P203" s="29">
        <f t="shared" si="69"/>
        <v>196289.96029075797</v>
      </c>
      <c r="Q203">
        <f t="shared" si="70"/>
        <v>0</v>
      </c>
      <c r="R203" s="29">
        <f t="shared" si="71"/>
        <v>196289.96029075797</v>
      </c>
      <c r="S203" s="29">
        <f t="shared" si="63"/>
        <v>196289.96029075806</v>
      </c>
      <c r="T203" s="29">
        <f t="shared" si="72"/>
        <v>196289.96029075806</v>
      </c>
      <c r="U203">
        <f t="shared" si="73"/>
        <v>0</v>
      </c>
      <c r="V203" s="29">
        <f t="shared" si="74"/>
        <v>196289.96029075806</v>
      </c>
      <c r="W203" s="29">
        <f t="shared" si="64"/>
        <v>196289.96029075808</v>
      </c>
      <c r="X203" s="29">
        <f t="shared" si="75"/>
        <v>196289.96029075808</v>
      </c>
      <c r="Y203">
        <f t="shared" si="76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allocations'!$A$1:$L$317,3,FALSE)</f>
        <v>39576.124543153885</v>
      </c>
      <c r="E204" s="31">
        <f>VLOOKUP(B204,'Initial adjusted formula count'!$A$1:$P$317,12,FALSE)</f>
        <v>0.190751445086705</v>
      </c>
      <c r="F204">
        <f>VLOOKUP(B204,'Model allocations'!$A$1:$L$317,8,FALSE)</f>
        <v>57352.722845560602</v>
      </c>
      <c r="G204" s="30">
        <f t="shared" si="65"/>
        <v>0.9</v>
      </c>
      <c r="H204">
        <f t="shared" si="66"/>
        <v>35618.512088838499</v>
      </c>
      <c r="I204">
        <f t="shared" si="58"/>
        <v>0</v>
      </c>
      <c r="J204">
        <f t="shared" si="59"/>
        <v>57352.722845560602</v>
      </c>
      <c r="K204">
        <f t="shared" si="60"/>
        <v>57326.524348764862</v>
      </c>
      <c r="L204">
        <f t="shared" si="67"/>
        <v>57326.524348764862</v>
      </c>
      <c r="M204">
        <f t="shared" si="61"/>
        <v>0</v>
      </c>
      <c r="N204" s="29">
        <f t="shared" si="68"/>
        <v>57326.524348764862</v>
      </c>
      <c r="O204" s="29">
        <f t="shared" si="62"/>
        <v>57323.616722079751</v>
      </c>
      <c r="P204" s="29">
        <f t="shared" si="69"/>
        <v>57323.616722079751</v>
      </c>
      <c r="Q204">
        <f t="shared" si="70"/>
        <v>0</v>
      </c>
      <c r="R204" s="29">
        <f t="shared" si="71"/>
        <v>57323.616722079751</v>
      </c>
      <c r="S204" s="29">
        <f t="shared" si="63"/>
        <v>57323.616722079787</v>
      </c>
      <c r="T204" s="29">
        <f t="shared" si="72"/>
        <v>57323.616722079787</v>
      </c>
      <c r="U204">
        <f t="shared" si="73"/>
        <v>0</v>
      </c>
      <c r="V204" s="29">
        <f t="shared" si="74"/>
        <v>57323.616722079787</v>
      </c>
      <c r="W204" s="29">
        <f t="shared" si="64"/>
        <v>57323.616722079794</v>
      </c>
      <c r="X204" s="29">
        <f t="shared" si="75"/>
        <v>57323.616722079794</v>
      </c>
      <c r="Y204">
        <f t="shared" si="76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allocations'!$A$1:$L$317,3,FALSE)</f>
        <v>55061.668497709215</v>
      </c>
      <c r="E205" s="31">
        <f>VLOOKUP(B205,'Initial adjusted formula count'!$A$1:$P$317,12,FALSE)</f>
        <v>9.0700501363157299E-2</v>
      </c>
      <c r="F205">
        <f>VLOOKUP(B205,'Model allocations'!$A$1:$L$317,8,FALSE)</f>
        <v>22639.917766779832</v>
      </c>
      <c r="G205" s="30">
        <f t="shared" si="65"/>
        <v>0.85</v>
      </c>
      <c r="H205">
        <f t="shared" si="66"/>
        <v>46802.418223052831</v>
      </c>
      <c r="I205">
        <f t="shared" si="58"/>
        <v>46802.418223052831</v>
      </c>
      <c r="J205">
        <f t="shared" si="59"/>
        <v>0</v>
      </c>
      <c r="K205">
        <f t="shared" si="60"/>
        <v>0</v>
      </c>
      <c r="L205">
        <f t="shared" si="67"/>
        <v>46802.418223052831</v>
      </c>
      <c r="M205">
        <f t="shared" si="61"/>
        <v>0</v>
      </c>
      <c r="N205" s="29">
        <f t="shared" si="68"/>
        <v>0</v>
      </c>
      <c r="O205" s="29">
        <f t="shared" si="62"/>
        <v>0</v>
      </c>
      <c r="P205" s="29">
        <f t="shared" si="69"/>
        <v>46802.418223052831</v>
      </c>
      <c r="Q205">
        <f t="shared" si="70"/>
        <v>0</v>
      </c>
      <c r="R205" s="29">
        <f t="shared" si="71"/>
        <v>0</v>
      </c>
      <c r="S205" s="29">
        <f t="shared" si="63"/>
        <v>0</v>
      </c>
      <c r="T205" s="29">
        <f t="shared" si="72"/>
        <v>46802.418223052831</v>
      </c>
      <c r="U205">
        <f t="shared" si="73"/>
        <v>0</v>
      </c>
      <c r="V205" s="29">
        <f t="shared" si="74"/>
        <v>0</v>
      </c>
      <c r="W205" s="29">
        <f t="shared" si="64"/>
        <v>0</v>
      </c>
      <c r="X205" s="29">
        <f t="shared" si="75"/>
        <v>46802.418223052831</v>
      </c>
      <c r="Y205">
        <f t="shared" si="76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allocations'!$A$1:$L$317,3,FALSE)</f>
        <v>308968.76715279772</v>
      </c>
      <c r="E206" s="31">
        <f>VLOOKUP(B206,'Initial adjusted formula count'!$A$1:$P$317,12,FALSE)</f>
        <v>0.121314808539478</v>
      </c>
      <c r="F206">
        <f>VLOOKUP(B206,'Model allocations'!$A$1:$L$317,8,FALSE)</f>
        <v>311095.07240470761</v>
      </c>
      <c r="G206" s="30">
        <f t="shared" si="65"/>
        <v>0.85</v>
      </c>
      <c r="H206">
        <f t="shared" si="66"/>
        <v>262623.45207987807</v>
      </c>
      <c r="I206">
        <f t="shared" si="58"/>
        <v>0</v>
      </c>
      <c r="J206">
        <f t="shared" si="59"/>
        <v>311095.07240470761</v>
      </c>
      <c r="K206">
        <f t="shared" si="60"/>
        <v>310952.96540693677</v>
      </c>
      <c r="L206">
        <f t="shared" si="67"/>
        <v>310952.96540693677</v>
      </c>
      <c r="M206">
        <f t="shared" si="61"/>
        <v>0</v>
      </c>
      <c r="N206" s="29">
        <f t="shared" si="68"/>
        <v>310952.96540693677</v>
      </c>
      <c r="O206" s="29">
        <f t="shared" si="62"/>
        <v>310937.1937349175</v>
      </c>
      <c r="P206" s="29">
        <f t="shared" si="69"/>
        <v>310937.1937349175</v>
      </c>
      <c r="Q206">
        <f t="shared" si="70"/>
        <v>0</v>
      </c>
      <c r="R206" s="29">
        <f t="shared" si="71"/>
        <v>310937.1937349175</v>
      </c>
      <c r="S206" s="29">
        <f t="shared" si="63"/>
        <v>310937.19373491767</v>
      </c>
      <c r="T206" s="29">
        <f t="shared" si="72"/>
        <v>310937.19373491767</v>
      </c>
      <c r="U206">
        <f t="shared" si="73"/>
        <v>0</v>
      </c>
      <c r="V206" s="29">
        <f t="shared" si="74"/>
        <v>310937.19373491767</v>
      </c>
      <c r="W206" s="29">
        <f t="shared" si="64"/>
        <v>310937.19373491773</v>
      </c>
      <c r="X206" s="29">
        <f t="shared" si="75"/>
        <v>310937.19373491773</v>
      </c>
      <c r="Y206">
        <f t="shared" si="76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allocations'!$A$1:$L$317,3,FALSE)</f>
        <v>283055.32553690486</v>
      </c>
      <c r="E207" s="31">
        <f>VLOOKUP(B207,'Initial adjusted formula count'!$A$1:$P$317,12,FALSE)</f>
        <v>0.124072425051944</v>
      </c>
      <c r="F207">
        <f>VLOOKUP(B207,'Model allocations'!$A$1:$L$317,8,FALSE)</f>
        <v>363233.91135521716</v>
      </c>
      <c r="G207" s="30">
        <f t="shared" si="65"/>
        <v>0.85</v>
      </c>
      <c r="H207">
        <f t="shared" si="66"/>
        <v>240597.02670636913</v>
      </c>
      <c r="I207">
        <f t="shared" si="58"/>
        <v>0</v>
      </c>
      <c r="J207">
        <f t="shared" si="59"/>
        <v>363233.91135521716</v>
      </c>
      <c r="K207">
        <f t="shared" si="60"/>
        <v>363067.98754217743</v>
      </c>
      <c r="L207">
        <f t="shared" si="67"/>
        <v>363067.98754217743</v>
      </c>
      <c r="M207">
        <f t="shared" si="61"/>
        <v>0</v>
      </c>
      <c r="N207" s="29">
        <f t="shared" si="68"/>
        <v>363067.98754217743</v>
      </c>
      <c r="O207" s="29">
        <f t="shared" si="62"/>
        <v>363049.57257317175</v>
      </c>
      <c r="P207" s="29">
        <f t="shared" si="69"/>
        <v>363049.57257317175</v>
      </c>
      <c r="Q207">
        <f t="shared" si="70"/>
        <v>0</v>
      </c>
      <c r="R207" s="29">
        <f t="shared" si="71"/>
        <v>363049.57257317175</v>
      </c>
      <c r="S207" s="29">
        <f t="shared" si="63"/>
        <v>363049.57257317193</v>
      </c>
      <c r="T207" s="29">
        <f t="shared" si="72"/>
        <v>363049.57257317193</v>
      </c>
      <c r="U207">
        <f t="shared" si="73"/>
        <v>0</v>
      </c>
      <c r="V207" s="29">
        <f t="shared" si="74"/>
        <v>363049.57257317193</v>
      </c>
      <c r="W207" s="29">
        <f t="shared" si="64"/>
        <v>363049.57257317193</v>
      </c>
      <c r="X207" s="29">
        <f t="shared" si="75"/>
        <v>363049.57257317193</v>
      </c>
      <c r="Y207">
        <f t="shared" si="76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allocations'!$A$1:$L$317,3,FALSE)</f>
        <v>1587346.7343938893</v>
      </c>
      <c r="E208" s="31">
        <f>VLOOKUP(B208,'Initial adjusted formula count'!$A$1:$P$317,12,FALSE)</f>
        <v>8.1197576887232101E-2</v>
      </c>
      <c r="F208">
        <f>VLOOKUP(B208,'Model allocations'!$A$1:$L$317,8,FALSE)</f>
        <v>1817038.5374252617</v>
      </c>
      <c r="G208" s="30">
        <f t="shared" si="65"/>
        <v>0.85</v>
      </c>
      <c r="H208">
        <f t="shared" si="66"/>
        <v>1349244.7242348059</v>
      </c>
      <c r="I208">
        <f t="shared" si="58"/>
        <v>0</v>
      </c>
      <c r="J208">
        <f t="shared" si="59"/>
        <v>1817038.5374252617</v>
      </c>
      <c r="K208">
        <f t="shared" si="60"/>
        <v>1816208.5214131421</v>
      </c>
      <c r="L208">
        <f t="shared" si="67"/>
        <v>1816208.5214131421</v>
      </c>
      <c r="M208">
        <f t="shared" si="61"/>
        <v>0</v>
      </c>
      <c r="N208" s="29">
        <f t="shared" si="68"/>
        <v>1816208.5214131421</v>
      </c>
      <c r="O208" s="29">
        <f t="shared" si="62"/>
        <v>1816116.4025131636</v>
      </c>
      <c r="P208" s="29">
        <f t="shared" si="69"/>
        <v>1816116.4025131636</v>
      </c>
      <c r="Q208">
        <f t="shared" si="70"/>
        <v>0</v>
      </c>
      <c r="R208" s="29">
        <f t="shared" si="71"/>
        <v>1816116.4025131636</v>
      </c>
      <c r="S208" s="29">
        <f t="shared" si="63"/>
        <v>1816116.4025131648</v>
      </c>
      <c r="T208" s="29">
        <f t="shared" si="72"/>
        <v>1816116.4025131648</v>
      </c>
      <c r="U208">
        <f t="shared" si="73"/>
        <v>0</v>
      </c>
      <c r="V208" s="29">
        <f t="shared" si="74"/>
        <v>1816116.4025131648</v>
      </c>
      <c r="W208" s="29">
        <f t="shared" si="64"/>
        <v>1816116.4025131653</v>
      </c>
      <c r="X208" s="29">
        <f t="shared" si="75"/>
        <v>1816116.4025131653</v>
      </c>
      <c r="Y208">
        <f t="shared" si="76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allocations'!$A$1:$L$317,3,FALSE)</f>
        <v>9463.8558690150603</v>
      </c>
      <c r="E209" s="31">
        <f>VLOOKUP(B209,'Initial adjusted formula count'!$A$1:$P$317,12,FALSE)</f>
        <v>0.29032258064516098</v>
      </c>
      <c r="F209">
        <f>VLOOKUP(B209,'Model allocations'!$A$1:$L$317,8,FALSE)</f>
        <v>0</v>
      </c>
      <c r="G209" s="30">
        <f t="shared" si="65"/>
        <v>0.9</v>
      </c>
      <c r="H209">
        <f t="shared" si="66"/>
        <v>0</v>
      </c>
      <c r="I209">
        <f t="shared" si="58"/>
        <v>0</v>
      </c>
      <c r="J209">
        <f t="shared" si="59"/>
        <v>0</v>
      </c>
      <c r="K209">
        <f t="shared" si="60"/>
        <v>0</v>
      </c>
      <c r="L209">
        <f t="shared" si="67"/>
        <v>0</v>
      </c>
      <c r="M209">
        <f t="shared" si="61"/>
        <v>0</v>
      </c>
      <c r="N209" s="29">
        <f t="shared" si="68"/>
        <v>0</v>
      </c>
      <c r="O209" s="29">
        <f t="shared" si="62"/>
        <v>0</v>
      </c>
      <c r="P209" s="29">
        <f t="shared" si="69"/>
        <v>0</v>
      </c>
      <c r="Q209">
        <f t="shared" si="70"/>
        <v>0</v>
      </c>
      <c r="R209" s="29">
        <f t="shared" si="71"/>
        <v>0</v>
      </c>
      <c r="S209" s="29">
        <f t="shared" si="63"/>
        <v>0</v>
      </c>
      <c r="T209" s="29">
        <f t="shared" si="72"/>
        <v>0</v>
      </c>
      <c r="U209">
        <f t="shared" si="73"/>
        <v>0</v>
      </c>
      <c r="V209" s="29">
        <f t="shared" si="74"/>
        <v>0</v>
      </c>
      <c r="W209" s="29">
        <f t="shared" si="64"/>
        <v>0</v>
      </c>
      <c r="X209" s="29">
        <f t="shared" si="75"/>
        <v>0</v>
      </c>
      <c r="Y209">
        <f t="shared" si="76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allocations'!$A$1:$L$317,3,FALSE)</f>
        <v>24950.165472857887</v>
      </c>
      <c r="E210" s="31">
        <f>VLOOKUP(B210,'Initial adjusted formula count'!$A$1:$P$317,12,FALSE)</f>
        <v>0.16062176165803099</v>
      </c>
      <c r="F210">
        <f>VLOOKUP(B210,'Model allocations'!$A$1:$L$317,8,FALSE)</f>
        <v>26938.400124429987</v>
      </c>
      <c r="G210" s="30">
        <f t="shared" si="65"/>
        <v>0.9</v>
      </c>
      <c r="H210">
        <f t="shared" si="66"/>
        <v>22455.148925572099</v>
      </c>
      <c r="I210">
        <f t="shared" si="58"/>
        <v>0</v>
      </c>
      <c r="J210">
        <f t="shared" si="59"/>
        <v>26938.400124429987</v>
      </c>
      <c r="K210">
        <f t="shared" si="60"/>
        <v>26926.094769874413</v>
      </c>
      <c r="L210">
        <f t="shared" si="67"/>
        <v>26926.094769874413</v>
      </c>
      <c r="M210">
        <f t="shared" si="61"/>
        <v>0</v>
      </c>
      <c r="N210" s="29">
        <f t="shared" si="68"/>
        <v>26926.094769874413</v>
      </c>
      <c r="O210" s="29">
        <f t="shared" si="62"/>
        <v>26924.729066431406</v>
      </c>
      <c r="P210" s="29">
        <f t="shared" si="69"/>
        <v>26924.729066431406</v>
      </c>
      <c r="Q210">
        <f t="shared" si="70"/>
        <v>0</v>
      </c>
      <c r="R210" s="29">
        <f t="shared" si="71"/>
        <v>26924.729066431406</v>
      </c>
      <c r="S210" s="29">
        <f t="shared" si="63"/>
        <v>26924.729066431424</v>
      </c>
      <c r="T210" s="29">
        <f t="shared" si="72"/>
        <v>26924.729066431424</v>
      </c>
      <c r="U210">
        <f t="shared" si="73"/>
        <v>0</v>
      </c>
      <c r="V210" s="29">
        <f t="shared" si="74"/>
        <v>26924.729066431424</v>
      </c>
      <c r="W210" s="29">
        <f t="shared" si="64"/>
        <v>26924.729066431428</v>
      </c>
      <c r="X210" s="29">
        <f t="shared" si="75"/>
        <v>26924.729066431428</v>
      </c>
      <c r="Y210">
        <f t="shared" si="76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allocations'!$A$1:$L$317,3,FALSE)</f>
        <v>246621.62681949825</v>
      </c>
      <c r="E211" s="31">
        <f>VLOOKUP(B211,'Initial adjusted formula count'!$A$1:$P$317,12,FALSE)</f>
        <v>0.17814113597246101</v>
      </c>
      <c r="F211">
        <f>VLOOKUP(B211,'Model allocations'!$A$1:$L$317,8,FALSE)</f>
        <v>221959.46413754844</v>
      </c>
      <c r="G211" s="30">
        <f t="shared" si="65"/>
        <v>0.9</v>
      </c>
      <c r="H211">
        <f t="shared" si="66"/>
        <v>221959.46413754844</v>
      </c>
      <c r="I211">
        <f t="shared" si="58"/>
        <v>0</v>
      </c>
      <c r="J211">
        <f t="shared" si="59"/>
        <v>221959.46413754844</v>
      </c>
      <c r="K211">
        <f t="shared" si="60"/>
        <v>221858.07393283836</v>
      </c>
      <c r="L211">
        <f t="shared" si="67"/>
        <v>221858.07393283836</v>
      </c>
      <c r="M211">
        <f t="shared" si="61"/>
        <v>221959.46413754844</v>
      </c>
      <c r="N211" s="29">
        <f t="shared" si="68"/>
        <v>0</v>
      </c>
      <c r="O211" s="29">
        <f t="shared" si="62"/>
        <v>0</v>
      </c>
      <c r="P211" s="29">
        <f t="shared" si="69"/>
        <v>221959.46413754844</v>
      </c>
      <c r="Q211">
        <f t="shared" si="70"/>
        <v>0</v>
      </c>
      <c r="R211" s="29">
        <f t="shared" si="71"/>
        <v>0</v>
      </c>
      <c r="S211" s="29">
        <f t="shared" si="63"/>
        <v>0</v>
      </c>
      <c r="T211" s="29">
        <f t="shared" si="72"/>
        <v>221959.46413754844</v>
      </c>
      <c r="U211">
        <f t="shared" si="73"/>
        <v>0</v>
      </c>
      <c r="V211" s="29">
        <f t="shared" si="74"/>
        <v>0</v>
      </c>
      <c r="W211" s="29">
        <f t="shared" si="64"/>
        <v>0</v>
      </c>
      <c r="X211" s="29">
        <f t="shared" si="75"/>
        <v>221959.46413754844</v>
      </c>
      <c r="Y211">
        <f t="shared" si="76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allocations'!$A$1:$L$317,3,FALSE)</f>
        <v>34414.021341872947</v>
      </c>
      <c r="E212" s="31">
        <f>VLOOKUP(B212,'Initial adjusted formula count'!$A$1:$P$317,12,FALSE)</f>
        <v>0.16571428571428601</v>
      </c>
      <c r="F212">
        <f>VLOOKUP(B212,'Model allocations'!$A$1:$L$317,8,FALSE)</f>
        <v>30972.619207685653</v>
      </c>
      <c r="G212" s="30">
        <f t="shared" si="65"/>
        <v>0.9</v>
      </c>
      <c r="H212">
        <f t="shared" si="66"/>
        <v>30972.619207685653</v>
      </c>
      <c r="I212">
        <f t="shared" si="58"/>
        <v>0</v>
      </c>
      <c r="J212">
        <f t="shared" si="59"/>
        <v>30972.619207685653</v>
      </c>
      <c r="K212">
        <f t="shared" si="60"/>
        <v>30958.471037820149</v>
      </c>
      <c r="L212">
        <f t="shared" si="67"/>
        <v>30958.471037820149</v>
      </c>
      <c r="M212">
        <f t="shared" si="61"/>
        <v>30972.619207685653</v>
      </c>
      <c r="N212" s="29">
        <f t="shared" si="68"/>
        <v>0</v>
      </c>
      <c r="O212" s="29">
        <f t="shared" si="62"/>
        <v>0</v>
      </c>
      <c r="P212" s="29">
        <f t="shared" si="69"/>
        <v>30972.619207685653</v>
      </c>
      <c r="Q212">
        <f t="shared" si="70"/>
        <v>0</v>
      </c>
      <c r="R212" s="29">
        <f t="shared" si="71"/>
        <v>0</v>
      </c>
      <c r="S212" s="29">
        <f t="shared" si="63"/>
        <v>0</v>
      </c>
      <c r="T212" s="29">
        <f t="shared" si="72"/>
        <v>30972.619207685653</v>
      </c>
      <c r="U212">
        <f t="shared" si="73"/>
        <v>0</v>
      </c>
      <c r="V212" s="29">
        <f t="shared" si="74"/>
        <v>0</v>
      </c>
      <c r="W212" s="29">
        <f t="shared" si="64"/>
        <v>0</v>
      </c>
      <c r="X212" s="29">
        <f t="shared" si="75"/>
        <v>30972.619207685653</v>
      </c>
      <c r="Y212">
        <f t="shared" si="76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allocations'!$A$1:$L$317,3,FALSE)</f>
        <v>402644.04969991342</v>
      </c>
      <c r="E213" s="31">
        <f>VLOOKUP(B213,'Initial adjusted formula count'!$A$1:$P$317,12,FALSE)</f>
        <v>0.14103788602355899</v>
      </c>
      <c r="F213">
        <f>VLOOKUP(B213,'Model allocations'!$A$1:$L$317,8,FALSE)</f>
        <v>384958.42758459627</v>
      </c>
      <c r="G213" s="30">
        <f t="shared" si="65"/>
        <v>0.85</v>
      </c>
      <c r="H213">
        <f t="shared" si="66"/>
        <v>342247.44224492641</v>
      </c>
      <c r="I213">
        <f t="shared" si="58"/>
        <v>0</v>
      </c>
      <c r="J213">
        <f t="shared" si="59"/>
        <v>384958.42758459627</v>
      </c>
      <c r="K213">
        <f t="shared" si="60"/>
        <v>384782.58009852789</v>
      </c>
      <c r="L213">
        <f t="shared" si="67"/>
        <v>384782.58009852789</v>
      </c>
      <c r="M213">
        <f t="shared" si="61"/>
        <v>0</v>
      </c>
      <c r="N213" s="29">
        <f t="shared" si="68"/>
        <v>384782.58009852789</v>
      </c>
      <c r="O213" s="29">
        <f t="shared" si="62"/>
        <v>384763.06375577778</v>
      </c>
      <c r="P213" s="29">
        <f t="shared" si="69"/>
        <v>384763.06375577778</v>
      </c>
      <c r="Q213">
        <f t="shared" si="70"/>
        <v>0</v>
      </c>
      <c r="R213" s="29">
        <f t="shared" si="71"/>
        <v>384763.06375577778</v>
      </c>
      <c r="S213" s="29">
        <f t="shared" si="63"/>
        <v>384763.06375577801</v>
      </c>
      <c r="T213" s="29">
        <f t="shared" si="72"/>
        <v>384763.06375577801</v>
      </c>
      <c r="U213">
        <f t="shared" si="73"/>
        <v>0</v>
      </c>
      <c r="V213" s="29">
        <f t="shared" si="74"/>
        <v>384763.06375577801</v>
      </c>
      <c r="W213" s="29">
        <f t="shared" si="64"/>
        <v>384763.06375577807</v>
      </c>
      <c r="X213" s="29">
        <f t="shared" si="75"/>
        <v>384763.06375577807</v>
      </c>
      <c r="Y213">
        <f t="shared" si="76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allocations'!$A$1:$L$317,3,FALSE)</f>
        <v>110563.58819135977</v>
      </c>
      <c r="E214" s="31">
        <f>VLOOKUP(B214,'Initial adjusted formula count'!$A$1:$P$317,12,FALSE)</f>
        <v>8.6744639376218305E-2</v>
      </c>
      <c r="F214">
        <f>VLOOKUP(B214,'Model allocations'!$A$1:$L$317,8,FALSE)</f>
        <v>93979.049962655801</v>
      </c>
      <c r="G214" s="30">
        <f t="shared" si="65"/>
        <v>0.85</v>
      </c>
      <c r="H214">
        <f t="shared" si="66"/>
        <v>93979.049962655801</v>
      </c>
      <c r="I214">
        <f t="shared" si="58"/>
        <v>0</v>
      </c>
      <c r="J214">
        <f t="shared" si="59"/>
        <v>93979.049962655801</v>
      </c>
      <c r="K214">
        <f t="shared" si="60"/>
        <v>93936.12070459871</v>
      </c>
      <c r="L214">
        <f t="shared" si="67"/>
        <v>93936.12070459871</v>
      </c>
      <c r="M214">
        <f t="shared" si="61"/>
        <v>93979.049962655801</v>
      </c>
      <c r="N214" s="29">
        <f t="shared" si="68"/>
        <v>0</v>
      </c>
      <c r="O214" s="29">
        <f t="shared" si="62"/>
        <v>0</v>
      </c>
      <c r="P214" s="29">
        <f t="shared" si="69"/>
        <v>93979.049962655801</v>
      </c>
      <c r="Q214">
        <f t="shared" si="70"/>
        <v>0</v>
      </c>
      <c r="R214" s="29">
        <f t="shared" si="71"/>
        <v>0</v>
      </c>
      <c r="S214" s="29">
        <f t="shared" si="63"/>
        <v>0</v>
      </c>
      <c r="T214" s="29">
        <f t="shared" si="72"/>
        <v>93979.049962655801</v>
      </c>
      <c r="U214">
        <f t="shared" si="73"/>
        <v>0</v>
      </c>
      <c r="V214" s="29">
        <f t="shared" si="74"/>
        <v>0</v>
      </c>
      <c r="W214" s="29">
        <f t="shared" si="64"/>
        <v>0</v>
      </c>
      <c r="X214" s="29">
        <f t="shared" si="75"/>
        <v>93979.049962655801</v>
      </c>
      <c r="Y214">
        <f t="shared" si="76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allocations'!$A$1:$L$317,3,FALSE)</f>
        <v>49429.968712509522</v>
      </c>
      <c r="E215" s="31">
        <f>VLOOKUP(B215,'Initial adjusted formula count'!$A$1:$P$317,12,FALSE)</f>
        <v>0.172194800399085</v>
      </c>
      <c r="F215">
        <f>VLOOKUP(B215,'Model allocations'!$A$1:$L$317,8,FALSE)</f>
        <v>59717.548911030623</v>
      </c>
      <c r="G215" s="30">
        <f t="shared" si="65"/>
        <v>0.9</v>
      </c>
      <c r="H215">
        <f t="shared" si="66"/>
        <v>44486.971841258572</v>
      </c>
      <c r="I215">
        <f t="shared" si="58"/>
        <v>0</v>
      </c>
      <c r="J215">
        <f t="shared" si="59"/>
        <v>59717.548911030623</v>
      </c>
      <c r="K215">
        <f t="shared" si="60"/>
        <v>59690.270171048083</v>
      </c>
      <c r="L215">
        <f t="shared" si="67"/>
        <v>59690.270171048083</v>
      </c>
      <c r="M215">
        <f t="shared" si="61"/>
        <v>0</v>
      </c>
      <c r="N215" s="29">
        <f t="shared" si="68"/>
        <v>59690.270171048083</v>
      </c>
      <c r="O215" s="29">
        <f t="shared" si="62"/>
        <v>59687.242654128779</v>
      </c>
      <c r="P215" s="29">
        <f t="shared" si="69"/>
        <v>59687.242654128779</v>
      </c>
      <c r="Q215">
        <f t="shared" si="70"/>
        <v>0</v>
      </c>
      <c r="R215" s="29">
        <f t="shared" si="71"/>
        <v>59687.242654128779</v>
      </c>
      <c r="S215" s="29">
        <f t="shared" si="63"/>
        <v>59687.242654128815</v>
      </c>
      <c r="T215" s="29">
        <f t="shared" si="72"/>
        <v>59687.242654128815</v>
      </c>
      <c r="U215">
        <f t="shared" si="73"/>
        <v>0</v>
      </c>
      <c r="V215" s="29">
        <f t="shared" si="74"/>
        <v>59687.242654128815</v>
      </c>
      <c r="W215" s="29">
        <f t="shared" si="64"/>
        <v>59687.242654128822</v>
      </c>
      <c r="X215" s="29">
        <f t="shared" si="75"/>
        <v>59687.242654128822</v>
      </c>
      <c r="Y215">
        <f t="shared" si="76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allocations'!$A$1:$L$317,3,FALSE)</f>
        <v>47951.391656929336</v>
      </c>
      <c r="E216" s="31">
        <f>VLOOKUP(B216,'Initial adjusted formula count'!$A$1:$P$317,12,FALSE)</f>
        <v>0.14380739082834301</v>
      </c>
      <c r="F216">
        <f>VLOOKUP(B216,'Model allocations'!$A$1:$L$317,8,FALSE)</f>
        <v>21150.742994744629</v>
      </c>
      <c r="G216" s="30">
        <f t="shared" si="65"/>
        <v>0.85</v>
      </c>
      <c r="H216">
        <f t="shared" si="66"/>
        <v>40758.682908389936</v>
      </c>
      <c r="I216">
        <f t="shared" si="58"/>
        <v>40758.682908389936</v>
      </c>
      <c r="J216">
        <f t="shared" si="59"/>
        <v>0</v>
      </c>
      <c r="K216">
        <f t="shared" si="60"/>
        <v>0</v>
      </c>
      <c r="L216">
        <f t="shared" si="67"/>
        <v>40758.682908389936</v>
      </c>
      <c r="M216">
        <f t="shared" si="61"/>
        <v>0</v>
      </c>
      <c r="N216" s="29">
        <f t="shared" si="68"/>
        <v>0</v>
      </c>
      <c r="O216" s="29">
        <f t="shared" si="62"/>
        <v>0</v>
      </c>
      <c r="P216" s="29">
        <f t="shared" si="69"/>
        <v>40758.682908389936</v>
      </c>
      <c r="Q216">
        <f t="shared" si="70"/>
        <v>0</v>
      </c>
      <c r="R216" s="29">
        <f t="shared" si="71"/>
        <v>0</v>
      </c>
      <c r="S216" s="29">
        <f t="shared" si="63"/>
        <v>0</v>
      </c>
      <c r="T216" s="29">
        <f t="shared" si="72"/>
        <v>40758.682908389936</v>
      </c>
      <c r="U216">
        <f t="shared" si="73"/>
        <v>0</v>
      </c>
      <c r="V216" s="29">
        <f t="shared" si="74"/>
        <v>0</v>
      </c>
      <c r="W216" s="29">
        <f t="shared" si="64"/>
        <v>0</v>
      </c>
      <c r="X216" s="29">
        <f t="shared" si="75"/>
        <v>40758.682908389936</v>
      </c>
      <c r="Y216">
        <f t="shared" si="76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allocations'!$A$1:$L$317,3,FALSE)</f>
        <v>95498.909223697439</v>
      </c>
      <c r="E217" s="31">
        <f>VLOOKUP(B217,'Initial adjusted formula count'!$A$1:$P$317,12,FALSE)</f>
        <v>0.19674796747967499</v>
      </c>
      <c r="F217">
        <f>VLOOKUP(B217,'Model allocations'!$A$1:$L$317,8,FALSE)</f>
        <v>105146.65855019445</v>
      </c>
      <c r="G217" s="30">
        <f t="shared" si="65"/>
        <v>0.9</v>
      </c>
      <c r="H217">
        <f t="shared" si="66"/>
        <v>85949.018301327698</v>
      </c>
      <c r="I217">
        <f t="shared" si="58"/>
        <v>0</v>
      </c>
      <c r="J217">
        <f t="shared" si="59"/>
        <v>105146.65855019445</v>
      </c>
      <c r="K217">
        <f t="shared" si="60"/>
        <v>105098.62797273559</v>
      </c>
      <c r="L217">
        <f t="shared" si="67"/>
        <v>105098.62797273559</v>
      </c>
      <c r="M217">
        <f t="shared" si="61"/>
        <v>0</v>
      </c>
      <c r="N217" s="29">
        <f t="shared" si="68"/>
        <v>105098.62797273559</v>
      </c>
      <c r="O217" s="29">
        <f t="shared" si="62"/>
        <v>105093.29732381288</v>
      </c>
      <c r="P217" s="29">
        <f t="shared" si="69"/>
        <v>105093.29732381288</v>
      </c>
      <c r="Q217">
        <f t="shared" si="70"/>
        <v>0</v>
      </c>
      <c r="R217" s="29">
        <f t="shared" si="71"/>
        <v>105093.29732381288</v>
      </c>
      <c r="S217" s="29">
        <f t="shared" si="63"/>
        <v>105093.29732381293</v>
      </c>
      <c r="T217" s="29">
        <f t="shared" si="72"/>
        <v>105093.29732381293</v>
      </c>
      <c r="U217">
        <f t="shared" si="73"/>
        <v>0</v>
      </c>
      <c r="V217" s="29">
        <f t="shared" si="74"/>
        <v>105093.29732381293</v>
      </c>
      <c r="W217" s="29">
        <f t="shared" si="64"/>
        <v>105093.29732381293</v>
      </c>
      <c r="X217" s="29">
        <f t="shared" si="75"/>
        <v>105093.29732381293</v>
      </c>
      <c r="Y217">
        <f t="shared" si="76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allocations'!$A$1:$L$317,3,FALSE)</f>
        <v>110124.86829399341</v>
      </c>
      <c r="E218" s="31">
        <f>VLOOKUP(B218,'Initial adjusted formula count'!$A$1:$P$317,12,FALSE)</f>
        <v>8.1000000000000003E-2</v>
      </c>
      <c r="F218">
        <f>VLOOKUP(B218,'Model allocations'!$A$1:$L$317,8,FALSE)</f>
        <v>93606.138049894391</v>
      </c>
      <c r="G218" s="30">
        <f t="shared" si="65"/>
        <v>0.85</v>
      </c>
      <c r="H218">
        <f t="shared" si="66"/>
        <v>93606.138049894391</v>
      </c>
      <c r="I218">
        <f t="shared" si="58"/>
        <v>0</v>
      </c>
      <c r="J218">
        <f t="shared" si="59"/>
        <v>93606.138049894391</v>
      </c>
      <c r="K218">
        <f t="shared" si="60"/>
        <v>93563.379136523072</v>
      </c>
      <c r="L218">
        <f t="shared" si="67"/>
        <v>93563.379136523072</v>
      </c>
      <c r="M218">
        <f t="shared" si="61"/>
        <v>93606.138049894391</v>
      </c>
      <c r="N218" s="29">
        <f t="shared" si="68"/>
        <v>0</v>
      </c>
      <c r="O218" s="29">
        <f t="shared" si="62"/>
        <v>0</v>
      </c>
      <c r="P218" s="29">
        <f t="shared" si="69"/>
        <v>93606.138049894391</v>
      </c>
      <c r="Q218">
        <f t="shared" si="70"/>
        <v>0</v>
      </c>
      <c r="R218" s="29">
        <f t="shared" si="71"/>
        <v>0</v>
      </c>
      <c r="S218" s="29">
        <f t="shared" si="63"/>
        <v>0</v>
      </c>
      <c r="T218" s="29">
        <f t="shared" si="72"/>
        <v>93606.138049894391</v>
      </c>
      <c r="U218">
        <f t="shared" si="73"/>
        <v>0</v>
      </c>
      <c r="V218" s="29">
        <f t="shared" si="74"/>
        <v>0</v>
      </c>
      <c r="W218" s="29">
        <f t="shared" si="64"/>
        <v>0</v>
      </c>
      <c r="X218" s="29">
        <f t="shared" si="75"/>
        <v>93606.138049894391</v>
      </c>
      <c r="Y218">
        <f t="shared" si="76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allocations'!$A$1:$L$317,3,FALSE)</f>
        <v>1970207.8890926982</v>
      </c>
      <c r="E219" s="31">
        <f>VLOOKUP(B219,'Initial adjusted formula count'!$A$1:$P$317,12,FALSE)</f>
        <v>0.13406075414032301</v>
      </c>
      <c r="F219">
        <f>VLOOKUP(B219,'Model allocations'!$A$1:$L$317,8,FALSE)</f>
        <v>2032588.4813204594</v>
      </c>
      <c r="G219" s="30">
        <f t="shared" si="65"/>
        <v>0.85</v>
      </c>
      <c r="H219">
        <f t="shared" si="66"/>
        <v>1674676.7057287935</v>
      </c>
      <c r="I219">
        <f t="shared" si="58"/>
        <v>0</v>
      </c>
      <c r="J219">
        <f t="shared" si="59"/>
        <v>2032588.4813204594</v>
      </c>
      <c r="K219">
        <f t="shared" si="60"/>
        <v>2031660.0029471077</v>
      </c>
      <c r="L219">
        <f t="shared" si="67"/>
        <v>2031660.0029471077</v>
      </c>
      <c r="M219">
        <f t="shared" si="61"/>
        <v>0</v>
      </c>
      <c r="N219" s="29">
        <f t="shared" si="68"/>
        <v>2031660.0029471077</v>
      </c>
      <c r="O219" s="29">
        <f t="shared" si="62"/>
        <v>2031556.9562526369</v>
      </c>
      <c r="P219" s="29">
        <f t="shared" si="69"/>
        <v>2031556.9562526369</v>
      </c>
      <c r="Q219">
        <f t="shared" si="70"/>
        <v>0</v>
      </c>
      <c r="R219" s="29">
        <f t="shared" si="71"/>
        <v>2031556.9562526369</v>
      </c>
      <c r="S219" s="29">
        <f t="shared" si="63"/>
        <v>2031556.956252638</v>
      </c>
      <c r="T219" s="29">
        <f t="shared" si="72"/>
        <v>2031556.956252638</v>
      </c>
      <c r="U219">
        <f t="shared" si="73"/>
        <v>0</v>
      </c>
      <c r="V219" s="29">
        <f t="shared" si="74"/>
        <v>2031556.956252638</v>
      </c>
      <c r="W219" s="29">
        <f t="shared" si="64"/>
        <v>2031556.9562526385</v>
      </c>
      <c r="X219" s="29">
        <f t="shared" si="75"/>
        <v>2031556.9562526385</v>
      </c>
      <c r="Y219">
        <f t="shared" si="76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allocations'!$A$1:$L$317,3,FALSE)</f>
        <v>76571.19748566729</v>
      </c>
      <c r="E220" s="31">
        <f>VLOOKUP(B220,'Initial adjusted formula count'!$A$1:$P$317,12,FALSE)</f>
        <v>0.24</v>
      </c>
      <c r="F220">
        <f>VLOOKUP(B220,'Model allocations'!$A$1:$L$317,8,FALSE)</f>
        <v>78208.258425764507</v>
      </c>
      <c r="G220" s="30">
        <f t="shared" si="65"/>
        <v>0.9</v>
      </c>
      <c r="H220">
        <f t="shared" si="66"/>
        <v>68914.077737100568</v>
      </c>
      <c r="I220">
        <f t="shared" si="58"/>
        <v>0</v>
      </c>
      <c r="J220">
        <f t="shared" si="59"/>
        <v>78208.258425764507</v>
      </c>
      <c r="K220">
        <f t="shared" si="60"/>
        <v>78172.533202861232</v>
      </c>
      <c r="L220">
        <f t="shared" si="67"/>
        <v>78172.533202861232</v>
      </c>
      <c r="M220">
        <f t="shared" si="61"/>
        <v>0</v>
      </c>
      <c r="N220" s="29">
        <f t="shared" si="68"/>
        <v>78172.533202861232</v>
      </c>
      <c r="O220" s="29">
        <f t="shared" si="62"/>
        <v>78168.568257381528</v>
      </c>
      <c r="P220" s="29">
        <f t="shared" si="69"/>
        <v>78168.568257381528</v>
      </c>
      <c r="Q220">
        <f t="shared" si="70"/>
        <v>0</v>
      </c>
      <c r="R220" s="29">
        <f t="shared" si="71"/>
        <v>78168.568257381528</v>
      </c>
      <c r="S220" s="29">
        <f t="shared" si="63"/>
        <v>78168.568257381572</v>
      </c>
      <c r="T220" s="29">
        <f t="shared" si="72"/>
        <v>78168.568257381572</v>
      </c>
      <c r="U220">
        <f t="shared" si="73"/>
        <v>0</v>
      </c>
      <c r="V220" s="29">
        <f t="shared" si="74"/>
        <v>78168.568257381572</v>
      </c>
      <c r="W220" s="29">
        <f t="shared" si="64"/>
        <v>78168.568257381587</v>
      </c>
      <c r="X220" s="29">
        <f t="shared" si="75"/>
        <v>78168.568257381587</v>
      </c>
      <c r="Y220">
        <f t="shared" si="76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allocations'!$A$1:$L$317,3,FALSE)</f>
        <v>1156311.1170869307</v>
      </c>
      <c r="E221" s="31">
        <f>VLOOKUP(B221,'Initial adjusted formula count'!$A$1:$P$317,12,FALSE)</f>
        <v>9.5232048758809001E-2</v>
      </c>
      <c r="F221">
        <f>VLOOKUP(B221,'Model allocations'!$A$1:$L$317,8,FALSE)</f>
        <v>1303470.9737627415</v>
      </c>
      <c r="G221" s="30">
        <f t="shared" si="65"/>
        <v>0.85</v>
      </c>
      <c r="H221">
        <f t="shared" si="66"/>
        <v>982864.44952389109</v>
      </c>
      <c r="I221">
        <f t="shared" si="58"/>
        <v>0</v>
      </c>
      <c r="J221">
        <f t="shared" si="59"/>
        <v>1303470.9737627415</v>
      </c>
      <c r="K221">
        <f t="shared" si="60"/>
        <v>1302875.5533810202</v>
      </c>
      <c r="L221">
        <f t="shared" si="67"/>
        <v>1302875.5533810202</v>
      </c>
      <c r="M221">
        <f t="shared" si="61"/>
        <v>0</v>
      </c>
      <c r="N221" s="29">
        <f t="shared" si="68"/>
        <v>1302875.5533810202</v>
      </c>
      <c r="O221" s="29">
        <f t="shared" si="62"/>
        <v>1302809.4709563586</v>
      </c>
      <c r="P221" s="29">
        <f t="shared" si="69"/>
        <v>1302809.4709563586</v>
      </c>
      <c r="Q221">
        <f t="shared" si="70"/>
        <v>0</v>
      </c>
      <c r="R221" s="29">
        <f t="shared" si="71"/>
        <v>1302809.4709563586</v>
      </c>
      <c r="S221" s="29">
        <f t="shared" si="63"/>
        <v>1302809.4709563593</v>
      </c>
      <c r="T221" s="29">
        <f t="shared" si="72"/>
        <v>1302809.4709563593</v>
      </c>
      <c r="U221">
        <f t="shared" si="73"/>
        <v>0</v>
      </c>
      <c r="V221" s="29">
        <f t="shared" si="74"/>
        <v>1302809.4709563593</v>
      </c>
      <c r="W221" s="29">
        <f t="shared" si="64"/>
        <v>1302809.4709563595</v>
      </c>
      <c r="X221" s="29">
        <f t="shared" si="75"/>
        <v>1302809.4709563595</v>
      </c>
      <c r="Y221">
        <f t="shared" si="76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allocations'!$A$1:$L$317,3,FALSE)</f>
        <v>181983.54578080957</v>
      </c>
      <c r="E222" s="31">
        <f>VLOOKUP(B222,'Initial adjusted formula count'!$A$1:$P$317,12,FALSE)</f>
        <v>4.2256902761104401E-2</v>
      </c>
      <c r="F222">
        <f>VLOOKUP(B222,'Model allocations'!$A$1:$L$317,8,FALSE)</f>
        <v>154686.01391368813</v>
      </c>
      <c r="G222" s="30">
        <f t="shared" si="65"/>
        <v>0.85</v>
      </c>
      <c r="H222">
        <f t="shared" si="66"/>
        <v>154686.01391368813</v>
      </c>
      <c r="I222">
        <f t="shared" si="58"/>
        <v>0</v>
      </c>
      <c r="J222">
        <f t="shared" si="59"/>
        <v>154686.01391368813</v>
      </c>
      <c r="K222">
        <f t="shared" si="60"/>
        <v>154615.3539547743</v>
      </c>
      <c r="L222">
        <f t="shared" si="67"/>
        <v>154615.3539547743</v>
      </c>
      <c r="M222">
        <f t="shared" si="61"/>
        <v>154686.01391368813</v>
      </c>
      <c r="N222" s="29">
        <f t="shared" si="68"/>
        <v>0</v>
      </c>
      <c r="O222" s="29">
        <f t="shared" si="62"/>
        <v>0</v>
      </c>
      <c r="P222" s="29">
        <f t="shared" si="69"/>
        <v>154686.01391368813</v>
      </c>
      <c r="Q222">
        <f t="shared" si="70"/>
        <v>0</v>
      </c>
      <c r="R222" s="29">
        <f t="shared" si="71"/>
        <v>0</v>
      </c>
      <c r="S222" s="29">
        <f t="shared" si="63"/>
        <v>0</v>
      </c>
      <c r="T222" s="29">
        <f t="shared" si="72"/>
        <v>154686.01391368813</v>
      </c>
      <c r="U222">
        <f t="shared" si="73"/>
        <v>0</v>
      </c>
      <c r="V222" s="29">
        <f t="shared" si="74"/>
        <v>0</v>
      </c>
      <c r="W222" s="29">
        <f t="shared" si="64"/>
        <v>0</v>
      </c>
      <c r="X222" s="29">
        <f t="shared" si="75"/>
        <v>154686.01391368813</v>
      </c>
      <c r="Y222">
        <f t="shared" si="76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allocations'!$A$1:$L$317,3,FALSE)</f>
        <v>50760.681479262581</v>
      </c>
      <c r="E223" s="31">
        <f>VLOOKUP(B223,'Initial adjusted formula count'!$A$1:$P$317,12,FALSE)</f>
        <v>0.115942028985507</v>
      </c>
      <c r="F223">
        <f>VLOOKUP(B223,'Model allocations'!$A$1:$L$317,8,FALSE)</f>
        <v>43146.579257373196</v>
      </c>
      <c r="G223" s="30">
        <f t="shared" si="65"/>
        <v>0.85</v>
      </c>
      <c r="H223">
        <f t="shared" si="66"/>
        <v>43146.579257373196</v>
      </c>
      <c r="I223">
        <f t="shared" si="58"/>
        <v>0</v>
      </c>
      <c r="J223">
        <f t="shared" si="59"/>
        <v>43146.579257373196</v>
      </c>
      <c r="K223">
        <f t="shared" si="60"/>
        <v>43126.870070741104</v>
      </c>
      <c r="L223">
        <f t="shared" si="67"/>
        <v>43126.870070741104</v>
      </c>
      <c r="M223">
        <f t="shared" si="61"/>
        <v>43146.579257373196</v>
      </c>
      <c r="N223" s="29">
        <f t="shared" si="68"/>
        <v>0</v>
      </c>
      <c r="O223" s="29">
        <f t="shared" si="62"/>
        <v>0</v>
      </c>
      <c r="P223" s="29">
        <f t="shared" si="69"/>
        <v>43146.579257373196</v>
      </c>
      <c r="Q223">
        <f t="shared" si="70"/>
        <v>0</v>
      </c>
      <c r="R223" s="29">
        <f t="shared" si="71"/>
        <v>0</v>
      </c>
      <c r="S223" s="29">
        <f t="shared" si="63"/>
        <v>0</v>
      </c>
      <c r="T223" s="29">
        <f t="shared" si="72"/>
        <v>43146.579257373196</v>
      </c>
      <c r="U223">
        <f t="shared" si="73"/>
        <v>0</v>
      </c>
      <c r="V223" s="29">
        <f t="shared" si="74"/>
        <v>0</v>
      </c>
      <c r="W223" s="29">
        <f t="shared" si="64"/>
        <v>0</v>
      </c>
      <c r="X223" s="29">
        <f t="shared" si="75"/>
        <v>43146.579257373196</v>
      </c>
      <c r="Y223">
        <f t="shared" si="76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allocations'!$A$1:$L$317,3,FALSE)</f>
        <v>234875.69565828278</v>
      </c>
      <c r="E224" s="31">
        <f>VLOOKUP(B224,'Initial adjusted formula count'!$A$1:$P$317,12,FALSE)</f>
        <v>0.12299465240641699</v>
      </c>
      <c r="F224">
        <f>VLOOKUP(B224,'Model allocations'!$A$1:$L$317,8,FALSE)</f>
        <v>219852.10424131571</v>
      </c>
      <c r="G224" s="30">
        <f t="shared" si="65"/>
        <v>0.85</v>
      </c>
      <c r="H224">
        <f t="shared" si="66"/>
        <v>199644.34130954035</v>
      </c>
      <c r="I224">
        <f t="shared" si="58"/>
        <v>0</v>
      </c>
      <c r="J224">
        <f t="shared" si="59"/>
        <v>219852.10424131571</v>
      </c>
      <c r="K224">
        <f t="shared" si="60"/>
        <v>219751.67667026538</v>
      </c>
      <c r="L224">
        <f t="shared" si="67"/>
        <v>219751.67667026538</v>
      </c>
      <c r="M224">
        <f t="shared" si="61"/>
        <v>0</v>
      </c>
      <c r="N224" s="29">
        <f t="shared" si="68"/>
        <v>219751.67667026538</v>
      </c>
      <c r="O224" s="29">
        <f t="shared" si="62"/>
        <v>219740.53076797244</v>
      </c>
      <c r="P224" s="29">
        <f t="shared" si="69"/>
        <v>219740.53076797244</v>
      </c>
      <c r="Q224">
        <f t="shared" si="70"/>
        <v>0</v>
      </c>
      <c r="R224" s="29">
        <f t="shared" si="71"/>
        <v>219740.53076797244</v>
      </c>
      <c r="S224" s="29">
        <f t="shared" si="63"/>
        <v>219740.53076797258</v>
      </c>
      <c r="T224" s="29">
        <f t="shared" si="72"/>
        <v>219740.53076797258</v>
      </c>
      <c r="U224">
        <f t="shared" si="73"/>
        <v>0</v>
      </c>
      <c r="V224" s="29">
        <f t="shared" si="74"/>
        <v>219740.53076797258</v>
      </c>
      <c r="W224" s="29">
        <f t="shared" si="64"/>
        <v>219740.53076797261</v>
      </c>
      <c r="X224" s="29">
        <f t="shared" si="75"/>
        <v>219740.53076797261</v>
      </c>
      <c r="Y224">
        <f t="shared" si="76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allocations'!$A$1:$L$317,3,FALSE)</f>
        <v>143526.64554033664</v>
      </c>
      <c r="E225" s="31">
        <f>VLOOKUP(B225,'Initial adjusted formula count'!$A$1:$P$317,12,FALSE)</f>
        <v>3.3472803347280297E-2</v>
      </c>
      <c r="F225">
        <f>VLOOKUP(B225,'Model allocations'!$A$1:$L$317,8,FALSE)</f>
        <v>121997.64870928614</v>
      </c>
      <c r="G225" s="30">
        <f t="shared" si="65"/>
        <v>0.85</v>
      </c>
      <c r="H225">
        <f t="shared" si="66"/>
        <v>121997.64870928614</v>
      </c>
      <c r="I225">
        <f t="shared" si="58"/>
        <v>0</v>
      </c>
      <c r="J225">
        <f t="shared" si="59"/>
        <v>121997.64870928614</v>
      </c>
      <c r="K225">
        <f t="shared" si="60"/>
        <v>121941.92066621826</v>
      </c>
      <c r="L225">
        <f t="shared" si="67"/>
        <v>121941.92066621826</v>
      </c>
      <c r="M225">
        <f t="shared" si="61"/>
        <v>121997.64870928614</v>
      </c>
      <c r="N225" s="29">
        <f t="shared" si="68"/>
        <v>0</v>
      </c>
      <c r="O225" s="29">
        <f t="shared" si="62"/>
        <v>0</v>
      </c>
      <c r="P225" s="29">
        <f t="shared" si="69"/>
        <v>121997.64870928614</v>
      </c>
      <c r="Q225">
        <f t="shared" si="70"/>
        <v>0</v>
      </c>
      <c r="R225" s="29">
        <f t="shared" si="71"/>
        <v>0</v>
      </c>
      <c r="S225" s="29">
        <f t="shared" si="63"/>
        <v>0</v>
      </c>
      <c r="T225" s="29">
        <f t="shared" si="72"/>
        <v>121997.64870928614</v>
      </c>
      <c r="U225">
        <f t="shared" si="73"/>
        <v>0</v>
      </c>
      <c r="V225" s="29">
        <f t="shared" si="74"/>
        <v>0</v>
      </c>
      <c r="W225" s="29">
        <f t="shared" si="64"/>
        <v>0</v>
      </c>
      <c r="X225" s="29">
        <f t="shared" si="75"/>
        <v>121997.64870928614</v>
      </c>
      <c r="Y225">
        <f t="shared" si="76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allocations'!$A$1:$L$317,3,FALSE)</f>
        <v>249969.85156307442</v>
      </c>
      <c r="E226" s="31">
        <f>VLOOKUP(B226,'Initial adjusted formula count'!$A$1:$P$317,12,FALSE)</f>
        <v>0.10241935483870999</v>
      </c>
      <c r="F226">
        <f>VLOOKUP(B226,'Model allocations'!$A$1:$L$317,8,FALSE)</f>
        <v>220721.08489049095</v>
      </c>
      <c r="G226" s="30">
        <f t="shared" si="65"/>
        <v>0.85</v>
      </c>
      <c r="H226">
        <f t="shared" si="66"/>
        <v>212474.37382861326</v>
      </c>
      <c r="I226">
        <f t="shared" si="58"/>
        <v>0</v>
      </c>
      <c r="J226">
        <f t="shared" si="59"/>
        <v>220721.08489049095</v>
      </c>
      <c r="K226">
        <f t="shared" si="60"/>
        <v>220620.26037251946</v>
      </c>
      <c r="L226">
        <f t="shared" si="67"/>
        <v>220620.26037251946</v>
      </c>
      <c r="M226">
        <f t="shared" si="61"/>
        <v>0</v>
      </c>
      <c r="N226" s="29">
        <f t="shared" si="68"/>
        <v>220620.26037251946</v>
      </c>
      <c r="O226" s="29">
        <f t="shared" si="62"/>
        <v>220609.07041527677</v>
      </c>
      <c r="P226" s="29">
        <f t="shared" si="69"/>
        <v>220609.07041527677</v>
      </c>
      <c r="Q226">
        <f t="shared" si="70"/>
        <v>0</v>
      </c>
      <c r="R226" s="29">
        <f t="shared" si="71"/>
        <v>220609.07041527677</v>
      </c>
      <c r="S226" s="29">
        <f t="shared" si="63"/>
        <v>220609.07041527689</v>
      </c>
      <c r="T226" s="29">
        <f t="shared" si="72"/>
        <v>220609.07041527689</v>
      </c>
      <c r="U226">
        <f t="shared" si="73"/>
        <v>0</v>
      </c>
      <c r="V226" s="29">
        <f t="shared" si="74"/>
        <v>220609.07041527689</v>
      </c>
      <c r="W226" s="29">
        <f t="shared" si="64"/>
        <v>220609.07041527689</v>
      </c>
      <c r="X226" s="29">
        <f t="shared" si="75"/>
        <v>220609.07041527689</v>
      </c>
      <c r="Y226">
        <f t="shared" si="76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allocations'!$A$1:$L$317,3,FALSE)</f>
        <v>0</v>
      </c>
      <c r="E227" s="31">
        <f>VLOOKUP(B227,'Initial adjusted formula count'!$A$1:$P$317,12,FALSE)</f>
        <v>9.3023255813953501E-2</v>
      </c>
      <c r="F227">
        <f>VLOOKUP(B227,'Model allocations'!$A$1:$L$317,8,FALSE)</f>
        <v>0</v>
      </c>
      <c r="G227" s="30">
        <f t="shared" si="65"/>
        <v>0.85</v>
      </c>
      <c r="H227">
        <f t="shared" si="66"/>
        <v>0</v>
      </c>
      <c r="I227">
        <f t="shared" si="58"/>
        <v>0</v>
      </c>
      <c r="J227">
        <f t="shared" si="59"/>
        <v>0</v>
      </c>
      <c r="K227">
        <f t="shared" si="60"/>
        <v>0</v>
      </c>
      <c r="L227">
        <f t="shared" si="67"/>
        <v>0</v>
      </c>
      <c r="M227">
        <f t="shared" si="61"/>
        <v>0</v>
      </c>
      <c r="N227" s="29">
        <f t="shared" si="68"/>
        <v>0</v>
      </c>
      <c r="O227" s="29">
        <f t="shared" si="62"/>
        <v>0</v>
      </c>
      <c r="P227" s="29">
        <f t="shared" si="69"/>
        <v>0</v>
      </c>
      <c r="Q227">
        <f t="shared" si="70"/>
        <v>0</v>
      </c>
      <c r="R227" s="29">
        <f t="shared" si="71"/>
        <v>0</v>
      </c>
      <c r="S227" s="29">
        <f t="shared" si="63"/>
        <v>0</v>
      </c>
      <c r="T227" s="29">
        <f t="shared" si="72"/>
        <v>0</v>
      </c>
      <c r="U227">
        <f t="shared" si="73"/>
        <v>0</v>
      </c>
      <c r="V227" s="29">
        <f t="shared" si="74"/>
        <v>0</v>
      </c>
      <c r="W227" s="29">
        <f t="shared" si="64"/>
        <v>0</v>
      </c>
      <c r="X227" s="29">
        <f t="shared" si="75"/>
        <v>0</v>
      </c>
      <c r="Y227">
        <f t="shared" si="76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allocations'!$A$1:$L$317,3,FALSE)</f>
        <v>28391.56760704517</v>
      </c>
      <c r="E228" s="31">
        <f>VLOOKUP(B228,'Initial adjusted formula count'!$A$1:$P$317,12,FALSE)</f>
        <v>0.19028340080971701</v>
      </c>
      <c r="F228">
        <f>VLOOKUP(B228,'Model allocations'!$A$1:$L$317,8,FALSE)</f>
        <v>40842.090511232564</v>
      </c>
      <c r="G228" s="30">
        <f t="shared" si="65"/>
        <v>0.9</v>
      </c>
      <c r="H228">
        <f t="shared" si="66"/>
        <v>25552.410846340652</v>
      </c>
      <c r="I228">
        <f t="shared" si="58"/>
        <v>0</v>
      </c>
      <c r="J228">
        <f t="shared" si="59"/>
        <v>40842.090511232564</v>
      </c>
      <c r="K228">
        <f t="shared" si="60"/>
        <v>40823.434005938623</v>
      </c>
      <c r="L228">
        <f t="shared" si="67"/>
        <v>40823.434005938623</v>
      </c>
      <c r="M228">
        <f t="shared" si="61"/>
        <v>0</v>
      </c>
      <c r="N228" s="29">
        <f t="shared" si="68"/>
        <v>40823.434005938623</v>
      </c>
      <c r="O228" s="29">
        <f t="shared" si="62"/>
        <v>40821.363423299226</v>
      </c>
      <c r="P228" s="29">
        <f t="shared" si="69"/>
        <v>40821.363423299226</v>
      </c>
      <c r="Q228">
        <f t="shared" si="70"/>
        <v>0</v>
      </c>
      <c r="R228" s="29">
        <f t="shared" si="71"/>
        <v>40821.363423299226</v>
      </c>
      <c r="S228" s="29">
        <f t="shared" si="63"/>
        <v>40821.363423299248</v>
      </c>
      <c r="T228" s="29">
        <f t="shared" si="72"/>
        <v>40821.363423299248</v>
      </c>
      <c r="U228">
        <f t="shared" si="73"/>
        <v>0</v>
      </c>
      <c r="V228" s="29">
        <f t="shared" si="74"/>
        <v>40821.363423299248</v>
      </c>
      <c r="W228" s="29">
        <f t="shared" si="64"/>
        <v>40821.363423299255</v>
      </c>
      <c r="X228" s="29">
        <f t="shared" si="75"/>
        <v>40821.363423299255</v>
      </c>
      <c r="Y228">
        <f t="shared" si="76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allocations'!$A$1:$L$317,3,FALSE)</f>
        <v>242587.61963302392</v>
      </c>
      <c r="E229" s="31">
        <f>VLOOKUP(B229,'Initial adjusted formula count'!$A$1:$P$317,12,FALSE)</f>
        <v>0.13964784456587701</v>
      </c>
      <c r="F229">
        <f>VLOOKUP(B229,'Model allocations'!$A$1:$L$317,8,FALSE)</f>
        <v>206199.47668807034</v>
      </c>
      <c r="G229" s="30">
        <f t="shared" si="65"/>
        <v>0.85</v>
      </c>
      <c r="H229">
        <f t="shared" si="66"/>
        <v>206199.47668807034</v>
      </c>
      <c r="I229">
        <f t="shared" si="58"/>
        <v>0</v>
      </c>
      <c r="J229">
        <f t="shared" si="59"/>
        <v>206199.47668807034</v>
      </c>
      <c r="K229">
        <f t="shared" si="60"/>
        <v>206105.2855832497</v>
      </c>
      <c r="L229">
        <f t="shared" si="67"/>
        <v>206105.2855832497</v>
      </c>
      <c r="M229">
        <f t="shared" si="61"/>
        <v>206199.47668807034</v>
      </c>
      <c r="N229" s="29">
        <f t="shared" si="68"/>
        <v>0</v>
      </c>
      <c r="O229" s="29">
        <f t="shared" si="62"/>
        <v>0</v>
      </c>
      <c r="P229" s="29">
        <f t="shared" si="69"/>
        <v>206199.47668807034</v>
      </c>
      <c r="Q229">
        <f t="shared" si="70"/>
        <v>0</v>
      </c>
      <c r="R229" s="29">
        <f t="shared" si="71"/>
        <v>0</v>
      </c>
      <c r="S229" s="29">
        <f t="shared" si="63"/>
        <v>0</v>
      </c>
      <c r="T229" s="29">
        <f t="shared" si="72"/>
        <v>206199.47668807034</v>
      </c>
      <c r="U229">
        <f t="shared" si="73"/>
        <v>0</v>
      </c>
      <c r="V229" s="29">
        <f t="shared" si="74"/>
        <v>0</v>
      </c>
      <c r="W229" s="29">
        <f t="shared" si="64"/>
        <v>0</v>
      </c>
      <c r="X229" s="29">
        <f t="shared" si="75"/>
        <v>206199.47668807034</v>
      </c>
      <c r="Y229">
        <f t="shared" si="76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allocations'!$A$1:$L$317,3,FALSE)</f>
        <v>82407.643372442079</v>
      </c>
      <c r="E230" s="31">
        <f>VLOOKUP(B230,'Initial adjusted formula count'!$A$1:$P$317,12,FALSE)</f>
        <v>0.1</v>
      </c>
      <c r="F230">
        <f>VLOOKUP(B230,'Model allocations'!$A$1:$L$317,8,FALSE)</f>
        <v>75601.316478239009</v>
      </c>
      <c r="G230" s="30">
        <f t="shared" si="65"/>
        <v>0.85</v>
      </c>
      <c r="H230">
        <f t="shared" si="66"/>
        <v>70046.496866575762</v>
      </c>
      <c r="I230">
        <f t="shared" si="58"/>
        <v>0</v>
      </c>
      <c r="J230">
        <f t="shared" si="59"/>
        <v>75601.316478239009</v>
      </c>
      <c r="K230">
        <f t="shared" si="60"/>
        <v>75566.782096099167</v>
      </c>
      <c r="L230">
        <f t="shared" si="67"/>
        <v>75566.782096099167</v>
      </c>
      <c r="M230">
        <f t="shared" si="61"/>
        <v>0</v>
      </c>
      <c r="N230" s="29">
        <f t="shared" si="68"/>
        <v>75566.782096099167</v>
      </c>
      <c r="O230" s="29">
        <f t="shared" si="62"/>
        <v>75562.949315468781</v>
      </c>
      <c r="P230" s="29">
        <f t="shared" si="69"/>
        <v>75562.949315468781</v>
      </c>
      <c r="Q230">
        <f t="shared" si="70"/>
        <v>0</v>
      </c>
      <c r="R230" s="29">
        <f t="shared" si="71"/>
        <v>75562.949315468781</v>
      </c>
      <c r="S230" s="29">
        <f t="shared" si="63"/>
        <v>75562.949315468824</v>
      </c>
      <c r="T230" s="29">
        <f t="shared" si="72"/>
        <v>75562.949315468824</v>
      </c>
      <c r="U230">
        <f t="shared" si="73"/>
        <v>0</v>
      </c>
      <c r="V230" s="29">
        <f t="shared" si="74"/>
        <v>75562.949315468824</v>
      </c>
      <c r="W230" s="29">
        <f t="shared" si="64"/>
        <v>75562.949315468839</v>
      </c>
      <c r="X230" s="29">
        <f t="shared" si="75"/>
        <v>75562.949315468839</v>
      </c>
      <c r="Y230">
        <f t="shared" si="76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allocations'!$A$1:$L$317,3,FALSE)</f>
        <v>15996.777831121119</v>
      </c>
      <c r="E231" s="31">
        <f>VLOOKUP(B231,'Initial adjusted formula count'!$A$1:$P$317,12,FALSE)</f>
        <v>0.13636363636363599</v>
      </c>
      <c r="F231">
        <f>VLOOKUP(B231,'Model allocations'!$A$1:$L$317,8,FALSE)</f>
        <v>13597.261156452951</v>
      </c>
      <c r="G231" s="30">
        <f t="shared" si="65"/>
        <v>0.85</v>
      </c>
      <c r="H231">
        <f t="shared" si="66"/>
        <v>13597.261156452951</v>
      </c>
      <c r="I231">
        <f t="shared" si="58"/>
        <v>0</v>
      </c>
      <c r="J231">
        <f t="shared" si="59"/>
        <v>13597.261156452951</v>
      </c>
      <c r="K231">
        <f t="shared" si="60"/>
        <v>13591.049981374175</v>
      </c>
      <c r="L231">
        <f t="shared" si="67"/>
        <v>13591.049981374175</v>
      </c>
      <c r="M231">
        <f t="shared" si="61"/>
        <v>13597.261156452951</v>
      </c>
      <c r="N231" s="29">
        <f t="shared" si="68"/>
        <v>0</v>
      </c>
      <c r="O231" s="29">
        <f t="shared" si="62"/>
        <v>0</v>
      </c>
      <c r="P231" s="29">
        <f t="shared" si="69"/>
        <v>13597.261156452951</v>
      </c>
      <c r="Q231">
        <f t="shared" si="70"/>
        <v>0</v>
      </c>
      <c r="R231" s="29">
        <f t="shared" si="71"/>
        <v>0</v>
      </c>
      <c r="S231" s="29">
        <f t="shared" si="63"/>
        <v>0</v>
      </c>
      <c r="T231" s="29">
        <f t="shared" si="72"/>
        <v>13597.261156452951</v>
      </c>
      <c r="U231">
        <f t="shared" si="73"/>
        <v>0</v>
      </c>
      <c r="V231" s="29">
        <f t="shared" si="74"/>
        <v>0</v>
      </c>
      <c r="W231" s="29">
        <f t="shared" si="64"/>
        <v>0</v>
      </c>
      <c r="X231" s="29">
        <f t="shared" si="75"/>
        <v>13597.261156452951</v>
      </c>
      <c r="Y231">
        <f t="shared" si="76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allocations'!$A$1:$L$317,3,FALSE)</f>
        <v>18831.618498071577</v>
      </c>
      <c r="E232" s="31">
        <f>VLOOKUP(B232,'Initial adjusted formula count'!$A$1:$P$317,12,FALSE)</f>
        <v>0.13881734580133701</v>
      </c>
      <c r="F232">
        <f>VLOOKUP(B232,'Model allocations'!$A$1:$L$317,8,FALSE)</f>
        <v>17388.776779439962</v>
      </c>
      <c r="G232" s="30">
        <f t="shared" si="65"/>
        <v>0.85</v>
      </c>
      <c r="H232">
        <f t="shared" si="66"/>
        <v>16006.875723360839</v>
      </c>
      <c r="I232">
        <f t="shared" si="58"/>
        <v>0</v>
      </c>
      <c r="J232">
        <f t="shared" si="59"/>
        <v>17388.776779439962</v>
      </c>
      <c r="K232">
        <f t="shared" si="60"/>
        <v>17380.833655031296</v>
      </c>
      <c r="L232">
        <f t="shared" si="67"/>
        <v>17380.833655031296</v>
      </c>
      <c r="M232">
        <f t="shared" si="61"/>
        <v>0</v>
      </c>
      <c r="N232" s="29">
        <f t="shared" si="68"/>
        <v>17380.833655031296</v>
      </c>
      <c r="O232" s="29">
        <f t="shared" si="62"/>
        <v>17379.952091456336</v>
      </c>
      <c r="P232" s="29">
        <f t="shared" si="69"/>
        <v>17379.952091456336</v>
      </c>
      <c r="Q232">
        <f t="shared" si="70"/>
        <v>0</v>
      </c>
      <c r="R232" s="29">
        <f t="shared" si="71"/>
        <v>17379.952091456336</v>
      </c>
      <c r="S232" s="29">
        <f t="shared" si="63"/>
        <v>17379.952091456347</v>
      </c>
      <c r="T232" s="29">
        <f t="shared" si="72"/>
        <v>17379.952091456347</v>
      </c>
      <c r="U232">
        <f t="shared" si="73"/>
        <v>0</v>
      </c>
      <c r="V232" s="29">
        <f t="shared" si="74"/>
        <v>17379.952091456347</v>
      </c>
      <c r="W232" s="29">
        <f t="shared" si="64"/>
        <v>17379.952091456347</v>
      </c>
      <c r="X232" s="29">
        <f t="shared" si="75"/>
        <v>17379.952091456347</v>
      </c>
      <c r="Y232">
        <f t="shared" si="76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allocations'!$A$1:$L$317,3,FALSE)</f>
        <v>0</v>
      </c>
      <c r="E233" s="31">
        <f>VLOOKUP(B233,'Initial adjusted formula count'!$A$1:$P$317,12,FALSE)</f>
        <v>6.8505523903888699E-2</v>
      </c>
      <c r="F233">
        <f>VLOOKUP(B233,'Model allocations'!$A$1:$L$317,8,FALSE)</f>
        <v>0</v>
      </c>
      <c r="G233" s="30">
        <f t="shared" si="65"/>
        <v>0.85</v>
      </c>
      <c r="H233">
        <f t="shared" si="66"/>
        <v>0</v>
      </c>
      <c r="I233">
        <f t="shared" si="58"/>
        <v>0</v>
      </c>
      <c r="J233">
        <f t="shared" si="59"/>
        <v>0</v>
      </c>
      <c r="K233">
        <f t="shared" si="60"/>
        <v>0</v>
      </c>
      <c r="L233">
        <f t="shared" si="67"/>
        <v>0</v>
      </c>
      <c r="M233">
        <f t="shared" si="61"/>
        <v>0</v>
      </c>
      <c r="N233" s="29">
        <f t="shared" si="68"/>
        <v>0</v>
      </c>
      <c r="O233" s="29">
        <f t="shared" si="62"/>
        <v>0</v>
      </c>
      <c r="P233" s="29">
        <f t="shared" si="69"/>
        <v>0</v>
      </c>
      <c r="Q233">
        <f t="shared" si="70"/>
        <v>0</v>
      </c>
      <c r="R233" s="29">
        <f t="shared" si="71"/>
        <v>0</v>
      </c>
      <c r="S233" s="29">
        <f t="shared" si="63"/>
        <v>0</v>
      </c>
      <c r="T233" s="29">
        <f t="shared" si="72"/>
        <v>0</v>
      </c>
      <c r="U233">
        <f t="shared" si="73"/>
        <v>0</v>
      </c>
      <c r="V233" s="29">
        <f t="shared" si="74"/>
        <v>0</v>
      </c>
      <c r="W233" s="29">
        <f t="shared" si="64"/>
        <v>0</v>
      </c>
      <c r="X233" s="29">
        <f t="shared" si="75"/>
        <v>0</v>
      </c>
      <c r="Y233">
        <f t="shared" si="76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allocations'!$A$1:$L$317,3,FALSE)</f>
        <v>5126158.996638692</v>
      </c>
      <c r="E234" s="31">
        <f>VLOOKUP(B234,'Initial adjusted formula count'!$A$1:$P$317,12,FALSE)</f>
        <v>9.7120311358407194E-2</v>
      </c>
      <c r="F234">
        <f>VLOOKUP(B234,'Model allocations'!$A$1:$L$317,8,FALSE)</f>
        <v>5772511.8316432768</v>
      </c>
      <c r="G234" s="30">
        <f t="shared" si="65"/>
        <v>0.85</v>
      </c>
      <c r="H234">
        <f t="shared" si="66"/>
        <v>4357235.147142888</v>
      </c>
      <c r="I234">
        <f t="shared" si="58"/>
        <v>0</v>
      </c>
      <c r="J234">
        <f t="shared" si="59"/>
        <v>5772511.8316432768</v>
      </c>
      <c r="K234">
        <f t="shared" si="60"/>
        <v>5769874.9710859861</v>
      </c>
      <c r="L234">
        <f t="shared" si="67"/>
        <v>5769874.9710859861</v>
      </c>
      <c r="M234">
        <f t="shared" si="61"/>
        <v>0</v>
      </c>
      <c r="N234" s="29">
        <f t="shared" si="68"/>
        <v>5769874.9710859861</v>
      </c>
      <c r="O234" s="29">
        <f t="shared" si="62"/>
        <v>5769582.3204739653</v>
      </c>
      <c r="P234" s="29">
        <f t="shared" si="69"/>
        <v>5769582.3204739653</v>
      </c>
      <c r="Q234">
        <f t="shared" si="70"/>
        <v>0</v>
      </c>
      <c r="R234" s="29">
        <f t="shared" si="71"/>
        <v>5769582.3204739653</v>
      </c>
      <c r="S234" s="29">
        <f t="shared" si="63"/>
        <v>5769582.3204739681</v>
      </c>
      <c r="T234" s="29">
        <f t="shared" si="72"/>
        <v>5769582.3204739681</v>
      </c>
      <c r="U234">
        <f t="shared" si="73"/>
        <v>0</v>
      </c>
      <c r="V234" s="29">
        <f t="shared" si="74"/>
        <v>5769582.3204739681</v>
      </c>
      <c r="W234" s="29">
        <f t="shared" si="64"/>
        <v>5769582.320473969</v>
      </c>
      <c r="X234" s="29">
        <f t="shared" si="75"/>
        <v>5769582.320473969</v>
      </c>
      <c r="Y234">
        <f t="shared" si="76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allocations'!$A$1:$L$317,3,FALSE)</f>
        <v>529115.57813129621</v>
      </c>
      <c r="E235" s="31">
        <f>VLOOKUP(B235,'Initial adjusted formula count'!$A$1:$P$317,12,FALSE)</f>
        <v>0.111395899053628</v>
      </c>
      <c r="F235">
        <f>VLOOKUP(B235,'Model allocations'!$A$1:$L$317,8,FALSE)</f>
        <v>490974.06678396597</v>
      </c>
      <c r="G235" s="30">
        <f t="shared" si="65"/>
        <v>0.85</v>
      </c>
      <c r="H235">
        <f t="shared" si="66"/>
        <v>449748.24141160178</v>
      </c>
      <c r="I235">
        <f t="shared" si="58"/>
        <v>0</v>
      </c>
      <c r="J235">
        <f t="shared" si="59"/>
        <v>490974.06678396597</v>
      </c>
      <c r="K235">
        <f t="shared" si="60"/>
        <v>490749.79177351762</v>
      </c>
      <c r="L235">
        <f t="shared" si="67"/>
        <v>490749.79177351762</v>
      </c>
      <c r="M235">
        <f t="shared" si="61"/>
        <v>0</v>
      </c>
      <c r="N235" s="29">
        <f t="shared" si="68"/>
        <v>490749.79177351762</v>
      </c>
      <c r="O235" s="29">
        <f t="shared" si="62"/>
        <v>490724.90072689502</v>
      </c>
      <c r="P235" s="29">
        <f t="shared" si="69"/>
        <v>490724.90072689502</v>
      </c>
      <c r="Q235">
        <f t="shared" si="70"/>
        <v>0</v>
      </c>
      <c r="R235" s="29">
        <f t="shared" si="71"/>
        <v>490724.90072689502</v>
      </c>
      <c r="S235" s="29">
        <f t="shared" si="63"/>
        <v>490724.90072689531</v>
      </c>
      <c r="T235" s="29">
        <f t="shared" si="72"/>
        <v>490724.90072689531</v>
      </c>
      <c r="U235">
        <f t="shared" si="73"/>
        <v>0</v>
      </c>
      <c r="V235" s="29">
        <f t="shared" si="74"/>
        <v>490724.90072689531</v>
      </c>
      <c r="W235" s="29">
        <f t="shared" si="64"/>
        <v>490724.90072689543</v>
      </c>
      <c r="X235" s="29">
        <f t="shared" si="75"/>
        <v>490724.90072689543</v>
      </c>
      <c r="Y235">
        <f t="shared" si="76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allocations'!$A$1:$L$317,3,FALSE)</f>
        <v>402644.04969991342</v>
      </c>
      <c r="E236" s="31">
        <f>VLOOKUP(B236,'Initial adjusted formula count'!$A$1:$P$317,12,FALSE)</f>
        <v>0.121589277166108</v>
      </c>
      <c r="F236">
        <f>VLOOKUP(B236,'Model allocations'!$A$1:$L$317,8,FALSE)</f>
        <v>441442.1697809819</v>
      </c>
      <c r="G236" s="30">
        <f t="shared" si="65"/>
        <v>0.85</v>
      </c>
      <c r="H236">
        <f t="shared" si="66"/>
        <v>342247.44224492641</v>
      </c>
      <c r="I236">
        <f t="shared" si="58"/>
        <v>0</v>
      </c>
      <c r="J236">
        <f t="shared" si="59"/>
        <v>441442.1697809819</v>
      </c>
      <c r="K236">
        <f t="shared" si="60"/>
        <v>441240.52074503893</v>
      </c>
      <c r="L236">
        <f t="shared" si="67"/>
        <v>441240.52074503893</v>
      </c>
      <c r="M236">
        <f t="shared" si="61"/>
        <v>0</v>
      </c>
      <c r="N236" s="29">
        <f t="shared" si="68"/>
        <v>441240.52074503893</v>
      </c>
      <c r="O236" s="29">
        <f t="shared" si="62"/>
        <v>441218.14083055354</v>
      </c>
      <c r="P236" s="29">
        <f t="shared" si="69"/>
        <v>441218.14083055354</v>
      </c>
      <c r="Q236">
        <f t="shared" si="70"/>
        <v>0</v>
      </c>
      <c r="R236" s="29">
        <f t="shared" si="71"/>
        <v>441218.14083055354</v>
      </c>
      <c r="S236" s="29">
        <f t="shared" si="63"/>
        <v>441218.14083055378</v>
      </c>
      <c r="T236" s="29">
        <f t="shared" si="72"/>
        <v>441218.14083055378</v>
      </c>
      <c r="U236">
        <f t="shared" si="73"/>
        <v>0</v>
      </c>
      <c r="V236" s="29">
        <f t="shared" si="74"/>
        <v>441218.14083055378</v>
      </c>
      <c r="W236" s="29">
        <f t="shared" si="64"/>
        <v>441218.14083055378</v>
      </c>
      <c r="X236" s="29">
        <f t="shared" si="75"/>
        <v>441218.14083055378</v>
      </c>
      <c r="Y236">
        <f t="shared" si="76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allocations'!$A$1:$L$317,3,FALSE)</f>
        <v>73990.145885026795</v>
      </c>
      <c r="E237" s="31">
        <f>VLOOKUP(B237,'Initial adjusted formula count'!$A$1:$P$317,12,FALSE)</f>
        <v>0.25937500000000002</v>
      </c>
      <c r="F237">
        <f>VLOOKUP(B237,'Model allocations'!$A$1:$L$317,8,FALSE)</f>
        <v>72125.39388153833</v>
      </c>
      <c r="G237" s="30">
        <f t="shared" si="65"/>
        <v>0.9</v>
      </c>
      <c r="H237">
        <f t="shared" si="66"/>
        <v>66591.131296524123</v>
      </c>
      <c r="I237">
        <f t="shared" si="58"/>
        <v>0</v>
      </c>
      <c r="J237">
        <f t="shared" si="59"/>
        <v>72125.39388153833</v>
      </c>
      <c r="K237">
        <f t="shared" si="60"/>
        <v>72092.44728708308</v>
      </c>
      <c r="L237">
        <f t="shared" si="67"/>
        <v>72092.44728708308</v>
      </c>
      <c r="M237">
        <f t="shared" si="61"/>
        <v>0</v>
      </c>
      <c r="N237" s="29">
        <f t="shared" si="68"/>
        <v>72092.44728708308</v>
      </c>
      <c r="O237" s="29">
        <f t="shared" si="62"/>
        <v>72088.790726251798</v>
      </c>
      <c r="P237" s="29">
        <f t="shared" si="69"/>
        <v>72088.790726251798</v>
      </c>
      <c r="Q237">
        <f t="shared" si="70"/>
        <v>0</v>
      </c>
      <c r="R237" s="29">
        <f t="shared" si="71"/>
        <v>72088.790726251798</v>
      </c>
      <c r="S237" s="29">
        <f t="shared" si="63"/>
        <v>72088.790726251842</v>
      </c>
      <c r="T237" s="29">
        <f t="shared" si="72"/>
        <v>72088.790726251842</v>
      </c>
      <c r="U237">
        <f t="shared" si="73"/>
        <v>0</v>
      </c>
      <c r="V237" s="29">
        <f t="shared" si="74"/>
        <v>72088.790726251842</v>
      </c>
      <c r="W237" s="29">
        <f t="shared" si="64"/>
        <v>72088.790726251857</v>
      </c>
      <c r="X237" s="29">
        <f t="shared" si="75"/>
        <v>72088.790726251857</v>
      </c>
      <c r="Y237">
        <f t="shared" si="76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allocations'!$A$1:$L$317,3,FALSE)</f>
        <v>364788.62622385321</v>
      </c>
      <c r="E238" s="31">
        <f>VLOOKUP(B238,'Initial adjusted formula count'!$A$1:$P$317,12,FALSE)</f>
        <v>0.14779270633397301</v>
      </c>
      <c r="F238">
        <f>VLOOKUP(B238,'Model allocations'!$A$1:$L$317,8,FALSE)</f>
        <v>401469.05991892447</v>
      </c>
      <c r="G238" s="30">
        <f t="shared" si="65"/>
        <v>0.85</v>
      </c>
      <c r="H238">
        <f t="shared" si="66"/>
        <v>310070.3322902752</v>
      </c>
      <c r="I238">
        <f t="shared" si="58"/>
        <v>0</v>
      </c>
      <c r="J238">
        <f t="shared" si="59"/>
        <v>401469.05991892447</v>
      </c>
      <c r="K238">
        <f t="shared" si="60"/>
        <v>401285.67044135428</v>
      </c>
      <c r="L238">
        <f t="shared" si="67"/>
        <v>401285.67044135428</v>
      </c>
      <c r="M238">
        <f t="shared" si="61"/>
        <v>0</v>
      </c>
      <c r="N238" s="29">
        <f t="shared" si="68"/>
        <v>401285.67044135428</v>
      </c>
      <c r="O238" s="29">
        <f t="shared" si="62"/>
        <v>401265.31705455849</v>
      </c>
      <c r="P238" s="29">
        <f t="shared" si="69"/>
        <v>401265.31705455849</v>
      </c>
      <c r="Q238">
        <f t="shared" si="70"/>
        <v>0</v>
      </c>
      <c r="R238" s="29">
        <f t="shared" si="71"/>
        <v>401265.31705455849</v>
      </c>
      <c r="S238" s="29">
        <f t="shared" si="63"/>
        <v>401265.31705455872</v>
      </c>
      <c r="T238" s="29">
        <f t="shared" si="72"/>
        <v>401265.31705455872</v>
      </c>
      <c r="U238">
        <f t="shared" si="73"/>
        <v>0</v>
      </c>
      <c r="V238" s="29">
        <f t="shared" si="74"/>
        <v>401265.31705455872</v>
      </c>
      <c r="W238" s="29">
        <f t="shared" si="64"/>
        <v>401265.31705455878</v>
      </c>
      <c r="X238" s="29">
        <f t="shared" si="75"/>
        <v>401265.31705455878</v>
      </c>
      <c r="Y238">
        <f t="shared" si="76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allocations'!$A$1:$L$317,3,FALSE)</f>
        <v>0</v>
      </c>
      <c r="E239" s="31">
        <f>VLOOKUP(B239,'Initial adjusted formula count'!$A$1:$P$317,12,FALSE)</f>
        <v>0.18181818181818199</v>
      </c>
      <c r="F239">
        <f>VLOOKUP(B239,'Model allocations'!$A$1:$L$317,8,FALSE)</f>
        <v>0</v>
      </c>
      <c r="G239" s="30">
        <f t="shared" si="65"/>
        <v>0.9</v>
      </c>
      <c r="H239">
        <f t="shared" si="66"/>
        <v>0</v>
      </c>
      <c r="I239">
        <f t="shared" si="58"/>
        <v>0</v>
      </c>
      <c r="J239">
        <f t="shared" si="59"/>
        <v>0</v>
      </c>
      <c r="K239">
        <f t="shared" si="60"/>
        <v>0</v>
      </c>
      <c r="L239">
        <f t="shared" si="67"/>
        <v>0</v>
      </c>
      <c r="M239">
        <f t="shared" si="61"/>
        <v>0</v>
      </c>
      <c r="N239" s="29">
        <f t="shared" si="68"/>
        <v>0</v>
      </c>
      <c r="O239" s="29">
        <f t="shared" si="62"/>
        <v>0</v>
      </c>
      <c r="P239" s="29">
        <f t="shared" si="69"/>
        <v>0</v>
      </c>
      <c r="Q239">
        <f t="shared" si="70"/>
        <v>0</v>
      </c>
      <c r="R239" s="29">
        <f t="shared" si="71"/>
        <v>0</v>
      </c>
      <c r="S239" s="29">
        <f t="shared" si="63"/>
        <v>0</v>
      </c>
      <c r="T239" s="29">
        <f t="shared" si="72"/>
        <v>0</v>
      </c>
      <c r="U239">
        <f t="shared" si="73"/>
        <v>0</v>
      </c>
      <c r="V239" s="29">
        <f t="shared" si="74"/>
        <v>0</v>
      </c>
      <c r="W239" s="29">
        <f t="shared" si="64"/>
        <v>0</v>
      </c>
      <c r="X239" s="29">
        <f t="shared" si="75"/>
        <v>0</v>
      </c>
      <c r="Y239">
        <f t="shared" si="76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allocations'!$A$1:$L$317,3,FALSE)</f>
        <v>634116.90279073548</v>
      </c>
      <c r="E240" s="31">
        <f>VLOOKUP(B240,'Initial adjusted formula count'!$A$1:$P$317,12,FALSE)</f>
        <v>0.17999042604116799</v>
      </c>
      <c r="F240">
        <f>VLOOKUP(B240,'Model allocations'!$A$1:$L$317,8,FALSE)</f>
        <v>653473.44817972102</v>
      </c>
      <c r="G240" s="30">
        <f t="shared" si="65"/>
        <v>0.9</v>
      </c>
      <c r="H240">
        <f t="shared" si="66"/>
        <v>570705.21251166193</v>
      </c>
      <c r="I240">
        <f t="shared" si="58"/>
        <v>0</v>
      </c>
      <c r="J240">
        <f t="shared" si="59"/>
        <v>653473.44817972102</v>
      </c>
      <c r="K240">
        <f t="shared" si="60"/>
        <v>653174.94409501797</v>
      </c>
      <c r="L240">
        <f t="shared" si="67"/>
        <v>653174.94409501797</v>
      </c>
      <c r="M240">
        <f t="shared" si="61"/>
        <v>0</v>
      </c>
      <c r="N240" s="29">
        <f t="shared" si="68"/>
        <v>653174.94409501797</v>
      </c>
      <c r="O240" s="29">
        <f t="shared" si="62"/>
        <v>653141.81477278762</v>
      </c>
      <c r="P240" s="29">
        <f t="shared" si="69"/>
        <v>653141.81477278762</v>
      </c>
      <c r="Q240">
        <f t="shared" si="70"/>
        <v>0</v>
      </c>
      <c r="R240" s="29">
        <f t="shared" si="71"/>
        <v>653141.81477278762</v>
      </c>
      <c r="S240" s="29">
        <f t="shared" si="63"/>
        <v>653141.81477278797</v>
      </c>
      <c r="T240" s="29">
        <f t="shared" si="72"/>
        <v>653141.81477278797</v>
      </c>
      <c r="U240">
        <f t="shared" si="73"/>
        <v>0</v>
      </c>
      <c r="V240" s="29">
        <f t="shared" si="74"/>
        <v>653141.81477278797</v>
      </c>
      <c r="W240" s="29">
        <f t="shared" si="64"/>
        <v>653141.81477278809</v>
      </c>
      <c r="X240" s="29">
        <f t="shared" si="75"/>
        <v>653141.81477278809</v>
      </c>
      <c r="Y240">
        <f t="shared" si="76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allocations'!$A$1:$L$317,3,FALSE)</f>
        <v>556251.59276398411</v>
      </c>
      <c r="E241" s="31">
        <f>VLOOKUP(B241,'Initial adjusted formula count'!$A$1:$P$317,12,FALSE)</f>
        <v>6.5618064267104106E-2</v>
      </c>
      <c r="F241">
        <f>VLOOKUP(B241,'Model allocations'!$A$1:$L$317,8,FALSE)</f>
        <v>590906.8414391093</v>
      </c>
      <c r="G241" s="30">
        <f t="shared" si="65"/>
        <v>0.85</v>
      </c>
      <c r="H241">
        <f t="shared" si="66"/>
        <v>472813.85384938651</v>
      </c>
      <c r="I241">
        <f t="shared" si="58"/>
        <v>0</v>
      </c>
      <c r="J241">
        <f t="shared" si="59"/>
        <v>590906.8414391093</v>
      </c>
      <c r="K241">
        <f t="shared" si="60"/>
        <v>590636.91753272898</v>
      </c>
      <c r="L241">
        <f t="shared" si="67"/>
        <v>590636.91753272898</v>
      </c>
      <c r="M241">
        <f t="shared" si="61"/>
        <v>0</v>
      </c>
      <c r="N241" s="29">
        <f t="shared" si="68"/>
        <v>590636.91753272898</v>
      </c>
      <c r="O241" s="29">
        <f t="shared" si="62"/>
        <v>590606.96016688237</v>
      </c>
      <c r="P241" s="29">
        <f t="shared" si="69"/>
        <v>590606.96016688237</v>
      </c>
      <c r="Q241">
        <f t="shared" si="70"/>
        <v>0</v>
      </c>
      <c r="R241" s="29">
        <f t="shared" si="71"/>
        <v>590606.96016688237</v>
      </c>
      <c r="S241" s="29">
        <f t="shared" si="63"/>
        <v>590606.96016688272</v>
      </c>
      <c r="T241" s="29">
        <f t="shared" si="72"/>
        <v>590606.96016688272</v>
      </c>
      <c r="U241">
        <f t="shared" si="73"/>
        <v>0</v>
      </c>
      <c r="V241" s="29">
        <f t="shared" si="74"/>
        <v>590606.96016688272</v>
      </c>
      <c r="W241" s="29">
        <f t="shared" si="64"/>
        <v>590606.96016688284</v>
      </c>
      <c r="X241" s="29">
        <f t="shared" si="75"/>
        <v>590606.96016688284</v>
      </c>
      <c r="Y241">
        <f t="shared" si="76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allocations'!$A$1:$L$317,3,FALSE)</f>
        <v>11184.556936108704</v>
      </c>
      <c r="E242" s="31">
        <f>VLOOKUP(B242,'Initial adjusted formula count'!$A$1:$P$317,12,FALSE)</f>
        <v>0.126984126984127</v>
      </c>
      <c r="F242">
        <f>VLOOKUP(B242,'Model allocations'!$A$1:$L$317,8,FALSE)</f>
        <v>13903.690386802573</v>
      </c>
      <c r="G242" s="30">
        <f t="shared" si="65"/>
        <v>0.85</v>
      </c>
      <c r="H242">
        <f t="shared" si="66"/>
        <v>9506.873395692397</v>
      </c>
      <c r="I242">
        <f t="shared" si="58"/>
        <v>0</v>
      </c>
      <c r="J242">
        <f t="shared" si="59"/>
        <v>13903.690386802573</v>
      </c>
      <c r="K242">
        <f t="shared" si="60"/>
        <v>13897.33923606421</v>
      </c>
      <c r="L242">
        <f t="shared" si="67"/>
        <v>13897.33923606421</v>
      </c>
      <c r="M242">
        <f t="shared" si="61"/>
        <v>0</v>
      </c>
      <c r="N242" s="29">
        <f t="shared" si="68"/>
        <v>13897.33923606421</v>
      </c>
      <c r="O242" s="29">
        <f t="shared" si="62"/>
        <v>13896.63435686782</v>
      </c>
      <c r="P242" s="29">
        <f t="shared" si="69"/>
        <v>13896.63435686782</v>
      </c>
      <c r="Q242">
        <f t="shared" si="70"/>
        <v>0</v>
      </c>
      <c r="R242" s="29">
        <f t="shared" si="71"/>
        <v>13896.63435686782</v>
      </c>
      <c r="S242" s="29">
        <f t="shared" si="63"/>
        <v>13896.634356867829</v>
      </c>
      <c r="T242" s="29">
        <f t="shared" si="72"/>
        <v>13896.634356867829</v>
      </c>
      <c r="U242">
        <f t="shared" si="73"/>
        <v>0</v>
      </c>
      <c r="V242" s="29">
        <f t="shared" si="74"/>
        <v>13896.634356867829</v>
      </c>
      <c r="W242" s="29">
        <f t="shared" si="64"/>
        <v>13896.634356867831</v>
      </c>
      <c r="X242" s="29">
        <f t="shared" si="75"/>
        <v>13896.634356867831</v>
      </c>
      <c r="Y242">
        <f t="shared" si="76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allocations'!$A$1:$L$317,3,FALSE)</f>
        <v>0</v>
      </c>
      <c r="E243" s="31">
        <f>VLOOKUP(B243,'Initial adjusted formula count'!$A$1:$P$317,12,FALSE)</f>
        <v>7.3529411764705899E-2</v>
      </c>
      <c r="F243">
        <f>VLOOKUP(B243,'Model allocations'!$A$1:$L$317,8,FALSE)</f>
        <v>0</v>
      </c>
      <c r="G243" s="30">
        <f t="shared" si="65"/>
        <v>0.85</v>
      </c>
      <c r="H243">
        <f t="shared" si="66"/>
        <v>0</v>
      </c>
      <c r="I243">
        <f t="shared" si="58"/>
        <v>0</v>
      </c>
      <c r="J243">
        <f t="shared" si="59"/>
        <v>0</v>
      </c>
      <c r="K243">
        <f t="shared" si="60"/>
        <v>0</v>
      </c>
      <c r="L243">
        <f t="shared" si="67"/>
        <v>0</v>
      </c>
      <c r="M243">
        <f t="shared" si="61"/>
        <v>0</v>
      </c>
      <c r="N243" s="29">
        <f t="shared" si="68"/>
        <v>0</v>
      </c>
      <c r="O243" s="29">
        <f t="shared" si="62"/>
        <v>0</v>
      </c>
      <c r="P243" s="29">
        <f t="shared" si="69"/>
        <v>0</v>
      </c>
      <c r="Q243">
        <f t="shared" si="70"/>
        <v>0</v>
      </c>
      <c r="R243" s="29">
        <f t="shared" si="71"/>
        <v>0</v>
      </c>
      <c r="S243" s="29">
        <f t="shared" si="63"/>
        <v>0</v>
      </c>
      <c r="T243" s="29">
        <f t="shared" si="72"/>
        <v>0</v>
      </c>
      <c r="U243">
        <f t="shared" si="73"/>
        <v>0</v>
      </c>
      <c r="V243" s="29">
        <f t="shared" si="74"/>
        <v>0</v>
      </c>
      <c r="W243" s="29">
        <f t="shared" si="64"/>
        <v>0</v>
      </c>
      <c r="X243" s="29">
        <f t="shared" si="75"/>
        <v>0</v>
      </c>
      <c r="Y243">
        <f t="shared" si="76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allocations'!$A$1:$L$317,3,FALSE)</f>
        <v>477494.54611848691</v>
      </c>
      <c r="E244" s="31">
        <f>VLOOKUP(B244,'Initial adjusted formula count'!$A$1:$P$317,12,FALSE)</f>
        <v>5.2729126123621503E-2</v>
      </c>
      <c r="F244">
        <f>VLOOKUP(B244,'Model allocations'!$A$1:$L$317,8,FALSE)</f>
        <v>494449.98938066658</v>
      </c>
      <c r="G244" s="30">
        <f t="shared" si="65"/>
        <v>0.85</v>
      </c>
      <c r="H244">
        <f t="shared" si="66"/>
        <v>405870.36420071387</v>
      </c>
      <c r="I244">
        <f t="shared" si="58"/>
        <v>0</v>
      </c>
      <c r="J244">
        <f t="shared" si="59"/>
        <v>494449.98938066658</v>
      </c>
      <c r="K244">
        <f t="shared" si="60"/>
        <v>494224.12658253359</v>
      </c>
      <c r="L244">
        <f t="shared" si="67"/>
        <v>494224.12658253359</v>
      </c>
      <c r="M244">
        <f t="shared" si="61"/>
        <v>0</v>
      </c>
      <c r="N244" s="29">
        <f t="shared" si="68"/>
        <v>494224.12658253359</v>
      </c>
      <c r="O244" s="29">
        <f t="shared" si="62"/>
        <v>494199.05931611196</v>
      </c>
      <c r="P244" s="29">
        <f t="shared" si="69"/>
        <v>494199.05931611196</v>
      </c>
      <c r="Q244">
        <f t="shared" si="70"/>
        <v>0</v>
      </c>
      <c r="R244" s="29">
        <f t="shared" si="71"/>
        <v>494199.05931611196</v>
      </c>
      <c r="S244" s="29">
        <f t="shared" si="63"/>
        <v>494199.05931611225</v>
      </c>
      <c r="T244" s="29">
        <f t="shared" si="72"/>
        <v>494199.05931611225</v>
      </c>
      <c r="U244">
        <f t="shared" si="73"/>
        <v>0</v>
      </c>
      <c r="V244" s="29">
        <f t="shared" si="74"/>
        <v>494199.05931611225</v>
      </c>
      <c r="W244" s="29">
        <f t="shared" si="64"/>
        <v>494199.05931611231</v>
      </c>
      <c r="X244" s="29">
        <f t="shared" si="75"/>
        <v>494199.05931611231</v>
      </c>
      <c r="Y244">
        <f t="shared" si="76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allocations'!$A$1:$L$317,3,FALSE)</f>
        <v>271945.22312905901</v>
      </c>
      <c r="E245" s="31">
        <f>VLOOKUP(B245,'Initial adjusted formula count'!$A$1:$P$317,12,FALSE)</f>
        <v>3.2316209604738001E-2</v>
      </c>
      <c r="F245">
        <f>VLOOKUP(B245,'Model allocations'!$A$1:$L$317,8,FALSE)</f>
        <v>231121.09241093724</v>
      </c>
      <c r="G245" s="30">
        <f t="shared" si="65"/>
        <v>0.85</v>
      </c>
      <c r="H245">
        <f t="shared" si="66"/>
        <v>231153.43965970015</v>
      </c>
      <c r="I245">
        <f t="shared" si="58"/>
        <v>231153.43965970015</v>
      </c>
      <c r="J245">
        <f t="shared" si="59"/>
        <v>0</v>
      </c>
      <c r="K245">
        <f t="shared" si="60"/>
        <v>0</v>
      </c>
      <c r="L245">
        <f t="shared" si="67"/>
        <v>231153.43965970015</v>
      </c>
      <c r="M245">
        <f t="shared" si="61"/>
        <v>0</v>
      </c>
      <c r="N245" s="29">
        <f t="shared" si="68"/>
        <v>0</v>
      </c>
      <c r="O245" s="29">
        <f t="shared" si="62"/>
        <v>0</v>
      </c>
      <c r="P245" s="29">
        <f t="shared" si="69"/>
        <v>231153.43965970015</v>
      </c>
      <c r="Q245">
        <f t="shared" si="70"/>
        <v>0</v>
      </c>
      <c r="R245" s="29">
        <f t="shared" si="71"/>
        <v>0</v>
      </c>
      <c r="S245" s="29">
        <f t="shared" si="63"/>
        <v>0</v>
      </c>
      <c r="T245" s="29">
        <f t="shared" si="72"/>
        <v>231153.43965970015</v>
      </c>
      <c r="U245">
        <f t="shared" si="73"/>
        <v>0</v>
      </c>
      <c r="V245" s="29">
        <f t="shared" si="74"/>
        <v>0</v>
      </c>
      <c r="W245" s="29">
        <f t="shared" si="64"/>
        <v>0</v>
      </c>
      <c r="X245" s="29">
        <f t="shared" si="75"/>
        <v>231153.43965970015</v>
      </c>
      <c r="Y245">
        <f t="shared" si="76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allocations'!$A$1:$L$317,3,FALSE)</f>
        <v>134214.68323330447</v>
      </c>
      <c r="E246" s="31">
        <f>VLOOKUP(B246,'Initial adjusted formula count'!$A$1:$P$317,12,FALSE)</f>
        <v>0.334426229508197</v>
      </c>
      <c r="F246">
        <f>VLOOKUP(B246,'Model allocations'!$A$1:$L$317,8,FALSE)</f>
        <v>177272.05243173282</v>
      </c>
      <c r="G246" s="30">
        <f t="shared" si="65"/>
        <v>0.95</v>
      </c>
      <c r="H246">
        <f t="shared" si="66"/>
        <v>127503.94907163925</v>
      </c>
      <c r="I246">
        <f t="shared" si="58"/>
        <v>0</v>
      </c>
      <c r="J246">
        <f t="shared" si="59"/>
        <v>177272.05243173282</v>
      </c>
      <c r="K246">
        <f t="shared" si="60"/>
        <v>177191.07525981872</v>
      </c>
      <c r="L246">
        <f t="shared" si="67"/>
        <v>177191.07525981872</v>
      </c>
      <c r="M246">
        <f t="shared" si="61"/>
        <v>0</v>
      </c>
      <c r="N246" s="29">
        <f t="shared" si="68"/>
        <v>177191.07525981872</v>
      </c>
      <c r="O246" s="29">
        <f t="shared" si="62"/>
        <v>177182.08805006475</v>
      </c>
      <c r="P246" s="29">
        <f t="shared" si="69"/>
        <v>177182.08805006475</v>
      </c>
      <c r="Q246">
        <f t="shared" si="70"/>
        <v>0</v>
      </c>
      <c r="R246" s="29">
        <f t="shared" si="71"/>
        <v>177182.08805006475</v>
      </c>
      <c r="S246" s="29">
        <f t="shared" si="63"/>
        <v>177182.08805006483</v>
      </c>
      <c r="T246" s="29">
        <f t="shared" si="72"/>
        <v>177182.08805006483</v>
      </c>
      <c r="U246">
        <f t="shared" si="73"/>
        <v>0</v>
      </c>
      <c r="V246" s="29">
        <f t="shared" si="74"/>
        <v>177182.08805006483</v>
      </c>
      <c r="W246" s="29">
        <f t="shared" si="64"/>
        <v>177182.08805006486</v>
      </c>
      <c r="X246" s="29">
        <f t="shared" si="75"/>
        <v>177182.08805006486</v>
      </c>
      <c r="Y246">
        <f t="shared" si="76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allocations'!$A$1:$L$317,3,FALSE)</f>
        <v>79152.249086307769</v>
      </c>
      <c r="E247" s="31">
        <f>VLOOKUP(B247,'Initial adjusted formula count'!$A$1:$P$317,12,FALSE)</f>
        <v>0.17066666666666699</v>
      </c>
      <c r="F247">
        <f>VLOOKUP(B247,'Model allocations'!$A$1:$L$317,8,FALSE)</f>
        <v>71237.024177676998</v>
      </c>
      <c r="G247" s="30">
        <f t="shared" si="65"/>
        <v>0.9</v>
      </c>
      <c r="H247">
        <f t="shared" si="66"/>
        <v>71237.024177676998</v>
      </c>
      <c r="I247">
        <f t="shared" si="58"/>
        <v>0</v>
      </c>
      <c r="J247">
        <f t="shared" si="59"/>
        <v>71237.024177676998</v>
      </c>
      <c r="K247">
        <f t="shared" si="60"/>
        <v>71204.483386986336</v>
      </c>
      <c r="L247">
        <f t="shared" si="67"/>
        <v>71204.483386986336</v>
      </c>
      <c r="M247">
        <f t="shared" si="61"/>
        <v>71237.024177676998</v>
      </c>
      <c r="N247" s="29">
        <f t="shared" si="68"/>
        <v>0</v>
      </c>
      <c r="O247" s="29">
        <f t="shared" si="62"/>
        <v>0</v>
      </c>
      <c r="P247" s="29">
        <f t="shared" si="69"/>
        <v>71237.024177676998</v>
      </c>
      <c r="Q247">
        <f t="shared" si="70"/>
        <v>0</v>
      </c>
      <c r="R247" s="29">
        <f t="shared" si="71"/>
        <v>0</v>
      </c>
      <c r="S247" s="29">
        <f t="shared" si="63"/>
        <v>0</v>
      </c>
      <c r="T247" s="29">
        <f t="shared" si="72"/>
        <v>71237.024177676998</v>
      </c>
      <c r="U247">
        <f t="shared" si="73"/>
        <v>0</v>
      </c>
      <c r="V247" s="29">
        <f t="shared" si="74"/>
        <v>0</v>
      </c>
      <c r="W247" s="29">
        <f t="shared" si="64"/>
        <v>0</v>
      </c>
      <c r="X247" s="29">
        <f t="shared" si="75"/>
        <v>71237.024177676998</v>
      </c>
      <c r="Y247">
        <f t="shared" si="76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allocations'!$A$1:$L$317,3,FALSE)</f>
        <v>990263.46411239367</v>
      </c>
      <c r="E248" s="31">
        <f>VLOOKUP(B248,'Initial adjusted formula count'!$A$1:$P$317,12,FALSE)</f>
        <v>8.5412914844352997E-2</v>
      </c>
      <c r="F248">
        <f>VLOOKUP(B248,'Model allocations'!$A$1:$L$317,8,FALSE)</f>
        <v>865504.72657846019</v>
      </c>
      <c r="G248" s="30">
        <f t="shared" si="65"/>
        <v>0.85</v>
      </c>
      <c r="H248">
        <f t="shared" si="66"/>
        <v>841723.94449553464</v>
      </c>
      <c r="I248">
        <f t="shared" si="58"/>
        <v>0</v>
      </c>
      <c r="J248">
        <f t="shared" si="59"/>
        <v>865504.72657846019</v>
      </c>
      <c r="K248">
        <f t="shared" si="60"/>
        <v>865109.36744499719</v>
      </c>
      <c r="L248">
        <f t="shared" si="67"/>
        <v>865109.36744499719</v>
      </c>
      <c r="M248">
        <f t="shared" si="61"/>
        <v>0</v>
      </c>
      <c r="N248" s="29">
        <f t="shared" si="68"/>
        <v>865109.36744499719</v>
      </c>
      <c r="O248" s="29">
        <f t="shared" si="62"/>
        <v>865065.48871502187</v>
      </c>
      <c r="P248" s="29">
        <f t="shared" si="69"/>
        <v>865065.48871502187</v>
      </c>
      <c r="Q248">
        <f t="shared" si="70"/>
        <v>0</v>
      </c>
      <c r="R248" s="29">
        <f t="shared" si="71"/>
        <v>865065.48871502187</v>
      </c>
      <c r="S248" s="29">
        <f t="shared" si="63"/>
        <v>865065.48871502234</v>
      </c>
      <c r="T248" s="29">
        <f t="shared" si="72"/>
        <v>865065.48871502234</v>
      </c>
      <c r="U248">
        <f t="shared" si="73"/>
        <v>0</v>
      </c>
      <c r="V248" s="29">
        <f t="shared" si="74"/>
        <v>865065.48871502234</v>
      </c>
      <c r="W248" s="29">
        <f t="shared" si="64"/>
        <v>865065.48871502245</v>
      </c>
      <c r="X248" s="29">
        <f t="shared" si="75"/>
        <v>865065.48871502245</v>
      </c>
      <c r="Y248">
        <f t="shared" si="76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allocations'!$A$1:$L$317,3,FALSE)</f>
        <v>122924.73469722614</v>
      </c>
      <c r="E249" s="31">
        <f>VLOOKUP(B249,'Initial adjusted formula count'!$A$1:$P$317,12,FALSE)</f>
        <v>8.49598163030999E-2</v>
      </c>
      <c r="F249">
        <f>VLOOKUP(B249,'Model allocations'!$A$1:$L$317,8,FALSE)</f>
        <v>128609.1360779238</v>
      </c>
      <c r="G249" s="30">
        <f t="shared" si="65"/>
        <v>0.85</v>
      </c>
      <c r="H249">
        <f t="shared" si="66"/>
        <v>104486.02449264222</v>
      </c>
      <c r="I249">
        <f t="shared" si="58"/>
        <v>0</v>
      </c>
      <c r="J249">
        <f t="shared" si="59"/>
        <v>128609.1360779238</v>
      </c>
      <c r="K249">
        <f t="shared" si="60"/>
        <v>128550.38793359397</v>
      </c>
      <c r="L249">
        <f t="shared" si="67"/>
        <v>128550.38793359397</v>
      </c>
      <c r="M249">
        <f t="shared" si="61"/>
        <v>0</v>
      </c>
      <c r="N249" s="29">
        <f t="shared" si="68"/>
        <v>128550.38793359397</v>
      </c>
      <c r="O249" s="29">
        <f t="shared" si="62"/>
        <v>128543.86780102736</v>
      </c>
      <c r="P249" s="29">
        <f t="shared" si="69"/>
        <v>128543.86780102736</v>
      </c>
      <c r="Q249">
        <f t="shared" si="70"/>
        <v>0</v>
      </c>
      <c r="R249" s="29">
        <f t="shared" si="71"/>
        <v>128543.86780102736</v>
      </c>
      <c r="S249" s="29">
        <f t="shared" si="63"/>
        <v>128543.86780102743</v>
      </c>
      <c r="T249" s="29">
        <f t="shared" si="72"/>
        <v>128543.86780102743</v>
      </c>
      <c r="U249">
        <f t="shared" si="73"/>
        <v>0</v>
      </c>
      <c r="V249" s="29">
        <f t="shared" si="74"/>
        <v>128543.86780102743</v>
      </c>
      <c r="W249" s="29">
        <f t="shared" si="64"/>
        <v>128543.86780102745</v>
      </c>
      <c r="X249" s="29">
        <f t="shared" si="75"/>
        <v>128543.86780102745</v>
      </c>
      <c r="Y249">
        <f t="shared" si="76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allocations'!$A$1:$L$317,3,FALSE)</f>
        <v>51621.03201280941</v>
      </c>
      <c r="E250" s="31">
        <f>VLOOKUP(B250,'Initial adjusted formula count'!$A$1:$P$317,12,FALSE)</f>
        <v>0.19327731092437</v>
      </c>
      <c r="F250">
        <f>VLOOKUP(B250,'Model allocations'!$A$1:$L$317,8,FALSE)</f>
        <v>59959.664793086093</v>
      </c>
      <c r="G250" s="30">
        <f t="shared" si="65"/>
        <v>0.9</v>
      </c>
      <c r="H250">
        <f t="shared" si="66"/>
        <v>46458.928811528473</v>
      </c>
      <c r="I250">
        <f t="shared" si="58"/>
        <v>0</v>
      </c>
      <c r="J250">
        <f t="shared" si="59"/>
        <v>59959.664793086093</v>
      </c>
      <c r="K250">
        <f t="shared" si="60"/>
        <v>59932.275455526913</v>
      </c>
      <c r="L250">
        <f t="shared" si="67"/>
        <v>59932.275455526913</v>
      </c>
      <c r="M250">
        <f t="shared" si="61"/>
        <v>0</v>
      </c>
      <c r="N250" s="29">
        <f t="shared" si="68"/>
        <v>59932.275455526913</v>
      </c>
      <c r="O250" s="29">
        <f t="shared" si="62"/>
        <v>59929.235663992484</v>
      </c>
      <c r="P250" s="29">
        <f t="shared" si="69"/>
        <v>59929.235663992484</v>
      </c>
      <c r="Q250">
        <f t="shared" si="70"/>
        <v>0</v>
      </c>
      <c r="R250" s="29">
        <f t="shared" si="71"/>
        <v>59929.235663992484</v>
      </c>
      <c r="S250" s="29">
        <f t="shared" si="63"/>
        <v>59929.235663992513</v>
      </c>
      <c r="T250" s="29">
        <f t="shared" si="72"/>
        <v>59929.235663992513</v>
      </c>
      <c r="U250">
        <f t="shared" si="73"/>
        <v>0</v>
      </c>
      <c r="V250" s="29">
        <f t="shared" si="74"/>
        <v>59929.235663992513</v>
      </c>
      <c r="W250" s="29">
        <f t="shared" si="64"/>
        <v>59929.235663992527</v>
      </c>
      <c r="X250" s="29">
        <f t="shared" si="75"/>
        <v>59929.235663992527</v>
      </c>
      <c r="Y250">
        <f t="shared" si="76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allocations'!$A$1:$L$317,3,FALSE)</f>
        <v>5171315.7327713957</v>
      </c>
      <c r="E251" s="31">
        <f>VLOOKUP(B251,'Initial adjusted formula count'!$A$1:$P$317,12,FALSE)</f>
        <v>0.141781222818606</v>
      </c>
      <c r="F251">
        <f>VLOOKUP(B251,'Model allocations'!$A$1:$L$317,8,FALSE)</f>
        <v>4416555.0896253018</v>
      </c>
      <c r="G251" s="30">
        <f t="shared" si="65"/>
        <v>0.85</v>
      </c>
      <c r="H251">
        <f t="shared" si="66"/>
        <v>4395618.3728556866</v>
      </c>
      <c r="I251">
        <f t="shared" si="58"/>
        <v>0</v>
      </c>
      <c r="J251">
        <f t="shared" si="59"/>
        <v>4416555.0896253018</v>
      </c>
      <c r="K251">
        <f t="shared" si="60"/>
        <v>4414537.6247409349</v>
      </c>
      <c r="L251">
        <f t="shared" si="67"/>
        <v>4414537.6247409349</v>
      </c>
      <c r="M251">
        <f t="shared" si="61"/>
        <v>0</v>
      </c>
      <c r="N251" s="29">
        <f t="shared" si="68"/>
        <v>4414537.6247409349</v>
      </c>
      <c r="O251" s="29">
        <f t="shared" si="62"/>
        <v>4414313.7174389325</v>
      </c>
      <c r="P251" s="29">
        <f t="shared" si="69"/>
        <v>4414313.7174389325</v>
      </c>
      <c r="Q251">
        <f t="shared" si="70"/>
        <v>0</v>
      </c>
      <c r="R251" s="29">
        <f t="shared" si="71"/>
        <v>4414313.7174389325</v>
      </c>
      <c r="S251" s="29">
        <f t="shared" si="63"/>
        <v>4414313.7174389353</v>
      </c>
      <c r="T251" s="29">
        <f t="shared" si="72"/>
        <v>4414313.7174389353</v>
      </c>
      <c r="U251">
        <f t="shared" si="73"/>
        <v>0</v>
      </c>
      <c r="V251" s="29">
        <f t="shared" si="74"/>
        <v>4414313.7174389353</v>
      </c>
      <c r="W251" s="29">
        <f t="shared" si="64"/>
        <v>4414313.7174389362</v>
      </c>
      <c r="X251" s="29">
        <f t="shared" si="75"/>
        <v>4414313.7174389362</v>
      </c>
      <c r="Y251">
        <f t="shared" si="76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allocations'!$A$1:$L$317,3,FALSE)</f>
        <v>99400.801551128025</v>
      </c>
      <c r="E252" s="31">
        <f>VLOOKUP(B252,'Initial adjusted formula count'!$A$1:$P$317,12,FALSE)</f>
        <v>9.8326062486436605E-2</v>
      </c>
      <c r="F252">
        <f>VLOOKUP(B252,'Model allocations'!$A$1:$L$317,8,FALSE)</f>
        <v>86998.335688075138</v>
      </c>
      <c r="G252" s="30">
        <f t="shared" si="65"/>
        <v>0.85</v>
      </c>
      <c r="H252">
        <f t="shared" si="66"/>
        <v>84490.681318458825</v>
      </c>
      <c r="I252">
        <f t="shared" si="58"/>
        <v>0</v>
      </c>
      <c r="J252">
        <f t="shared" si="59"/>
        <v>86998.335688075138</v>
      </c>
      <c r="K252">
        <f t="shared" si="60"/>
        <v>86958.595192669251</v>
      </c>
      <c r="L252">
        <f t="shared" si="67"/>
        <v>86958.595192669251</v>
      </c>
      <c r="M252">
        <f t="shared" si="61"/>
        <v>0</v>
      </c>
      <c r="N252" s="29">
        <f t="shared" si="68"/>
        <v>86958.595192669251</v>
      </c>
      <c r="O252" s="29">
        <f t="shared" si="62"/>
        <v>86954.184614237121</v>
      </c>
      <c r="P252" s="29">
        <f t="shared" si="69"/>
        <v>86954.184614237121</v>
      </c>
      <c r="Q252">
        <f t="shared" si="70"/>
        <v>0</v>
      </c>
      <c r="R252" s="29">
        <f t="shared" si="71"/>
        <v>86954.184614237121</v>
      </c>
      <c r="S252" s="29">
        <f t="shared" si="63"/>
        <v>86954.184614237165</v>
      </c>
      <c r="T252" s="29">
        <f t="shared" si="72"/>
        <v>86954.184614237165</v>
      </c>
      <c r="U252">
        <f t="shared" si="73"/>
        <v>0</v>
      </c>
      <c r="V252" s="29">
        <f t="shared" si="74"/>
        <v>86954.184614237165</v>
      </c>
      <c r="W252" s="29">
        <f t="shared" si="64"/>
        <v>86954.18461423718</v>
      </c>
      <c r="X252" s="29">
        <f t="shared" si="75"/>
        <v>86954.18461423718</v>
      </c>
      <c r="Y252">
        <f t="shared" si="76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allocations'!$A$1:$L$317,3,FALSE)</f>
        <v>18927.711738030121</v>
      </c>
      <c r="E253" s="31">
        <f>VLOOKUP(B253,'Initial adjusted formula count'!$A$1:$P$317,12,FALSE)</f>
        <v>0.15503875968992201</v>
      </c>
      <c r="F253">
        <f>VLOOKUP(B253,'Model allocations'!$A$1:$L$317,8,FALSE)</f>
        <v>17379.612983503219</v>
      </c>
      <c r="G253" s="30">
        <f t="shared" si="65"/>
        <v>0.9</v>
      </c>
      <c r="H253">
        <f t="shared" si="66"/>
        <v>17034.940564227109</v>
      </c>
      <c r="I253">
        <f t="shared" si="58"/>
        <v>0</v>
      </c>
      <c r="J253">
        <f t="shared" si="59"/>
        <v>17379.612983503219</v>
      </c>
      <c r="K253">
        <f t="shared" si="60"/>
        <v>17371.674045080264</v>
      </c>
      <c r="L253">
        <f t="shared" si="67"/>
        <v>17371.674045080264</v>
      </c>
      <c r="M253">
        <f t="shared" si="61"/>
        <v>0</v>
      </c>
      <c r="N253" s="29">
        <f t="shared" si="68"/>
        <v>17371.674045080264</v>
      </c>
      <c r="O253" s="29">
        <f t="shared" si="62"/>
        <v>17370.792946084777</v>
      </c>
      <c r="P253" s="29">
        <f t="shared" si="69"/>
        <v>17370.792946084777</v>
      </c>
      <c r="Q253">
        <f t="shared" si="70"/>
        <v>0</v>
      </c>
      <c r="R253" s="29">
        <f t="shared" si="71"/>
        <v>17370.792946084777</v>
      </c>
      <c r="S253" s="29">
        <f t="shared" si="63"/>
        <v>17370.792946084788</v>
      </c>
      <c r="T253" s="29">
        <f t="shared" si="72"/>
        <v>17370.792946084788</v>
      </c>
      <c r="U253">
        <f t="shared" si="73"/>
        <v>0</v>
      </c>
      <c r="V253" s="29">
        <f t="shared" si="74"/>
        <v>17370.792946084788</v>
      </c>
      <c r="W253" s="29">
        <f t="shared" si="64"/>
        <v>17370.792946084792</v>
      </c>
      <c r="X253" s="29">
        <f t="shared" si="75"/>
        <v>17370.792946084792</v>
      </c>
      <c r="Y253">
        <f t="shared" si="76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allocations'!$A$1:$L$317,3,FALSE)</f>
        <v>15486.309603842823</v>
      </c>
      <c r="E254" s="31">
        <f>VLOOKUP(B254,'Initial adjusted formula count'!$A$1:$P$317,12,FALSE)</f>
        <v>0.104938271604938</v>
      </c>
      <c r="F254">
        <f>VLOOKUP(B254,'Model allocations'!$A$1:$L$317,8,FALSE)</f>
        <v>14772.671035977735</v>
      </c>
      <c r="G254" s="30">
        <f t="shared" si="65"/>
        <v>0.85</v>
      </c>
      <c r="H254">
        <f t="shared" si="66"/>
        <v>13163.3631632664</v>
      </c>
      <c r="I254">
        <f t="shared" si="58"/>
        <v>0</v>
      </c>
      <c r="J254">
        <f t="shared" si="59"/>
        <v>14772.671035977735</v>
      </c>
      <c r="K254">
        <f t="shared" si="60"/>
        <v>14765.922938318226</v>
      </c>
      <c r="L254">
        <f t="shared" si="67"/>
        <v>14765.922938318226</v>
      </c>
      <c r="M254">
        <f t="shared" si="61"/>
        <v>0</v>
      </c>
      <c r="N254" s="29">
        <f t="shared" si="68"/>
        <v>14765.922938318226</v>
      </c>
      <c r="O254" s="29">
        <f t="shared" si="62"/>
        <v>14765.17400417206</v>
      </c>
      <c r="P254" s="29">
        <f t="shared" si="69"/>
        <v>14765.17400417206</v>
      </c>
      <c r="Q254">
        <f t="shared" si="70"/>
        <v>0</v>
      </c>
      <c r="R254" s="29">
        <f t="shared" si="71"/>
        <v>14765.17400417206</v>
      </c>
      <c r="S254" s="29">
        <f t="shared" si="63"/>
        <v>14765.17400417207</v>
      </c>
      <c r="T254" s="29">
        <f t="shared" si="72"/>
        <v>14765.17400417207</v>
      </c>
      <c r="U254">
        <f t="shared" si="73"/>
        <v>0</v>
      </c>
      <c r="V254" s="29">
        <f t="shared" si="74"/>
        <v>14765.17400417207</v>
      </c>
      <c r="W254" s="29">
        <f t="shared" si="64"/>
        <v>14765.174004172071</v>
      </c>
      <c r="X254" s="29">
        <f t="shared" si="75"/>
        <v>14765.174004172071</v>
      </c>
      <c r="Y254">
        <f t="shared" si="76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allocations'!$A$1:$L$317,3,FALSE)</f>
        <v>351883.36822065077</v>
      </c>
      <c r="E255" s="31">
        <f>VLOOKUP(B255,'Initial adjusted formula count'!$A$1:$P$317,12,FALSE)</f>
        <v>7.9321158457849095E-2</v>
      </c>
      <c r="F255">
        <f>VLOOKUP(B255,'Model allocations'!$A$1:$L$317,8,FALSE)</f>
        <v>373661.67914531915</v>
      </c>
      <c r="G255" s="30">
        <f t="shared" si="65"/>
        <v>0.85</v>
      </c>
      <c r="H255">
        <f t="shared" si="66"/>
        <v>299100.86298755312</v>
      </c>
      <c r="I255">
        <f t="shared" si="58"/>
        <v>0</v>
      </c>
      <c r="J255">
        <f t="shared" si="59"/>
        <v>373661.67914531915</v>
      </c>
      <c r="K255">
        <f t="shared" si="60"/>
        <v>373490.9919692257</v>
      </c>
      <c r="L255">
        <f t="shared" si="67"/>
        <v>373490.9919692257</v>
      </c>
      <c r="M255">
        <f t="shared" si="61"/>
        <v>0</v>
      </c>
      <c r="N255" s="29">
        <f t="shared" si="68"/>
        <v>373490.9919692257</v>
      </c>
      <c r="O255" s="29">
        <f t="shared" si="62"/>
        <v>373472.04834082269</v>
      </c>
      <c r="P255" s="29">
        <f t="shared" si="69"/>
        <v>373472.04834082269</v>
      </c>
      <c r="Q255">
        <f t="shared" si="70"/>
        <v>0</v>
      </c>
      <c r="R255" s="29">
        <f t="shared" si="71"/>
        <v>373472.04834082269</v>
      </c>
      <c r="S255" s="29">
        <f t="shared" si="63"/>
        <v>373472.04834082286</v>
      </c>
      <c r="T255" s="29">
        <f t="shared" si="72"/>
        <v>373472.04834082286</v>
      </c>
      <c r="U255">
        <f t="shared" si="73"/>
        <v>0</v>
      </c>
      <c r="V255" s="29">
        <f t="shared" si="74"/>
        <v>373472.04834082286</v>
      </c>
      <c r="W255" s="29">
        <f t="shared" si="64"/>
        <v>373472.04834082292</v>
      </c>
      <c r="X255" s="29">
        <f t="shared" si="75"/>
        <v>373472.04834082292</v>
      </c>
      <c r="Y255">
        <f t="shared" si="76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allocations'!$A$1:$L$317,3,FALSE)</f>
        <v>0</v>
      </c>
      <c r="E256" s="31">
        <f>VLOOKUP(B256,'Initial adjusted formula count'!$A$1:$P$317,12,FALSE)</f>
        <v>0.04</v>
      </c>
      <c r="F256">
        <f>VLOOKUP(B256,'Model allocations'!$A$1:$L$317,8,FALSE)</f>
        <v>0</v>
      </c>
      <c r="G256" s="30">
        <f t="shared" si="65"/>
        <v>0.85</v>
      </c>
      <c r="H256">
        <f t="shared" si="66"/>
        <v>0</v>
      </c>
      <c r="I256">
        <f t="shared" si="58"/>
        <v>0</v>
      </c>
      <c r="J256">
        <f t="shared" si="59"/>
        <v>0</v>
      </c>
      <c r="K256">
        <f t="shared" si="60"/>
        <v>0</v>
      </c>
      <c r="L256">
        <f t="shared" si="67"/>
        <v>0</v>
      </c>
      <c r="M256">
        <f t="shared" si="61"/>
        <v>0</v>
      </c>
      <c r="N256" s="29">
        <f t="shared" si="68"/>
        <v>0</v>
      </c>
      <c r="O256" s="29">
        <f t="shared" si="62"/>
        <v>0</v>
      </c>
      <c r="P256" s="29">
        <f t="shared" si="69"/>
        <v>0</v>
      </c>
      <c r="Q256">
        <f t="shared" si="70"/>
        <v>0</v>
      </c>
      <c r="R256" s="29">
        <f t="shared" si="71"/>
        <v>0</v>
      </c>
      <c r="S256" s="29">
        <f t="shared" si="63"/>
        <v>0</v>
      </c>
      <c r="T256" s="29">
        <f t="shared" si="72"/>
        <v>0</v>
      </c>
      <c r="U256">
        <f t="shared" si="73"/>
        <v>0</v>
      </c>
      <c r="V256" s="29">
        <f t="shared" si="74"/>
        <v>0</v>
      </c>
      <c r="W256" s="29">
        <f t="shared" si="64"/>
        <v>0</v>
      </c>
      <c r="X256" s="29">
        <f t="shared" si="75"/>
        <v>0</v>
      </c>
      <c r="Y256">
        <f t="shared" si="76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allocations'!$A$1:$L$317,3,FALSE)</f>
        <v>12905.258003202352</v>
      </c>
      <c r="E257" s="31">
        <f>VLOOKUP(B257,'Initial adjusted formula count'!$A$1:$P$317,12,FALSE)</f>
        <v>0.125</v>
      </c>
      <c r="F257">
        <f>VLOOKUP(B257,'Model allocations'!$A$1:$L$317,8,FALSE)</f>
        <v>0</v>
      </c>
      <c r="G257" s="30">
        <f t="shared" si="65"/>
        <v>0.85</v>
      </c>
      <c r="H257">
        <f t="shared" si="66"/>
        <v>0</v>
      </c>
      <c r="I257">
        <f t="shared" si="58"/>
        <v>0</v>
      </c>
      <c r="J257">
        <f t="shared" si="59"/>
        <v>0</v>
      </c>
      <c r="K257">
        <f t="shared" si="60"/>
        <v>0</v>
      </c>
      <c r="L257">
        <f t="shared" si="67"/>
        <v>0</v>
      </c>
      <c r="M257">
        <f t="shared" si="61"/>
        <v>0</v>
      </c>
      <c r="N257" s="29">
        <f t="shared" si="68"/>
        <v>0</v>
      </c>
      <c r="O257" s="29">
        <f t="shared" si="62"/>
        <v>0</v>
      </c>
      <c r="P257" s="29">
        <f t="shared" si="69"/>
        <v>0</v>
      </c>
      <c r="Q257">
        <f t="shared" si="70"/>
        <v>0</v>
      </c>
      <c r="R257" s="29">
        <f t="shared" si="71"/>
        <v>0</v>
      </c>
      <c r="S257" s="29">
        <f t="shared" si="63"/>
        <v>0</v>
      </c>
      <c r="T257" s="29">
        <f t="shared" si="72"/>
        <v>0</v>
      </c>
      <c r="U257">
        <f t="shared" si="73"/>
        <v>0</v>
      </c>
      <c r="V257" s="29">
        <f t="shared" si="74"/>
        <v>0</v>
      </c>
      <c r="W257" s="29">
        <f t="shared" si="64"/>
        <v>0</v>
      </c>
      <c r="X257" s="29">
        <f t="shared" si="75"/>
        <v>0</v>
      </c>
      <c r="Y257">
        <f t="shared" si="76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allocations'!$A$1:$L$317,3,FALSE)</f>
        <v>0</v>
      </c>
      <c r="E258" s="31">
        <f>VLOOKUP(B258,'Initial adjusted formula count'!$A$1:$P$317,12,FALSE)</f>
        <v>0.133333333333333</v>
      </c>
      <c r="F258">
        <f>VLOOKUP(B258,'Model allocations'!$A$1:$L$317,8,FALSE)</f>
        <v>0</v>
      </c>
      <c r="G258" s="30">
        <f t="shared" si="65"/>
        <v>0.85</v>
      </c>
      <c r="H258">
        <f t="shared" si="66"/>
        <v>0</v>
      </c>
      <c r="I258">
        <f t="shared" si="58"/>
        <v>0</v>
      </c>
      <c r="J258">
        <f t="shared" si="59"/>
        <v>0</v>
      </c>
      <c r="K258">
        <f t="shared" si="60"/>
        <v>0</v>
      </c>
      <c r="L258">
        <f t="shared" si="67"/>
        <v>0</v>
      </c>
      <c r="M258">
        <f t="shared" si="61"/>
        <v>0</v>
      </c>
      <c r="N258" s="29">
        <f t="shared" si="68"/>
        <v>0</v>
      </c>
      <c r="O258" s="29">
        <f t="shared" si="62"/>
        <v>0</v>
      </c>
      <c r="P258" s="29">
        <f t="shared" si="69"/>
        <v>0</v>
      </c>
      <c r="Q258">
        <f t="shared" si="70"/>
        <v>0</v>
      </c>
      <c r="R258" s="29">
        <f t="shared" si="71"/>
        <v>0</v>
      </c>
      <c r="S258" s="29">
        <f t="shared" si="63"/>
        <v>0</v>
      </c>
      <c r="T258" s="29">
        <f t="shared" si="72"/>
        <v>0</v>
      </c>
      <c r="U258">
        <f t="shared" si="73"/>
        <v>0</v>
      </c>
      <c r="V258" s="29">
        <f t="shared" si="74"/>
        <v>0</v>
      </c>
      <c r="W258" s="29">
        <f t="shared" si="64"/>
        <v>0</v>
      </c>
      <c r="X258" s="29">
        <f t="shared" si="75"/>
        <v>0</v>
      </c>
      <c r="Y258">
        <f t="shared" si="76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allocations'!$A$1:$L$317,3,FALSE)</f>
        <v>231434.29352409556</v>
      </c>
      <c r="E259" s="31">
        <f>VLOOKUP(B259,'Initial adjusted formula count'!$A$1:$P$317,12,FALSE)</f>
        <v>6.3504016064256999E-2</v>
      </c>
      <c r="F259">
        <f>VLOOKUP(B259,'Model allocations'!$A$1:$L$317,8,FALSE)</f>
        <v>219852.10424131571</v>
      </c>
      <c r="G259" s="30">
        <f t="shared" si="65"/>
        <v>0.85</v>
      </c>
      <c r="H259">
        <f t="shared" si="66"/>
        <v>196719.14949548122</v>
      </c>
      <c r="I259">
        <f t="shared" ref="I259:I316" si="77">IF(F259&lt;H259,H259,0)</f>
        <v>0</v>
      </c>
      <c r="J259">
        <f t="shared" ref="J259:J316" si="78">IF(I259=0,F259,0)</f>
        <v>219852.10424131571</v>
      </c>
      <c r="K259">
        <f t="shared" ref="K259:K316" si="79">(J259/$J$3)*($F$3-$I$3)</f>
        <v>219751.67667026538</v>
      </c>
      <c r="L259">
        <f t="shared" si="67"/>
        <v>219751.67667026538</v>
      </c>
      <c r="M259">
        <f t="shared" ref="M259:M316" si="80">IF(L259&lt;H259,H259,0)</f>
        <v>0</v>
      </c>
      <c r="N259" s="29">
        <f t="shared" si="68"/>
        <v>219751.67667026538</v>
      </c>
      <c r="O259" s="29">
        <f t="shared" ref="O259:O316" si="81">((N259/$N$3)*($F$3-$I$3-$M$3))</f>
        <v>219740.53076797244</v>
      </c>
      <c r="P259" s="29">
        <f t="shared" si="69"/>
        <v>219740.53076797244</v>
      </c>
      <c r="Q259">
        <f t="shared" si="70"/>
        <v>0</v>
      </c>
      <c r="R259" s="29">
        <f t="shared" si="71"/>
        <v>219740.53076797244</v>
      </c>
      <c r="S259" s="29">
        <f t="shared" ref="S259:S316" si="82">((R259/$R$3)*($F$3-$I$3-$M$3-$Q$3))</f>
        <v>219740.53076797258</v>
      </c>
      <c r="T259" s="29">
        <f t="shared" si="72"/>
        <v>219740.53076797258</v>
      </c>
      <c r="U259">
        <f t="shared" si="73"/>
        <v>0</v>
      </c>
      <c r="V259" s="29">
        <f t="shared" si="74"/>
        <v>219740.53076797258</v>
      </c>
      <c r="W259" s="29">
        <f t="shared" ref="W259:W316" si="83">((V259/$V$3)*($F$3-$I$3-$M$3-$Q$3-$U$3))</f>
        <v>219740.53076797261</v>
      </c>
      <c r="X259" s="29">
        <f t="shared" si="75"/>
        <v>219740.53076797261</v>
      </c>
      <c r="Y259">
        <f t="shared" si="76"/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allocations'!$A$1:$L$317,3,FALSE)</f>
        <v>0</v>
      </c>
      <c r="E260" s="31">
        <f>VLOOKUP(B260,'Initial adjusted formula count'!$A$1:$P$317,12,FALSE)</f>
        <v>0.15094339622641501</v>
      </c>
      <c r="F260">
        <f>VLOOKUP(B260,'Model allocations'!$A$1:$L$317,8,FALSE)</f>
        <v>0</v>
      </c>
      <c r="G260" s="30">
        <f t="shared" ref="G260:G316" si="84">IF(E260&lt;0.15,0.85,IF(AND(E260&gt;=0.15,E260&lt;0.3),0.9,0.95))</f>
        <v>0.9</v>
      </c>
      <c r="H260">
        <f t="shared" ref="H260:H316" si="85">IF(F260 = 0, 0, D260*G260)</f>
        <v>0</v>
      </c>
      <c r="I260">
        <f t="shared" si="77"/>
        <v>0</v>
      </c>
      <c r="J260">
        <f t="shared" si="78"/>
        <v>0</v>
      </c>
      <c r="K260">
        <f t="shared" si="79"/>
        <v>0</v>
      </c>
      <c r="L260">
        <f t="shared" ref="L260:L316" si="86">I260+K260</f>
        <v>0</v>
      </c>
      <c r="M260">
        <f t="shared" si="80"/>
        <v>0</v>
      </c>
      <c r="N260" s="29">
        <f t="shared" ref="N260:N316" si="87">IF($I260+$M260=0,L260,0)</f>
        <v>0</v>
      </c>
      <c r="O260" s="29">
        <f t="shared" si="81"/>
        <v>0</v>
      </c>
      <c r="P260" s="29">
        <f t="shared" ref="P260:P316" si="88">$I260+$M260+O260</f>
        <v>0</v>
      </c>
      <c r="Q260">
        <f t="shared" ref="Q260:Q316" si="89">IF(P260&lt;H260,H260,0)</f>
        <v>0</v>
      </c>
      <c r="R260" s="29">
        <f t="shared" ref="R260:R316" si="90">IF($I260+$M260+$Q260=0,P260,0)</f>
        <v>0</v>
      </c>
      <c r="S260" s="29">
        <f t="shared" si="82"/>
        <v>0</v>
      </c>
      <c r="T260" s="29">
        <f t="shared" ref="T260:T316" si="91">$I260+$M260+$Q260+S260</f>
        <v>0</v>
      </c>
      <c r="U260">
        <f t="shared" ref="U260:U316" si="92">IF(T260&lt;H260,H260,0)</f>
        <v>0</v>
      </c>
      <c r="V260" s="29">
        <f t="shared" ref="V260:V316" si="93">IF($I260+$M260+$Q260+U260=0,T260,0)</f>
        <v>0</v>
      </c>
      <c r="W260" s="29">
        <f t="shared" si="83"/>
        <v>0</v>
      </c>
      <c r="X260" s="29">
        <f t="shared" ref="X260:X316" si="94">$I260+$M260+$Q260+$U260+W260</f>
        <v>0</v>
      </c>
      <c r="Y260">
        <f t="shared" ref="Y260:Y316" si="95">IF(X260&lt;H260,H260,0)</f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allocations'!$A$1:$L$317,3,FALSE)</f>
        <v>109264.51776044659</v>
      </c>
      <c r="E261" s="31">
        <f>VLOOKUP(B261,'Initial adjusted formula count'!$A$1:$P$317,12,FALSE)</f>
        <v>0.15274725274725301</v>
      </c>
      <c r="F261">
        <f>VLOOKUP(B261,'Model allocations'!$A$1:$L$317,8,FALSE)</f>
        <v>120788.31023534735</v>
      </c>
      <c r="G261" s="30">
        <f t="shared" si="84"/>
        <v>0.9</v>
      </c>
      <c r="H261">
        <f t="shared" si="85"/>
        <v>98338.065984401925</v>
      </c>
      <c r="I261">
        <f t="shared" si="77"/>
        <v>0</v>
      </c>
      <c r="J261">
        <f t="shared" si="78"/>
        <v>120788.31023534735</v>
      </c>
      <c r="K261">
        <f t="shared" si="79"/>
        <v>120733.13461330785</v>
      </c>
      <c r="L261">
        <f t="shared" si="86"/>
        <v>120733.13461330785</v>
      </c>
      <c r="M261">
        <f t="shared" si="80"/>
        <v>0</v>
      </c>
      <c r="N261" s="29">
        <f t="shared" si="87"/>
        <v>120733.13461330785</v>
      </c>
      <c r="O261" s="29">
        <f t="shared" si="81"/>
        <v>120727.01097528922</v>
      </c>
      <c r="P261" s="29">
        <f t="shared" si="88"/>
        <v>120727.01097528922</v>
      </c>
      <c r="Q261">
        <f t="shared" si="89"/>
        <v>0</v>
      </c>
      <c r="R261" s="29">
        <f t="shared" si="90"/>
        <v>120727.01097528922</v>
      </c>
      <c r="S261" s="29">
        <f t="shared" si="82"/>
        <v>120727.01097528927</v>
      </c>
      <c r="T261" s="29">
        <f t="shared" si="91"/>
        <v>120727.01097528927</v>
      </c>
      <c r="U261">
        <f t="shared" si="92"/>
        <v>0</v>
      </c>
      <c r="V261" s="29">
        <f t="shared" si="93"/>
        <v>120727.01097528927</v>
      </c>
      <c r="W261" s="29">
        <f t="shared" si="83"/>
        <v>120727.01097528927</v>
      </c>
      <c r="X261" s="29">
        <f t="shared" si="94"/>
        <v>120727.01097528927</v>
      </c>
      <c r="Y261">
        <f t="shared" si="95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allocations'!$A$1:$L$317,3,FALSE)</f>
        <v>187556.41631320748</v>
      </c>
      <c r="E262" s="31">
        <f>VLOOKUP(B262,'Initial adjusted formula count'!$A$1:$P$317,12,FALSE)</f>
        <v>8.5089463220675898E-2</v>
      </c>
      <c r="F262">
        <f>VLOOKUP(B262,'Model allocations'!$A$1:$L$317,8,FALSE)</f>
        <v>185961.8589234844</v>
      </c>
      <c r="G262" s="30">
        <f t="shared" si="84"/>
        <v>0.85</v>
      </c>
      <c r="H262">
        <f t="shared" si="85"/>
        <v>159422.95386622634</v>
      </c>
      <c r="I262">
        <f t="shared" si="77"/>
        <v>0</v>
      </c>
      <c r="J262">
        <f t="shared" si="78"/>
        <v>185961.8589234844</v>
      </c>
      <c r="K262">
        <f t="shared" si="79"/>
        <v>185876.9122823588</v>
      </c>
      <c r="L262">
        <f t="shared" si="86"/>
        <v>185876.9122823588</v>
      </c>
      <c r="M262">
        <f t="shared" si="80"/>
        <v>0</v>
      </c>
      <c r="N262" s="29">
        <f t="shared" si="87"/>
        <v>185876.9122823588</v>
      </c>
      <c r="O262" s="29">
        <f t="shared" si="81"/>
        <v>185867.48452310706</v>
      </c>
      <c r="P262" s="29">
        <f t="shared" si="88"/>
        <v>185867.48452310706</v>
      </c>
      <c r="Q262">
        <f t="shared" si="89"/>
        <v>0</v>
      </c>
      <c r="R262" s="29">
        <f t="shared" si="90"/>
        <v>185867.48452310706</v>
      </c>
      <c r="S262" s="29">
        <f t="shared" si="82"/>
        <v>185867.48452310715</v>
      </c>
      <c r="T262" s="29">
        <f t="shared" si="91"/>
        <v>185867.48452310715</v>
      </c>
      <c r="U262">
        <f t="shared" si="92"/>
        <v>0</v>
      </c>
      <c r="V262" s="29">
        <f t="shared" si="93"/>
        <v>185867.48452310715</v>
      </c>
      <c r="W262" s="29">
        <f t="shared" si="83"/>
        <v>185867.48452310718</v>
      </c>
      <c r="X262" s="29">
        <f t="shared" si="94"/>
        <v>185867.48452310718</v>
      </c>
      <c r="Y262">
        <f t="shared" si="95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allocations'!$A$1:$L$317,3,FALSE)</f>
        <v>96338.705056194289</v>
      </c>
      <c r="E263" s="31">
        <f>VLOOKUP(B263,'Initial adjusted formula count'!$A$1:$P$317,12,FALSE)</f>
        <v>0.131501871318111</v>
      </c>
      <c r="F263">
        <f>VLOOKUP(B263,'Model allocations'!$A$1:$L$317,8,FALSE)</f>
        <v>87884.983822990704</v>
      </c>
      <c r="G263" s="30">
        <f t="shared" si="84"/>
        <v>0.85</v>
      </c>
      <c r="H263">
        <f t="shared" si="85"/>
        <v>81887.899297765151</v>
      </c>
      <c r="I263">
        <f t="shared" si="77"/>
        <v>0</v>
      </c>
      <c r="J263">
        <f t="shared" si="78"/>
        <v>87884.983822990704</v>
      </c>
      <c r="K263">
        <f t="shared" si="79"/>
        <v>87844.838310226114</v>
      </c>
      <c r="L263">
        <f t="shared" si="86"/>
        <v>87844.838310226114</v>
      </c>
      <c r="M263">
        <f t="shared" si="80"/>
        <v>0</v>
      </c>
      <c r="N263" s="29">
        <f t="shared" si="87"/>
        <v>87844.838310226114</v>
      </c>
      <c r="O263" s="29">
        <f t="shared" si="81"/>
        <v>87840.382781150838</v>
      </c>
      <c r="P263" s="29">
        <f t="shared" si="88"/>
        <v>87840.382781150838</v>
      </c>
      <c r="Q263">
        <f t="shared" si="89"/>
        <v>0</v>
      </c>
      <c r="R263" s="29">
        <f t="shared" si="90"/>
        <v>87840.382781150838</v>
      </c>
      <c r="S263" s="29">
        <f t="shared" si="82"/>
        <v>87840.382781150882</v>
      </c>
      <c r="T263" s="29">
        <f t="shared" si="91"/>
        <v>87840.382781150882</v>
      </c>
      <c r="U263">
        <f t="shared" si="92"/>
        <v>0</v>
      </c>
      <c r="V263" s="29">
        <f t="shared" si="93"/>
        <v>87840.382781150882</v>
      </c>
      <c r="W263" s="29">
        <f t="shared" si="83"/>
        <v>87840.382781150896</v>
      </c>
      <c r="X263" s="29">
        <f t="shared" si="94"/>
        <v>87840.382781150896</v>
      </c>
      <c r="Y263">
        <f t="shared" si="95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allocations'!$A$1:$L$317,3,FALSE)</f>
        <v>37053.348098536313</v>
      </c>
      <c r="E264" s="31">
        <f>VLOOKUP(B264,'Initial adjusted formula count'!$A$1:$P$317,12,FALSE)</f>
        <v>0.121963084893929</v>
      </c>
      <c r="F264">
        <f>VLOOKUP(B264,'Model allocations'!$A$1:$L$317,8,FALSE)</f>
        <v>30996.778526780916</v>
      </c>
      <c r="G264" s="30">
        <f t="shared" si="84"/>
        <v>0.85</v>
      </c>
      <c r="H264">
        <f t="shared" si="85"/>
        <v>31495.345883755865</v>
      </c>
      <c r="I264">
        <f t="shared" si="77"/>
        <v>31495.345883755865</v>
      </c>
      <c r="J264">
        <f t="shared" si="78"/>
        <v>0</v>
      </c>
      <c r="K264">
        <f t="shared" si="79"/>
        <v>0</v>
      </c>
      <c r="L264">
        <f t="shared" si="86"/>
        <v>31495.345883755865</v>
      </c>
      <c r="M264">
        <f t="shared" si="80"/>
        <v>0</v>
      </c>
      <c r="N264" s="29">
        <f t="shared" si="87"/>
        <v>0</v>
      </c>
      <c r="O264" s="29">
        <f t="shared" si="81"/>
        <v>0</v>
      </c>
      <c r="P264" s="29">
        <f t="shared" si="88"/>
        <v>31495.345883755865</v>
      </c>
      <c r="Q264">
        <f t="shared" si="89"/>
        <v>0</v>
      </c>
      <c r="R264" s="29">
        <f t="shared" si="90"/>
        <v>0</v>
      </c>
      <c r="S264" s="29">
        <f t="shared" si="82"/>
        <v>0</v>
      </c>
      <c r="T264" s="29">
        <f t="shared" si="91"/>
        <v>31495.345883755865</v>
      </c>
      <c r="U264">
        <f t="shared" si="92"/>
        <v>0</v>
      </c>
      <c r="V264" s="29">
        <f t="shared" si="93"/>
        <v>0</v>
      </c>
      <c r="W264" s="29">
        <f t="shared" si="83"/>
        <v>0</v>
      </c>
      <c r="X264" s="29">
        <f t="shared" si="94"/>
        <v>31495.345883755865</v>
      </c>
      <c r="Y264">
        <f t="shared" si="95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allocations'!$A$1:$L$317,3,FALSE)</f>
        <v>19632.409156375907</v>
      </c>
      <c r="E265" s="31">
        <f>VLOOKUP(B265,'Initial adjusted formula count'!$A$1:$P$317,12,FALSE)</f>
        <v>0.22807017543859601</v>
      </c>
      <c r="F265">
        <f>VLOOKUP(B265,'Model allocations'!$A$1:$L$317,8,FALSE)</f>
        <v>22593.496878554175</v>
      </c>
      <c r="G265" s="30">
        <f t="shared" si="84"/>
        <v>0.9</v>
      </c>
      <c r="H265">
        <f t="shared" si="85"/>
        <v>17669.168240738316</v>
      </c>
      <c r="I265">
        <f t="shared" si="77"/>
        <v>0</v>
      </c>
      <c r="J265">
        <f t="shared" si="78"/>
        <v>22593.496878554175</v>
      </c>
      <c r="K265">
        <f t="shared" si="79"/>
        <v>22583.176258604341</v>
      </c>
      <c r="L265">
        <f t="shared" si="86"/>
        <v>22583.176258604341</v>
      </c>
      <c r="M265">
        <f t="shared" si="80"/>
        <v>0</v>
      </c>
      <c r="N265" s="29">
        <f t="shared" si="87"/>
        <v>22583.176258604341</v>
      </c>
      <c r="O265" s="29">
        <f t="shared" si="81"/>
        <v>22582.030829910203</v>
      </c>
      <c r="P265" s="29">
        <f t="shared" si="88"/>
        <v>22582.030829910203</v>
      </c>
      <c r="Q265">
        <f t="shared" si="89"/>
        <v>0</v>
      </c>
      <c r="R265" s="29">
        <f t="shared" si="90"/>
        <v>22582.030829910203</v>
      </c>
      <c r="S265" s="29">
        <f t="shared" si="82"/>
        <v>22582.030829910214</v>
      </c>
      <c r="T265" s="29">
        <f t="shared" si="91"/>
        <v>22582.030829910214</v>
      </c>
      <c r="U265">
        <f t="shared" si="92"/>
        <v>0</v>
      </c>
      <c r="V265" s="29">
        <f t="shared" si="93"/>
        <v>22582.030829910214</v>
      </c>
      <c r="W265" s="29">
        <f t="shared" si="83"/>
        <v>22582.030829910218</v>
      </c>
      <c r="X265" s="29">
        <f t="shared" si="94"/>
        <v>22582.030829910218</v>
      </c>
      <c r="Y265">
        <f t="shared" si="95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allocations'!$A$1:$L$317,3,FALSE)</f>
        <v>468891.04078301886</v>
      </c>
      <c r="E266" s="31">
        <f>VLOOKUP(B266,'Initial adjusted formula count'!$A$1:$P$317,12,FALSE)</f>
        <v>5.3187511684427001E-2</v>
      </c>
      <c r="F266">
        <f>VLOOKUP(B266,'Model allocations'!$A$1:$L$317,8,FALSE)</f>
        <v>494449.98938066658</v>
      </c>
      <c r="G266" s="30">
        <f t="shared" si="84"/>
        <v>0.85</v>
      </c>
      <c r="H266">
        <f t="shared" si="85"/>
        <v>398557.38466556603</v>
      </c>
      <c r="I266">
        <f t="shared" si="77"/>
        <v>0</v>
      </c>
      <c r="J266">
        <f t="shared" si="78"/>
        <v>494449.98938066658</v>
      </c>
      <c r="K266">
        <f t="shared" si="79"/>
        <v>494224.12658253359</v>
      </c>
      <c r="L266">
        <f t="shared" si="86"/>
        <v>494224.12658253359</v>
      </c>
      <c r="M266">
        <f t="shared" si="80"/>
        <v>0</v>
      </c>
      <c r="N266" s="29">
        <f t="shared" si="87"/>
        <v>494224.12658253359</v>
      </c>
      <c r="O266" s="29">
        <f t="shared" si="81"/>
        <v>494199.05931611196</v>
      </c>
      <c r="P266" s="29">
        <f t="shared" si="88"/>
        <v>494199.05931611196</v>
      </c>
      <c r="Q266">
        <f t="shared" si="89"/>
        <v>0</v>
      </c>
      <c r="R266" s="29">
        <f t="shared" si="90"/>
        <v>494199.05931611196</v>
      </c>
      <c r="S266" s="29">
        <f t="shared" si="82"/>
        <v>494199.05931611225</v>
      </c>
      <c r="T266" s="29">
        <f t="shared" si="91"/>
        <v>494199.05931611225</v>
      </c>
      <c r="U266">
        <f t="shared" si="92"/>
        <v>0</v>
      </c>
      <c r="V266" s="29">
        <f t="shared" si="93"/>
        <v>494199.05931611225</v>
      </c>
      <c r="W266" s="29">
        <f t="shared" si="83"/>
        <v>494199.05931611231</v>
      </c>
      <c r="X266" s="29">
        <f t="shared" si="94"/>
        <v>494199.05931611231</v>
      </c>
      <c r="Y266">
        <f t="shared" si="95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allocations'!$A$1:$L$317,3,FALSE)</f>
        <v>1025537.8359878135</v>
      </c>
      <c r="E267" s="31">
        <f>VLOOKUP(B267,'Initial adjusted formula count'!$A$1:$P$317,12,FALSE)</f>
        <v>0.21102692245687599</v>
      </c>
      <c r="F267">
        <f>VLOOKUP(B267,'Model allocations'!$A$1:$L$317,8,FALSE)</f>
        <v>1137495.669770285</v>
      </c>
      <c r="G267" s="30">
        <f t="shared" si="84"/>
        <v>0.9</v>
      </c>
      <c r="H267">
        <f t="shared" si="85"/>
        <v>922984.05238903221</v>
      </c>
      <c r="I267">
        <f t="shared" si="77"/>
        <v>0</v>
      </c>
      <c r="J267">
        <f t="shared" si="78"/>
        <v>1137495.669770285</v>
      </c>
      <c r="K267">
        <f t="shared" si="79"/>
        <v>1136976.0662505028</v>
      </c>
      <c r="L267">
        <f t="shared" si="86"/>
        <v>1136976.0662505028</v>
      </c>
      <c r="M267">
        <f t="shared" si="80"/>
        <v>0</v>
      </c>
      <c r="N267" s="29">
        <f t="shared" si="87"/>
        <v>1136976.0662505028</v>
      </c>
      <c r="O267" s="29">
        <f t="shared" si="81"/>
        <v>1136918.3983212481</v>
      </c>
      <c r="P267" s="29">
        <f t="shared" si="88"/>
        <v>1136918.3983212481</v>
      </c>
      <c r="Q267">
        <f t="shared" si="89"/>
        <v>0</v>
      </c>
      <c r="R267" s="29">
        <f t="shared" si="90"/>
        <v>1136918.3983212481</v>
      </c>
      <c r="S267" s="29">
        <f t="shared" si="82"/>
        <v>1136918.3983212488</v>
      </c>
      <c r="T267" s="29">
        <f t="shared" si="91"/>
        <v>1136918.3983212488</v>
      </c>
      <c r="U267">
        <f t="shared" si="92"/>
        <v>0</v>
      </c>
      <c r="V267" s="29">
        <f t="shared" si="93"/>
        <v>1136918.3983212488</v>
      </c>
      <c r="W267" s="29">
        <f t="shared" si="83"/>
        <v>1136918.3983212488</v>
      </c>
      <c r="X267" s="29">
        <f t="shared" si="94"/>
        <v>1136918.3983212488</v>
      </c>
      <c r="Y267">
        <f t="shared" si="95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allocations'!$A$1:$L$317,3,FALSE)</f>
        <v>15682.877607164477</v>
      </c>
      <c r="E268" s="31">
        <f>VLOOKUP(B268,'Initial adjusted formula count'!$A$1:$P$317,12,FALSE)</f>
        <v>0.194148516573487</v>
      </c>
      <c r="F268">
        <f>VLOOKUP(B268,'Model allocations'!$A$1:$L$317,8,FALSE)</f>
        <v>14787.200586224169</v>
      </c>
      <c r="G268" s="30">
        <f t="shared" si="84"/>
        <v>0.9</v>
      </c>
      <c r="H268">
        <f t="shared" si="85"/>
        <v>14114.589846448029</v>
      </c>
      <c r="I268">
        <f t="shared" si="77"/>
        <v>0</v>
      </c>
      <c r="J268">
        <f t="shared" si="78"/>
        <v>14787.200586224169</v>
      </c>
      <c r="K268">
        <f t="shared" si="79"/>
        <v>14780.445851523617</v>
      </c>
      <c r="L268">
        <f t="shared" si="86"/>
        <v>14780.445851523617</v>
      </c>
      <c r="M268">
        <f t="shared" si="80"/>
        <v>0</v>
      </c>
      <c r="N268" s="29">
        <f t="shared" si="87"/>
        <v>14780.445851523617</v>
      </c>
      <c r="O268" s="29">
        <f t="shared" si="81"/>
        <v>14779.696180768866</v>
      </c>
      <c r="P268" s="29">
        <f t="shared" si="88"/>
        <v>14779.696180768866</v>
      </c>
      <c r="Q268">
        <f t="shared" si="89"/>
        <v>0</v>
      </c>
      <c r="R268" s="29">
        <f t="shared" si="90"/>
        <v>14779.696180768866</v>
      </c>
      <c r="S268" s="29">
        <f t="shared" si="82"/>
        <v>14779.696180768873</v>
      </c>
      <c r="T268" s="29">
        <f t="shared" si="91"/>
        <v>14779.696180768873</v>
      </c>
      <c r="U268">
        <f t="shared" si="92"/>
        <v>0</v>
      </c>
      <c r="V268" s="29">
        <f t="shared" si="93"/>
        <v>14779.696180768873</v>
      </c>
      <c r="W268" s="29">
        <f t="shared" si="83"/>
        <v>14779.696180768873</v>
      </c>
      <c r="X268" s="29">
        <f t="shared" si="94"/>
        <v>14779.696180768873</v>
      </c>
      <c r="Y268">
        <f t="shared" si="95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allocations'!$A$1:$L$317,3,FALSE)</f>
        <v>3739361.4569145353</v>
      </c>
      <c r="E269" s="31">
        <f>VLOOKUP(B269,'Initial adjusted formula count'!$A$1:$P$317,12,FALSE)</f>
        <v>0.133023848319229</v>
      </c>
      <c r="F269">
        <f>VLOOKUP(B269,'Model allocations'!$A$1:$L$317,8,FALSE)</f>
        <v>3821031.0973591688</v>
      </c>
      <c r="G269" s="30">
        <f t="shared" si="84"/>
        <v>0.85</v>
      </c>
      <c r="H269">
        <f t="shared" si="85"/>
        <v>3178457.238377355</v>
      </c>
      <c r="I269">
        <f t="shared" si="77"/>
        <v>0</v>
      </c>
      <c r="J269">
        <f t="shared" si="78"/>
        <v>3821031.0973591688</v>
      </c>
      <c r="K269">
        <f t="shared" si="79"/>
        <v>3819285.6654774048</v>
      </c>
      <c r="L269">
        <f t="shared" si="86"/>
        <v>3819285.6654774048</v>
      </c>
      <c r="M269">
        <f t="shared" si="80"/>
        <v>0</v>
      </c>
      <c r="N269" s="29">
        <f t="shared" si="87"/>
        <v>3819285.6654774048</v>
      </c>
      <c r="O269" s="29">
        <f t="shared" si="81"/>
        <v>3819091.9496182073</v>
      </c>
      <c r="P269" s="29">
        <f t="shared" si="88"/>
        <v>3819091.9496182073</v>
      </c>
      <c r="Q269">
        <f t="shared" si="89"/>
        <v>0</v>
      </c>
      <c r="R269" s="29">
        <f t="shared" si="90"/>
        <v>3819091.9496182073</v>
      </c>
      <c r="S269" s="29">
        <f t="shared" si="82"/>
        <v>3819091.9496182096</v>
      </c>
      <c r="T269" s="29">
        <f t="shared" si="91"/>
        <v>3819091.9496182096</v>
      </c>
      <c r="U269">
        <f t="shared" si="92"/>
        <v>0</v>
      </c>
      <c r="V269" s="29">
        <f t="shared" si="93"/>
        <v>3819091.9496182096</v>
      </c>
      <c r="W269" s="29">
        <f t="shared" si="83"/>
        <v>3819091.9496182106</v>
      </c>
      <c r="X269" s="29">
        <f t="shared" si="94"/>
        <v>3819091.9496182106</v>
      </c>
      <c r="Y269">
        <f t="shared" si="95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allocations'!$A$1:$L$317,3,FALSE)</f>
        <v>74850.496418573661</v>
      </c>
      <c r="E270" s="31">
        <f>VLOOKUP(B270,'Initial adjusted formula count'!$A$1:$P$317,12,FALSE)</f>
        <v>0.155619596541787</v>
      </c>
      <c r="F270">
        <f>VLOOKUP(B270,'Model allocations'!$A$1:$L$317,8,FALSE)</f>
        <v>67365.446776716301</v>
      </c>
      <c r="G270" s="30">
        <f t="shared" si="84"/>
        <v>0.9</v>
      </c>
      <c r="H270">
        <f t="shared" si="85"/>
        <v>67365.446776716301</v>
      </c>
      <c r="I270">
        <f t="shared" si="77"/>
        <v>0</v>
      </c>
      <c r="J270">
        <f t="shared" si="78"/>
        <v>67365.446776716301</v>
      </c>
      <c r="K270">
        <f t="shared" si="79"/>
        <v>67334.674507258824</v>
      </c>
      <c r="L270">
        <f t="shared" si="86"/>
        <v>67334.674507258824</v>
      </c>
      <c r="M270">
        <f t="shared" si="80"/>
        <v>67365.446776716301</v>
      </c>
      <c r="N270" s="29">
        <f t="shared" si="87"/>
        <v>0</v>
      </c>
      <c r="O270" s="29">
        <f t="shared" si="81"/>
        <v>0</v>
      </c>
      <c r="P270" s="29">
        <f t="shared" si="88"/>
        <v>67365.446776716301</v>
      </c>
      <c r="Q270">
        <f t="shared" si="89"/>
        <v>0</v>
      </c>
      <c r="R270" s="29">
        <f t="shared" si="90"/>
        <v>0</v>
      </c>
      <c r="S270" s="29">
        <f t="shared" si="82"/>
        <v>0</v>
      </c>
      <c r="T270" s="29">
        <f t="shared" si="91"/>
        <v>67365.446776716301</v>
      </c>
      <c r="U270">
        <f t="shared" si="92"/>
        <v>0</v>
      </c>
      <c r="V270" s="29">
        <f t="shared" si="93"/>
        <v>0</v>
      </c>
      <c r="W270" s="29">
        <f t="shared" si="83"/>
        <v>0</v>
      </c>
      <c r="X270" s="29">
        <f t="shared" si="94"/>
        <v>67365.446776716301</v>
      </c>
      <c r="Y270">
        <f t="shared" si="95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allocations'!$A$1:$L$317,3,FALSE)</f>
        <v>332095.30594907381</v>
      </c>
      <c r="E271" s="31">
        <f>VLOOKUP(B271,'Initial adjusted formula count'!$A$1:$P$317,12,FALSE)</f>
        <v>4.5519516217701998E-2</v>
      </c>
      <c r="F271">
        <f>VLOOKUP(B271,'Model allocations'!$A$1:$L$317,8,FALSE)</f>
        <v>359757.98875851656</v>
      </c>
      <c r="G271" s="30">
        <f t="shared" si="84"/>
        <v>0.85</v>
      </c>
      <c r="H271">
        <f t="shared" si="85"/>
        <v>282281.01005671272</v>
      </c>
      <c r="I271">
        <f t="shared" si="77"/>
        <v>0</v>
      </c>
      <c r="J271">
        <f t="shared" si="78"/>
        <v>359757.98875851656</v>
      </c>
      <c r="K271">
        <f t="shared" si="79"/>
        <v>359593.65273316146</v>
      </c>
      <c r="L271">
        <f t="shared" si="86"/>
        <v>359593.65273316146</v>
      </c>
      <c r="M271">
        <f t="shared" si="80"/>
        <v>0</v>
      </c>
      <c r="N271" s="29">
        <f t="shared" si="87"/>
        <v>359593.65273316146</v>
      </c>
      <c r="O271" s="29">
        <f t="shared" si="81"/>
        <v>359575.41398395487</v>
      </c>
      <c r="P271" s="29">
        <f t="shared" si="88"/>
        <v>359575.41398395487</v>
      </c>
      <c r="Q271">
        <f t="shared" si="89"/>
        <v>0</v>
      </c>
      <c r="R271" s="29">
        <f t="shared" si="90"/>
        <v>359575.41398395487</v>
      </c>
      <c r="S271" s="29">
        <f t="shared" si="82"/>
        <v>359575.41398395511</v>
      </c>
      <c r="T271" s="29">
        <f t="shared" si="91"/>
        <v>359575.41398395511</v>
      </c>
      <c r="U271">
        <f t="shared" si="92"/>
        <v>0</v>
      </c>
      <c r="V271" s="29">
        <f t="shared" si="93"/>
        <v>359575.41398395511</v>
      </c>
      <c r="W271" s="29">
        <f t="shared" si="83"/>
        <v>359575.41398395516</v>
      </c>
      <c r="X271" s="29">
        <f t="shared" si="94"/>
        <v>359575.41398395516</v>
      </c>
      <c r="Y271">
        <f t="shared" si="95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allocations'!$A$1:$L$317,3,FALSE)</f>
        <v>24089.814939311054</v>
      </c>
      <c r="E272" s="31">
        <f>VLOOKUP(B272,'Initial adjusted formula count'!$A$1:$P$317,12,FALSE)</f>
        <v>0.112426035502959</v>
      </c>
      <c r="F272">
        <f>VLOOKUP(B272,'Model allocations'!$A$1:$L$317,8,FALSE)</f>
        <v>20476.342698414395</v>
      </c>
      <c r="G272" s="30">
        <f t="shared" si="84"/>
        <v>0.85</v>
      </c>
      <c r="H272">
        <f t="shared" si="85"/>
        <v>20476.342698414395</v>
      </c>
      <c r="I272">
        <f t="shared" si="77"/>
        <v>0</v>
      </c>
      <c r="J272">
        <f t="shared" si="78"/>
        <v>20476.342698414395</v>
      </c>
      <c r="K272">
        <f t="shared" si="79"/>
        <v>20466.989186114421</v>
      </c>
      <c r="L272">
        <f t="shared" si="86"/>
        <v>20466.989186114421</v>
      </c>
      <c r="M272">
        <f t="shared" si="80"/>
        <v>20476.342698414395</v>
      </c>
      <c r="N272" s="29">
        <f t="shared" si="87"/>
        <v>0</v>
      </c>
      <c r="O272" s="29">
        <f t="shared" si="81"/>
        <v>0</v>
      </c>
      <c r="P272" s="29">
        <f t="shared" si="88"/>
        <v>20476.342698414395</v>
      </c>
      <c r="Q272">
        <f t="shared" si="89"/>
        <v>0</v>
      </c>
      <c r="R272" s="29">
        <f t="shared" si="90"/>
        <v>0</v>
      </c>
      <c r="S272" s="29">
        <f t="shared" si="82"/>
        <v>0</v>
      </c>
      <c r="T272" s="29">
        <f t="shared" si="91"/>
        <v>20476.342698414395</v>
      </c>
      <c r="U272">
        <f t="shared" si="92"/>
        <v>0</v>
      </c>
      <c r="V272" s="29">
        <f t="shared" si="93"/>
        <v>0</v>
      </c>
      <c r="W272" s="29">
        <f t="shared" si="83"/>
        <v>0</v>
      </c>
      <c r="X272" s="29">
        <f t="shared" si="94"/>
        <v>20476.342698414395</v>
      </c>
      <c r="Y272">
        <f t="shared" si="95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allocations'!$A$1:$L$317,3,FALSE)</f>
        <v>167768.35404163055</v>
      </c>
      <c r="E273" s="31">
        <f>VLOOKUP(B273,'Initial adjusted formula count'!$A$1:$P$317,12,FALSE)</f>
        <v>8.3388484447385794E-2</v>
      </c>
      <c r="F273">
        <f>VLOOKUP(B273,'Model allocations'!$A$1:$L$317,8,FALSE)</f>
        <v>142603.10093538597</v>
      </c>
      <c r="G273" s="30">
        <f t="shared" si="84"/>
        <v>0.85</v>
      </c>
      <c r="H273">
        <f t="shared" si="85"/>
        <v>142603.10093538597</v>
      </c>
      <c r="I273">
        <f t="shared" si="77"/>
        <v>0</v>
      </c>
      <c r="J273">
        <f t="shared" si="78"/>
        <v>142603.10093538597</v>
      </c>
      <c r="K273">
        <f t="shared" si="79"/>
        <v>142537.96040329689</v>
      </c>
      <c r="L273">
        <f t="shared" si="86"/>
        <v>142537.96040329689</v>
      </c>
      <c r="M273">
        <f t="shared" si="80"/>
        <v>142603.10093538597</v>
      </c>
      <c r="N273" s="29">
        <f t="shared" si="87"/>
        <v>0</v>
      </c>
      <c r="O273" s="29">
        <f t="shared" si="81"/>
        <v>0</v>
      </c>
      <c r="P273" s="29">
        <f t="shared" si="88"/>
        <v>142603.10093538597</v>
      </c>
      <c r="Q273">
        <f t="shared" si="89"/>
        <v>0</v>
      </c>
      <c r="R273" s="29">
        <f t="shared" si="90"/>
        <v>0</v>
      </c>
      <c r="S273" s="29">
        <f t="shared" si="82"/>
        <v>0</v>
      </c>
      <c r="T273" s="29">
        <f t="shared" si="91"/>
        <v>142603.10093538597</v>
      </c>
      <c r="U273">
        <f t="shared" si="92"/>
        <v>0</v>
      </c>
      <c r="V273" s="29">
        <f t="shared" si="93"/>
        <v>0</v>
      </c>
      <c r="W273" s="29">
        <f t="shared" si="83"/>
        <v>0</v>
      </c>
      <c r="X273" s="29">
        <f t="shared" si="94"/>
        <v>142603.10093538597</v>
      </c>
      <c r="Y273">
        <f t="shared" si="95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allocations'!$A$1:$L$317,3,FALSE)</f>
        <v>21508.763338670593</v>
      </c>
      <c r="E274" s="31">
        <f>VLOOKUP(B274,'Initial adjusted formula count'!$A$1:$P$317,12,FALSE)</f>
        <v>0.15384615384615399</v>
      </c>
      <c r="F274">
        <f>VLOOKUP(B274,'Model allocations'!$A$1:$L$317,8,FALSE)</f>
        <v>27807.380773605146</v>
      </c>
      <c r="G274" s="30">
        <f t="shared" si="84"/>
        <v>0.9</v>
      </c>
      <c r="H274">
        <f t="shared" si="85"/>
        <v>19357.887004803535</v>
      </c>
      <c r="I274">
        <f t="shared" si="77"/>
        <v>0</v>
      </c>
      <c r="J274">
        <f t="shared" si="78"/>
        <v>27807.380773605146</v>
      </c>
      <c r="K274">
        <f t="shared" si="79"/>
        <v>27794.67847212842</v>
      </c>
      <c r="L274">
        <f t="shared" si="86"/>
        <v>27794.67847212842</v>
      </c>
      <c r="M274">
        <f t="shared" si="80"/>
        <v>0</v>
      </c>
      <c r="N274" s="29">
        <f t="shared" si="87"/>
        <v>27794.67847212842</v>
      </c>
      <c r="O274" s="29">
        <f t="shared" si="81"/>
        <v>27793.268713735641</v>
      </c>
      <c r="P274" s="29">
        <f t="shared" si="88"/>
        <v>27793.268713735641</v>
      </c>
      <c r="Q274">
        <f t="shared" si="89"/>
        <v>0</v>
      </c>
      <c r="R274" s="29">
        <f t="shared" si="90"/>
        <v>27793.268713735641</v>
      </c>
      <c r="S274" s="29">
        <f t="shared" si="82"/>
        <v>27793.268713735659</v>
      </c>
      <c r="T274" s="29">
        <f t="shared" si="91"/>
        <v>27793.268713735659</v>
      </c>
      <c r="U274">
        <f t="shared" si="92"/>
        <v>0</v>
      </c>
      <c r="V274" s="29">
        <f t="shared" si="93"/>
        <v>27793.268713735659</v>
      </c>
      <c r="W274" s="29">
        <f t="shared" si="83"/>
        <v>27793.268713735662</v>
      </c>
      <c r="X274" s="29">
        <f t="shared" si="94"/>
        <v>27793.268713735662</v>
      </c>
      <c r="Y274">
        <f t="shared" si="95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allocations'!$A$1:$L$317,3,FALSE)</f>
        <v>75710.846952120482</v>
      </c>
      <c r="E275" s="31">
        <f>VLOOKUP(B275,'Initial adjusted formula count'!$A$1:$P$317,12,FALSE)</f>
        <v>7.9861111111111105E-2</v>
      </c>
      <c r="F275">
        <f>VLOOKUP(B275,'Model allocations'!$A$1:$L$317,8,FALSE)</f>
        <v>64354.21990930241</v>
      </c>
      <c r="G275" s="30">
        <f t="shared" si="84"/>
        <v>0.85</v>
      </c>
      <c r="H275">
        <f t="shared" si="85"/>
        <v>64354.21990930241</v>
      </c>
      <c r="I275">
        <f t="shared" si="77"/>
        <v>0</v>
      </c>
      <c r="J275">
        <f t="shared" si="78"/>
        <v>64354.21990930241</v>
      </c>
      <c r="K275">
        <f t="shared" si="79"/>
        <v>64324.823156359635</v>
      </c>
      <c r="L275">
        <f t="shared" si="86"/>
        <v>64324.823156359635</v>
      </c>
      <c r="M275">
        <f t="shared" si="80"/>
        <v>64354.21990930241</v>
      </c>
      <c r="N275" s="29">
        <f t="shared" si="87"/>
        <v>0</v>
      </c>
      <c r="O275" s="29">
        <f t="shared" si="81"/>
        <v>0</v>
      </c>
      <c r="P275" s="29">
        <f t="shared" si="88"/>
        <v>64354.21990930241</v>
      </c>
      <c r="Q275">
        <f t="shared" si="89"/>
        <v>0</v>
      </c>
      <c r="R275" s="29">
        <f t="shared" si="90"/>
        <v>0</v>
      </c>
      <c r="S275" s="29">
        <f t="shared" si="82"/>
        <v>0</v>
      </c>
      <c r="T275" s="29">
        <f t="shared" si="91"/>
        <v>64354.21990930241</v>
      </c>
      <c r="U275">
        <f t="shared" si="92"/>
        <v>0</v>
      </c>
      <c r="V275" s="29">
        <f t="shared" si="93"/>
        <v>0</v>
      </c>
      <c r="W275" s="29">
        <f t="shared" si="83"/>
        <v>0</v>
      </c>
      <c r="X275" s="29">
        <f t="shared" si="94"/>
        <v>64354.21990930241</v>
      </c>
      <c r="Y275">
        <f t="shared" si="95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allocations'!$A$1:$L$317,3,FALSE)</f>
        <v>252476.14615052482</v>
      </c>
      <c r="E276" s="31">
        <f>VLOOKUP(B276,'Initial adjusted formula count'!$A$1:$P$317,12,FALSE)</f>
        <v>0.24545454545454501</v>
      </c>
      <c r="F276">
        <f>VLOOKUP(B276,'Model allocations'!$A$1:$L$317,8,FALSE)</f>
        <v>234624.77527729337</v>
      </c>
      <c r="G276" s="30">
        <f t="shared" si="84"/>
        <v>0.9</v>
      </c>
      <c r="H276">
        <f t="shared" si="85"/>
        <v>227228.53153547234</v>
      </c>
      <c r="I276">
        <f t="shared" si="77"/>
        <v>0</v>
      </c>
      <c r="J276">
        <f t="shared" si="78"/>
        <v>234624.77527729337</v>
      </c>
      <c r="K276">
        <f t="shared" si="79"/>
        <v>234517.59960858355</v>
      </c>
      <c r="L276">
        <f t="shared" si="86"/>
        <v>234517.59960858355</v>
      </c>
      <c r="M276">
        <f t="shared" si="80"/>
        <v>0</v>
      </c>
      <c r="N276" s="29">
        <f t="shared" si="87"/>
        <v>234517.59960858355</v>
      </c>
      <c r="O276" s="29">
        <f t="shared" si="81"/>
        <v>234505.70477214447</v>
      </c>
      <c r="P276" s="29">
        <f t="shared" si="88"/>
        <v>234505.70477214447</v>
      </c>
      <c r="Q276">
        <f t="shared" si="89"/>
        <v>0</v>
      </c>
      <c r="R276" s="29">
        <f t="shared" si="90"/>
        <v>234505.70477214447</v>
      </c>
      <c r="S276" s="29">
        <f t="shared" si="82"/>
        <v>234505.70477214459</v>
      </c>
      <c r="T276" s="29">
        <f t="shared" si="91"/>
        <v>234505.70477214459</v>
      </c>
      <c r="U276">
        <f t="shared" si="92"/>
        <v>0</v>
      </c>
      <c r="V276" s="29">
        <f t="shared" si="93"/>
        <v>234505.70477214459</v>
      </c>
      <c r="W276" s="29">
        <f t="shared" si="83"/>
        <v>234505.70477214459</v>
      </c>
      <c r="X276" s="29">
        <f t="shared" si="94"/>
        <v>234505.70477214459</v>
      </c>
      <c r="Y276">
        <f t="shared" si="95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allocations'!$A$1:$L$317,3,FALSE)</f>
        <v>621173.0852208063</v>
      </c>
      <c r="E277" s="31">
        <f>VLOOKUP(B277,'Initial adjusted formula count'!$A$1:$P$317,12,FALSE)</f>
        <v>0.19354838709677399</v>
      </c>
      <c r="F277">
        <f>VLOOKUP(B277,'Model allocations'!$A$1:$L$317,8,FALSE)</f>
        <v>583954.99624570797</v>
      </c>
      <c r="G277" s="30">
        <f t="shared" si="84"/>
        <v>0.9</v>
      </c>
      <c r="H277">
        <f t="shared" si="85"/>
        <v>559055.77669872565</v>
      </c>
      <c r="I277">
        <f t="shared" si="77"/>
        <v>0</v>
      </c>
      <c r="J277">
        <f t="shared" si="78"/>
        <v>583954.99624570797</v>
      </c>
      <c r="K277">
        <f t="shared" si="79"/>
        <v>583688.24791469681</v>
      </c>
      <c r="L277">
        <f t="shared" si="86"/>
        <v>583688.24791469681</v>
      </c>
      <c r="M277">
        <f t="shared" si="80"/>
        <v>0</v>
      </c>
      <c r="N277" s="29">
        <f t="shared" si="87"/>
        <v>583688.24791469681</v>
      </c>
      <c r="O277" s="29">
        <f t="shared" si="81"/>
        <v>583658.6429884485</v>
      </c>
      <c r="P277" s="29">
        <f t="shared" si="88"/>
        <v>583658.6429884485</v>
      </c>
      <c r="Q277">
        <f t="shared" si="89"/>
        <v>0</v>
      </c>
      <c r="R277" s="29">
        <f t="shared" si="90"/>
        <v>583658.6429884485</v>
      </c>
      <c r="S277" s="29">
        <f t="shared" si="82"/>
        <v>583658.64298844885</v>
      </c>
      <c r="T277" s="29">
        <f t="shared" si="91"/>
        <v>583658.64298844885</v>
      </c>
      <c r="U277">
        <f t="shared" si="92"/>
        <v>0</v>
      </c>
      <c r="V277" s="29">
        <f t="shared" si="93"/>
        <v>583658.64298844885</v>
      </c>
      <c r="W277" s="29">
        <f t="shared" si="83"/>
        <v>583658.64298844885</v>
      </c>
      <c r="X277" s="29">
        <f t="shared" si="94"/>
        <v>583658.64298844885</v>
      </c>
      <c r="Y277">
        <f t="shared" si="95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allocations'!$A$1:$L$317,3,FALSE)</f>
        <v>24089.814939311054</v>
      </c>
      <c r="E278" s="31">
        <f>VLOOKUP(B278,'Initial adjusted formula count'!$A$1:$P$317,12,FALSE)</f>
        <v>0.10958904109589</v>
      </c>
      <c r="F278">
        <f>VLOOKUP(B278,'Model allocations'!$A$1:$L$317,8,FALSE)</f>
        <v>20855.535580203861</v>
      </c>
      <c r="G278" s="30">
        <f t="shared" si="84"/>
        <v>0.85</v>
      </c>
      <c r="H278">
        <f t="shared" si="85"/>
        <v>20476.342698414395</v>
      </c>
      <c r="I278">
        <f t="shared" si="77"/>
        <v>0</v>
      </c>
      <c r="J278">
        <f t="shared" si="78"/>
        <v>20855.535580203861</v>
      </c>
      <c r="K278">
        <f t="shared" si="79"/>
        <v>20846.008854096319</v>
      </c>
      <c r="L278">
        <f t="shared" si="86"/>
        <v>20846.008854096319</v>
      </c>
      <c r="M278">
        <f t="shared" si="80"/>
        <v>0</v>
      </c>
      <c r="N278" s="29">
        <f t="shared" si="87"/>
        <v>20846.008854096319</v>
      </c>
      <c r="O278" s="29">
        <f t="shared" si="81"/>
        <v>20844.951535301734</v>
      </c>
      <c r="P278" s="29">
        <f t="shared" si="88"/>
        <v>20844.951535301734</v>
      </c>
      <c r="Q278">
        <f t="shared" si="89"/>
        <v>0</v>
      </c>
      <c r="R278" s="29">
        <f t="shared" si="90"/>
        <v>20844.951535301734</v>
      </c>
      <c r="S278" s="29">
        <f t="shared" si="82"/>
        <v>20844.951535301745</v>
      </c>
      <c r="T278" s="29">
        <f t="shared" si="91"/>
        <v>20844.951535301745</v>
      </c>
      <c r="U278">
        <f t="shared" si="92"/>
        <v>0</v>
      </c>
      <c r="V278" s="29">
        <f t="shared" si="93"/>
        <v>20844.951535301745</v>
      </c>
      <c r="W278" s="29">
        <f t="shared" si="83"/>
        <v>20844.951535301749</v>
      </c>
      <c r="X278" s="29">
        <f t="shared" si="94"/>
        <v>20844.951535301749</v>
      </c>
      <c r="Y278">
        <f t="shared" si="95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allocations'!$A$1:$L$317,3,FALSE)</f>
        <v>64526.290016011735</v>
      </c>
      <c r="E279" s="31">
        <f>VLOOKUP(B279,'Initial adjusted formula count'!$A$1:$P$317,12,FALSE)</f>
        <v>9.1025641025640994E-2</v>
      </c>
      <c r="F279">
        <f>VLOOKUP(B279,'Model allocations'!$A$1:$L$317,8,FALSE)</f>
        <v>61697.626091436417</v>
      </c>
      <c r="G279" s="30">
        <f t="shared" si="84"/>
        <v>0.85</v>
      </c>
      <c r="H279">
        <f t="shared" si="85"/>
        <v>54847.346513609977</v>
      </c>
      <c r="I279">
        <f t="shared" si="77"/>
        <v>0</v>
      </c>
      <c r="J279">
        <f t="shared" si="78"/>
        <v>61697.626091436417</v>
      </c>
      <c r="K279">
        <f t="shared" si="79"/>
        <v>61669.442860034942</v>
      </c>
      <c r="L279">
        <f t="shared" si="86"/>
        <v>61669.442860034942</v>
      </c>
      <c r="M279">
        <f t="shared" si="80"/>
        <v>0</v>
      </c>
      <c r="N279" s="29">
        <f t="shared" si="87"/>
        <v>61669.442860034942</v>
      </c>
      <c r="O279" s="29">
        <f t="shared" si="81"/>
        <v>61666.31495860096</v>
      </c>
      <c r="P279" s="29">
        <f t="shared" si="88"/>
        <v>61666.31495860096</v>
      </c>
      <c r="Q279">
        <f t="shared" si="89"/>
        <v>0</v>
      </c>
      <c r="R279" s="29">
        <f t="shared" si="90"/>
        <v>61666.31495860096</v>
      </c>
      <c r="S279" s="29">
        <f t="shared" si="82"/>
        <v>61666.314958600997</v>
      </c>
      <c r="T279" s="29">
        <f t="shared" si="91"/>
        <v>61666.314958600997</v>
      </c>
      <c r="U279">
        <f t="shared" si="92"/>
        <v>0</v>
      </c>
      <c r="V279" s="29">
        <f t="shared" si="93"/>
        <v>61666.314958600997</v>
      </c>
      <c r="W279" s="29">
        <f t="shared" si="83"/>
        <v>61666.314958601004</v>
      </c>
      <c r="X279" s="29">
        <f t="shared" si="94"/>
        <v>61666.314958601004</v>
      </c>
      <c r="Y279">
        <f t="shared" si="95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allocations'!$A$1:$L$317,3,FALSE)</f>
        <v>34902.060722446069</v>
      </c>
      <c r="E280" s="31">
        <f>VLOOKUP(B280,'Initial adjusted formula count'!$A$1:$P$317,12,FALSE)</f>
        <v>0.20297029702970301</v>
      </c>
      <c r="F280">
        <f>VLOOKUP(B280,'Model allocations'!$A$1:$L$317,8,FALSE)</f>
        <v>35628.206616181604</v>
      </c>
      <c r="G280" s="30">
        <f t="shared" si="84"/>
        <v>0.9</v>
      </c>
      <c r="H280">
        <f t="shared" si="85"/>
        <v>31411.854650201461</v>
      </c>
      <c r="I280">
        <f t="shared" si="77"/>
        <v>0</v>
      </c>
      <c r="J280">
        <f t="shared" si="78"/>
        <v>35628.206616181604</v>
      </c>
      <c r="K280">
        <f t="shared" si="79"/>
        <v>35611.931792414551</v>
      </c>
      <c r="L280">
        <f t="shared" si="86"/>
        <v>35611.931792414551</v>
      </c>
      <c r="M280">
        <f t="shared" si="80"/>
        <v>0</v>
      </c>
      <c r="N280" s="29">
        <f t="shared" si="87"/>
        <v>35611.931792414551</v>
      </c>
      <c r="O280" s="29">
        <f t="shared" si="81"/>
        <v>35610.125539473796</v>
      </c>
      <c r="P280" s="29">
        <f t="shared" si="88"/>
        <v>35610.125539473796</v>
      </c>
      <c r="Q280">
        <f t="shared" si="89"/>
        <v>0</v>
      </c>
      <c r="R280" s="29">
        <f t="shared" si="90"/>
        <v>35610.125539473796</v>
      </c>
      <c r="S280" s="29">
        <f t="shared" si="82"/>
        <v>35610.125539473818</v>
      </c>
      <c r="T280" s="29">
        <f t="shared" si="91"/>
        <v>35610.125539473818</v>
      </c>
      <c r="U280">
        <f t="shared" si="92"/>
        <v>0</v>
      </c>
      <c r="V280" s="29">
        <f t="shared" si="93"/>
        <v>35610.125539473818</v>
      </c>
      <c r="W280" s="29">
        <f t="shared" si="83"/>
        <v>35610.125539473825</v>
      </c>
      <c r="X280" s="29">
        <f t="shared" si="94"/>
        <v>35610.125539473825</v>
      </c>
      <c r="Y280">
        <f t="shared" si="95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allocations'!$A$1:$L$317,3,FALSE)</f>
        <v>394644.16849933227</v>
      </c>
      <c r="E281" s="31">
        <f>VLOOKUP(B281,'Initial adjusted formula count'!$A$1:$P$317,12,FALSE)</f>
        <v>0.223243807033351</v>
      </c>
      <c r="F281">
        <f>VLOOKUP(B281,'Model allocations'!$A$1:$L$317,8,FALSE)</f>
        <v>437868.56471221219</v>
      </c>
      <c r="G281" s="30">
        <f t="shared" si="84"/>
        <v>0.9</v>
      </c>
      <c r="H281">
        <f t="shared" si="85"/>
        <v>355179.75164939906</v>
      </c>
      <c r="I281">
        <f t="shared" si="77"/>
        <v>0</v>
      </c>
      <c r="J281">
        <f t="shared" si="78"/>
        <v>437868.56471221219</v>
      </c>
      <c r="K281">
        <f t="shared" si="79"/>
        <v>437668.54808492039</v>
      </c>
      <c r="L281">
        <f t="shared" si="86"/>
        <v>437668.54808492039</v>
      </c>
      <c r="M281">
        <f t="shared" si="80"/>
        <v>0</v>
      </c>
      <c r="N281" s="29">
        <f t="shared" si="87"/>
        <v>437668.54808492039</v>
      </c>
      <c r="O281" s="29">
        <f t="shared" si="81"/>
        <v>437646.34934246907</v>
      </c>
      <c r="P281" s="29">
        <f t="shared" si="88"/>
        <v>437646.34934246907</v>
      </c>
      <c r="Q281">
        <f t="shared" si="89"/>
        <v>0</v>
      </c>
      <c r="R281" s="29">
        <f t="shared" si="90"/>
        <v>437646.34934246907</v>
      </c>
      <c r="S281" s="29">
        <f t="shared" si="82"/>
        <v>437646.34934246936</v>
      </c>
      <c r="T281" s="29">
        <f t="shared" si="91"/>
        <v>437646.34934246936</v>
      </c>
      <c r="U281">
        <f t="shared" si="92"/>
        <v>0</v>
      </c>
      <c r="V281" s="29">
        <f t="shared" si="93"/>
        <v>437646.34934246936</v>
      </c>
      <c r="W281" s="29">
        <f t="shared" si="83"/>
        <v>437646.34934246942</v>
      </c>
      <c r="X281" s="29">
        <f t="shared" si="94"/>
        <v>437646.34934246942</v>
      </c>
      <c r="Y281">
        <f t="shared" si="95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allocations'!$A$1:$L$317,3,FALSE)</f>
        <v>565250.30054026283</v>
      </c>
      <c r="E282" s="31">
        <f>VLOOKUP(B282,'Initial adjusted formula count'!$A$1:$P$317,12,FALSE)</f>
        <v>9.2258440046565804E-2</v>
      </c>
      <c r="F282">
        <f>VLOOKUP(B282,'Model allocations'!$A$1:$L$317,8,FALSE)</f>
        <v>550933.73157705215</v>
      </c>
      <c r="G282" s="30">
        <f t="shared" si="84"/>
        <v>0.85</v>
      </c>
      <c r="H282">
        <f t="shared" si="85"/>
        <v>480462.75545922341</v>
      </c>
      <c r="I282">
        <f t="shared" si="77"/>
        <v>0</v>
      </c>
      <c r="J282">
        <f t="shared" si="78"/>
        <v>550933.73157705215</v>
      </c>
      <c r="K282">
        <f t="shared" si="79"/>
        <v>550682.06722904462</v>
      </c>
      <c r="L282">
        <f t="shared" si="86"/>
        <v>550682.06722904462</v>
      </c>
      <c r="M282">
        <f t="shared" si="80"/>
        <v>0</v>
      </c>
      <c r="N282" s="29">
        <f t="shared" si="87"/>
        <v>550682.06722904462</v>
      </c>
      <c r="O282" s="29">
        <f t="shared" si="81"/>
        <v>550654.13639088767</v>
      </c>
      <c r="P282" s="29">
        <f t="shared" si="88"/>
        <v>550654.13639088767</v>
      </c>
      <c r="Q282">
        <f t="shared" si="89"/>
        <v>0</v>
      </c>
      <c r="R282" s="29">
        <f t="shared" si="90"/>
        <v>550654.13639088767</v>
      </c>
      <c r="S282" s="29">
        <f t="shared" si="82"/>
        <v>550654.1363908879</v>
      </c>
      <c r="T282" s="29">
        <f t="shared" si="91"/>
        <v>550654.1363908879</v>
      </c>
      <c r="U282">
        <f t="shared" si="92"/>
        <v>0</v>
      </c>
      <c r="V282" s="29">
        <f t="shared" si="93"/>
        <v>550654.1363908879</v>
      </c>
      <c r="W282" s="29">
        <f t="shared" si="83"/>
        <v>550654.1363908879</v>
      </c>
      <c r="X282" s="29">
        <f t="shared" si="94"/>
        <v>550654.1363908879</v>
      </c>
      <c r="Y282">
        <f t="shared" si="95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allocations'!$A$1:$L$317,3,FALSE)</f>
        <v>173790.80777645842</v>
      </c>
      <c r="E283" s="31">
        <f>VLOOKUP(B283,'Initial adjusted formula count'!$A$1:$P$317,12,FALSE)</f>
        <v>0.31111111111111101</v>
      </c>
      <c r="F283">
        <f>VLOOKUP(B283,'Model allocations'!$A$1:$L$317,8,FALSE)</f>
        <v>218983.12359214059</v>
      </c>
      <c r="G283" s="30">
        <f t="shared" si="84"/>
        <v>0.95</v>
      </c>
      <c r="H283">
        <f t="shared" si="85"/>
        <v>165101.26738763548</v>
      </c>
      <c r="I283">
        <f t="shared" si="77"/>
        <v>0</v>
      </c>
      <c r="J283">
        <f t="shared" si="78"/>
        <v>218983.12359214059</v>
      </c>
      <c r="K283">
        <f t="shared" si="79"/>
        <v>218883.09296801139</v>
      </c>
      <c r="L283">
        <f t="shared" si="86"/>
        <v>218883.09296801139</v>
      </c>
      <c r="M283">
        <f t="shared" si="80"/>
        <v>0</v>
      </c>
      <c r="N283" s="29">
        <f t="shared" si="87"/>
        <v>218883.09296801139</v>
      </c>
      <c r="O283" s="29">
        <f t="shared" si="81"/>
        <v>218871.99112066824</v>
      </c>
      <c r="P283" s="29">
        <f t="shared" si="88"/>
        <v>218871.99112066824</v>
      </c>
      <c r="Q283">
        <f t="shared" si="89"/>
        <v>0</v>
      </c>
      <c r="R283" s="29">
        <f t="shared" si="90"/>
        <v>218871.99112066824</v>
      </c>
      <c r="S283" s="29">
        <f t="shared" si="82"/>
        <v>218871.99112066836</v>
      </c>
      <c r="T283" s="29">
        <f t="shared" si="91"/>
        <v>218871.99112066836</v>
      </c>
      <c r="U283">
        <f t="shared" si="92"/>
        <v>0</v>
      </c>
      <c r="V283" s="29">
        <f t="shared" si="93"/>
        <v>218871.99112066836</v>
      </c>
      <c r="W283" s="29">
        <f t="shared" si="83"/>
        <v>218871.99112066839</v>
      </c>
      <c r="X283" s="29">
        <f t="shared" si="94"/>
        <v>218871.99112066839</v>
      </c>
      <c r="Y283">
        <f t="shared" si="95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allocations'!$A$1:$L$317,3,FALSE)</f>
        <v>397481.94649863243</v>
      </c>
      <c r="E284" s="31">
        <f>VLOOKUP(B284,'Initial adjusted formula count'!$A$1:$P$317,12,FALSE)</f>
        <v>8.2722513089005204E-2</v>
      </c>
      <c r="F284">
        <f>VLOOKUP(B284,'Model allocations'!$A$1:$L$317,8,FALSE)</f>
        <v>411896.8277090264</v>
      </c>
      <c r="G284" s="30">
        <f t="shared" si="84"/>
        <v>0.85</v>
      </c>
      <c r="H284">
        <f t="shared" si="85"/>
        <v>337859.65452383755</v>
      </c>
      <c r="I284">
        <f t="shared" si="77"/>
        <v>0</v>
      </c>
      <c r="J284">
        <f t="shared" si="78"/>
        <v>411896.8277090264</v>
      </c>
      <c r="K284">
        <f t="shared" si="79"/>
        <v>411708.67486840242</v>
      </c>
      <c r="L284">
        <f t="shared" si="86"/>
        <v>411708.67486840242</v>
      </c>
      <c r="M284">
        <f t="shared" si="80"/>
        <v>0</v>
      </c>
      <c r="N284" s="29">
        <f t="shared" si="87"/>
        <v>411708.67486840242</v>
      </c>
      <c r="O284" s="29">
        <f t="shared" si="81"/>
        <v>411687.79282220936</v>
      </c>
      <c r="P284" s="29">
        <f t="shared" si="88"/>
        <v>411687.79282220936</v>
      </c>
      <c r="Q284">
        <f t="shared" si="89"/>
        <v>0</v>
      </c>
      <c r="R284" s="29">
        <f t="shared" si="90"/>
        <v>411687.79282220936</v>
      </c>
      <c r="S284" s="29">
        <f t="shared" si="82"/>
        <v>411687.79282220959</v>
      </c>
      <c r="T284" s="29">
        <f t="shared" si="91"/>
        <v>411687.79282220959</v>
      </c>
      <c r="U284">
        <f t="shared" si="92"/>
        <v>0</v>
      </c>
      <c r="V284" s="29">
        <f t="shared" si="93"/>
        <v>411687.79282220959</v>
      </c>
      <c r="W284" s="29">
        <f t="shared" si="83"/>
        <v>411687.79282220965</v>
      </c>
      <c r="X284" s="29">
        <f t="shared" si="94"/>
        <v>411687.79282220965</v>
      </c>
      <c r="Y284">
        <f t="shared" si="95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allocations'!$A$1:$L$317,3,FALSE)</f>
        <v>56783.13521409034</v>
      </c>
      <c r="E285" s="31">
        <f>VLOOKUP(B285,'Initial adjusted formula count'!$A$1:$P$317,12,FALSE)</f>
        <v>0.26206896551724101</v>
      </c>
      <c r="F285">
        <f>VLOOKUP(B285,'Model allocations'!$A$1:$L$317,8,FALSE)</f>
        <v>66042.52933731224</v>
      </c>
      <c r="G285" s="30">
        <f t="shared" si="84"/>
        <v>0.9</v>
      </c>
      <c r="H285">
        <f t="shared" si="85"/>
        <v>51104.821692681304</v>
      </c>
      <c r="I285">
        <f t="shared" si="77"/>
        <v>0</v>
      </c>
      <c r="J285">
        <f t="shared" si="78"/>
        <v>66042.52933731224</v>
      </c>
      <c r="K285">
        <f t="shared" si="79"/>
        <v>66012.361371305029</v>
      </c>
      <c r="L285">
        <f t="shared" si="86"/>
        <v>66012.361371305029</v>
      </c>
      <c r="M285">
        <f t="shared" si="80"/>
        <v>0</v>
      </c>
      <c r="N285" s="29">
        <f t="shared" si="87"/>
        <v>66012.361371305029</v>
      </c>
      <c r="O285" s="29">
        <f t="shared" si="81"/>
        <v>66009.01319512217</v>
      </c>
      <c r="P285" s="29">
        <f t="shared" si="88"/>
        <v>66009.01319512217</v>
      </c>
      <c r="Q285">
        <f t="shared" si="89"/>
        <v>0</v>
      </c>
      <c r="R285" s="29">
        <f t="shared" si="90"/>
        <v>66009.01319512217</v>
      </c>
      <c r="S285" s="29">
        <f t="shared" si="82"/>
        <v>66009.013195122199</v>
      </c>
      <c r="T285" s="29">
        <f t="shared" si="91"/>
        <v>66009.013195122199</v>
      </c>
      <c r="U285">
        <f t="shared" si="92"/>
        <v>0</v>
      </c>
      <c r="V285" s="29">
        <f t="shared" si="93"/>
        <v>66009.013195122199</v>
      </c>
      <c r="W285" s="29">
        <f t="shared" si="83"/>
        <v>66009.013195122199</v>
      </c>
      <c r="X285" s="29">
        <f t="shared" si="94"/>
        <v>66009.013195122199</v>
      </c>
      <c r="Y285">
        <f t="shared" si="95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allocations'!$A$1:$L$317,3,FALSE)</f>
        <v>2412367.6584831234</v>
      </c>
      <c r="E286" s="31">
        <f>VLOOKUP(B286,'Initial adjusted formula count'!$A$1:$P$317,12,FALSE)</f>
        <v>0.110056601252549</v>
      </c>
      <c r="F286">
        <f>VLOOKUP(B286,'Model allocations'!$A$1:$L$317,8,FALSE)</f>
        <v>2356238.1863017795</v>
      </c>
      <c r="G286" s="30">
        <f t="shared" si="84"/>
        <v>0.85</v>
      </c>
      <c r="H286">
        <f t="shared" si="85"/>
        <v>2050512.5097106548</v>
      </c>
      <c r="I286">
        <f t="shared" si="77"/>
        <v>0</v>
      </c>
      <c r="J286">
        <f t="shared" si="78"/>
        <v>2356238.1863017795</v>
      </c>
      <c r="K286">
        <f t="shared" si="79"/>
        <v>2355161.8660241868</v>
      </c>
      <c r="L286">
        <f t="shared" si="86"/>
        <v>2355161.8660241868</v>
      </c>
      <c r="M286">
        <f t="shared" si="80"/>
        <v>0</v>
      </c>
      <c r="N286" s="29">
        <f t="shared" si="87"/>
        <v>2355161.8660241868</v>
      </c>
      <c r="O286" s="29">
        <f t="shared" si="81"/>
        <v>2355042.4111720533</v>
      </c>
      <c r="P286" s="29">
        <f t="shared" si="88"/>
        <v>2355042.4111720533</v>
      </c>
      <c r="Q286">
        <f t="shared" si="89"/>
        <v>0</v>
      </c>
      <c r="R286" s="29">
        <f t="shared" si="90"/>
        <v>2355042.4111720533</v>
      </c>
      <c r="S286" s="29">
        <f t="shared" si="82"/>
        <v>2355042.4111720547</v>
      </c>
      <c r="T286" s="29">
        <f t="shared" si="91"/>
        <v>2355042.4111720547</v>
      </c>
      <c r="U286">
        <f t="shared" si="92"/>
        <v>0</v>
      </c>
      <c r="V286" s="29">
        <f t="shared" si="93"/>
        <v>2355042.4111720547</v>
      </c>
      <c r="W286" s="29">
        <f t="shared" si="83"/>
        <v>2355042.4111720547</v>
      </c>
      <c r="X286" s="29">
        <f t="shared" si="94"/>
        <v>2355042.4111720547</v>
      </c>
      <c r="Y286">
        <f t="shared" si="95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allocations'!$A$1:$L$317,3,FALSE)</f>
        <v>103696.28457698962</v>
      </c>
      <c r="E287" s="31">
        <f>VLOOKUP(B287,'Initial adjusted formula count'!$A$1:$P$317,12,FALSE)</f>
        <v>7.8389830508474603E-2</v>
      </c>
      <c r="F287">
        <f>VLOOKUP(B287,'Model allocations'!$A$1:$L$317,8,FALSE)</f>
        <v>96456.852058442862</v>
      </c>
      <c r="G287" s="30">
        <f t="shared" si="84"/>
        <v>0.85</v>
      </c>
      <c r="H287">
        <f t="shared" si="85"/>
        <v>88141.841890441181</v>
      </c>
      <c r="I287">
        <f t="shared" si="77"/>
        <v>0</v>
      </c>
      <c r="J287">
        <f t="shared" si="78"/>
        <v>96456.852058442862</v>
      </c>
      <c r="K287">
        <f t="shared" si="79"/>
        <v>96412.790950195471</v>
      </c>
      <c r="L287">
        <f t="shared" si="86"/>
        <v>96412.790950195471</v>
      </c>
      <c r="M287">
        <f t="shared" si="80"/>
        <v>0</v>
      </c>
      <c r="N287" s="29">
        <f t="shared" si="87"/>
        <v>96412.790950195471</v>
      </c>
      <c r="O287" s="29">
        <f t="shared" si="81"/>
        <v>96407.900850770515</v>
      </c>
      <c r="P287" s="29">
        <f t="shared" si="88"/>
        <v>96407.900850770515</v>
      </c>
      <c r="Q287">
        <f t="shared" si="89"/>
        <v>0</v>
      </c>
      <c r="R287" s="29">
        <f t="shared" si="90"/>
        <v>96407.900850770515</v>
      </c>
      <c r="S287" s="29">
        <f t="shared" si="82"/>
        <v>96407.900850770558</v>
      </c>
      <c r="T287" s="29">
        <f t="shared" si="91"/>
        <v>96407.900850770558</v>
      </c>
      <c r="U287">
        <f t="shared" si="92"/>
        <v>0</v>
      </c>
      <c r="V287" s="29">
        <f t="shared" si="93"/>
        <v>96407.900850770558</v>
      </c>
      <c r="W287" s="29">
        <f t="shared" si="83"/>
        <v>96407.900850770573</v>
      </c>
      <c r="X287" s="29">
        <f t="shared" si="94"/>
        <v>96407.900850770573</v>
      </c>
      <c r="Y287">
        <f t="shared" si="95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allocations'!$A$1:$L$317,3,FALSE)</f>
        <v>94638.558690150574</v>
      </c>
      <c r="E288" s="31">
        <f>VLOOKUP(B288,'Initial adjusted formula count'!$A$1:$P$317,12,FALSE)</f>
        <v>0.180555555555556</v>
      </c>
      <c r="F288">
        <f>VLOOKUP(B288,'Model allocations'!$A$1:$L$317,8,FALSE)</f>
        <v>85174.702821135521</v>
      </c>
      <c r="G288" s="30">
        <f t="shared" si="84"/>
        <v>0.9</v>
      </c>
      <c r="H288">
        <f t="shared" si="85"/>
        <v>85174.702821135521</v>
      </c>
      <c r="I288">
        <f t="shared" si="77"/>
        <v>0</v>
      </c>
      <c r="J288">
        <f t="shared" si="78"/>
        <v>85174.702821135521</v>
      </c>
      <c r="K288">
        <f t="shared" si="79"/>
        <v>85135.795354005386</v>
      </c>
      <c r="L288">
        <f t="shared" si="86"/>
        <v>85135.795354005386</v>
      </c>
      <c r="M288">
        <f t="shared" si="80"/>
        <v>85174.702821135521</v>
      </c>
      <c r="N288" s="29">
        <f t="shared" si="87"/>
        <v>0</v>
      </c>
      <c r="O288" s="29">
        <f t="shared" si="81"/>
        <v>0</v>
      </c>
      <c r="P288" s="29">
        <f t="shared" si="88"/>
        <v>85174.702821135521</v>
      </c>
      <c r="Q288">
        <f t="shared" si="89"/>
        <v>0</v>
      </c>
      <c r="R288" s="29">
        <f t="shared" si="90"/>
        <v>0</v>
      </c>
      <c r="S288" s="29">
        <f t="shared" si="82"/>
        <v>0</v>
      </c>
      <c r="T288" s="29">
        <f t="shared" si="91"/>
        <v>85174.702821135521</v>
      </c>
      <c r="U288">
        <f t="shared" si="92"/>
        <v>0</v>
      </c>
      <c r="V288" s="29">
        <f t="shared" si="93"/>
        <v>0</v>
      </c>
      <c r="W288" s="29">
        <f t="shared" si="83"/>
        <v>0</v>
      </c>
      <c r="X288" s="29">
        <f t="shared" si="94"/>
        <v>85174.702821135521</v>
      </c>
      <c r="Y288">
        <f t="shared" si="95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allocations'!$A$1:$L$317,3,FALSE)</f>
        <v>301983.03727493499</v>
      </c>
      <c r="E289" s="31">
        <f>VLOOKUP(B289,'Initial adjusted formula count'!$A$1:$P$317,12,FALSE)</f>
        <v>0.148957298907646</v>
      </c>
      <c r="F289">
        <f>VLOOKUP(B289,'Model allocations'!$A$1:$L$317,8,FALSE)</f>
        <v>260694.19475254824</v>
      </c>
      <c r="G289" s="30">
        <f t="shared" si="84"/>
        <v>0.85</v>
      </c>
      <c r="H289">
        <f t="shared" si="85"/>
        <v>256685.58168369473</v>
      </c>
      <c r="I289">
        <f t="shared" si="77"/>
        <v>0</v>
      </c>
      <c r="J289">
        <f t="shared" si="78"/>
        <v>260694.19475254824</v>
      </c>
      <c r="K289">
        <f t="shared" si="79"/>
        <v>260575.11067620397</v>
      </c>
      <c r="L289">
        <f t="shared" si="86"/>
        <v>260575.11067620397</v>
      </c>
      <c r="M289">
        <f t="shared" si="80"/>
        <v>0</v>
      </c>
      <c r="N289" s="29">
        <f t="shared" si="87"/>
        <v>260575.11067620397</v>
      </c>
      <c r="O289" s="29">
        <f t="shared" si="81"/>
        <v>260561.89419127163</v>
      </c>
      <c r="P289" s="29">
        <f t="shared" si="88"/>
        <v>260561.89419127163</v>
      </c>
      <c r="Q289">
        <f t="shared" si="89"/>
        <v>0</v>
      </c>
      <c r="R289" s="29">
        <f t="shared" si="90"/>
        <v>260561.89419127163</v>
      </c>
      <c r="S289" s="29">
        <f t="shared" si="82"/>
        <v>260561.89419127177</v>
      </c>
      <c r="T289" s="29">
        <f t="shared" si="91"/>
        <v>260561.89419127177</v>
      </c>
      <c r="U289">
        <f t="shared" si="92"/>
        <v>0</v>
      </c>
      <c r="V289" s="29">
        <f t="shared" si="93"/>
        <v>260561.89419127177</v>
      </c>
      <c r="W289" s="29">
        <f t="shared" si="83"/>
        <v>260561.89419127183</v>
      </c>
      <c r="X289" s="29">
        <f t="shared" si="94"/>
        <v>260561.89419127183</v>
      </c>
      <c r="Y289">
        <f t="shared" si="95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allocations'!$A$1:$L$317,3,FALSE)</f>
        <v>26095.753734606653</v>
      </c>
      <c r="E290" s="31">
        <f>VLOOKUP(B290,'Initial adjusted formula count'!$A$1:$P$317,12,FALSE)</f>
        <v>0.134545454545455</v>
      </c>
      <c r="F290">
        <f>VLOOKUP(B290,'Model allocations'!$A$1:$L$317,8,FALSE)</f>
        <v>32152.284019480951</v>
      </c>
      <c r="G290" s="30">
        <f t="shared" si="84"/>
        <v>0.85</v>
      </c>
      <c r="H290">
        <f t="shared" si="85"/>
        <v>22181.390674415656</v>
      </c>
      <c r="I290">
        <f t="shared" si="77"/>
        <v>0</v>
      </c>
      <c r="J290">
        <f t="shared" si="78"/>
        <v>32152.284019480951</v>
      </c>
      <c r="K290">
        <f t="shared" si="79"/>
        <v>32137.596983398493</v>
      </c>
      <c r="L290">
        <f t="shared" si="86"/>
        <v>32137.596983398493</v>
      </c>
      <c r="M290">
        <f t="shared" si="80"/>
        <v>0</v>
      </c>
      <c r="N290" s="29">
        <f t="shared" si="87"/>
        <v>32137.596983398493</v>
      </c>
      <c r="O290" s="29">
        <f t="shared" si="81"/>
        <v>32135.966950256839</v>
      </c>
      <c r="P290" s="29">
        <f t="shared" si="88"/>
        <v>32135.966950256839</v>
      </c>
      <c r="Q290">
        <f t="shared" si="89"/>
        <v>0</v>
      </c>
      <c r="R290" s="29">
        <f t="shared" si="90"/>
        <v>32135.966950256839</v>
      </c>
      <c r="S290" s="29">
        <f t="shared" si="82"/>
        <v>32135.966950256858</v>
      </c>
      <c r="T290" s="29">
        <f t="shared" si="91"/>
        <v>32135.966950256858</v>
      </c>
      <c r="U290">
        <f t="shared" si="92"/>
        <v>0</v>
      </c>
      <c r="V290" s="29">
        <f t="shared" si="93"/>
        <v>32135.966950256858</v>
      </c>
      <c r="W290" s="29">
        <f t="shared" si="83"/>
        <v>32135.966950256861</v>
      </c>
      <c r="X290" s="29">
        <f t="shared" si="94"/>
        <v>32135.966950256861</v>
      </c>
      <c r="Y290">
        <f t="shared" si="95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allocations'!$A$1:$L$317,3,FALSE)</f>
        <v>708068.48910903581</v>
      </c>
      <c r="E291" s="31">
        <f>VLOOKUP(B291,'Initial adjusted formula count'!$A$1:$P$317,12,FALSE)</f>
        <v>0.179202423018677</v>
      </c>
      <c r="F291">
        <f>VLOOKUP(B291,'Model allocations'!$A$1:$L$317,8,FALSE)</f>
        <v>925464.39137154631</v>
      </c>
      <c r="G291" s="30">
        <f t="shared" si="84"/>
        <v>0.9</v>
      </c>
      <c r="H291">
        <f t="shared" si="85"/>
        <v>637261.64019813226</v>
      </c>
      <c r="I291">
        <f t="shared" si="77"/>
        <v>0</v>
      </c>
      <c r="J291">
        <f t="shared" si="78"/>
        <v>925464.39137154631</v>
      </c>
      <c r="K291">
        <f t="shared" si="79"/>
        <v>925041.64290052408</v>
      </c>
      <c r="L291">
        <f t="shared" si="86"/>
        <v>925041.64290052408</v>
      </c>
      <c r="M291">
        <f t="shared" si="80"/>
        <v>0</v>
      </c>
      <c r="N291" s="29">
        <f t="shared" si="87"/>
        <v>925041.64290052408</v>
      </c>
      <c r="O291" s="29">
        <f t="shared" si="81"/>
        <v>924994.72437901422</v>
      </c>
      <c r="P291" s="29">
        <f t="shared" si="88"/>
        <v>924994.72437901422</v>
      </c>
      <c r="Q291">
        <f t="shared" si="89"/>
        <v>0</v>
      </c>
      <c r="R291" s="29">
        <f t="shared" si="90"/>
        <v>924994.72437901422</v>
      </c>
      <c r="S291" s="29">
        <f t="shared" si="82"/>
        <v>924994.72437901481</v>
      </c>
      <c r="T291" s="29">
        <f t="shared" si="91"/>
        <v>924994.72437901481</v>
      </c>
      <c r="U291">
        <f t="shared" si="92"/>
        <v>0</v>
      </c>
      <c r="V291" s="29">
        <f t="shared" si="93"/>
        <v>924994.72437901481</v>
      </c>
      <c r="W291" s="29">
        <f t="shared" si="83"/>
        <v>924994.72437901504</v>
      </c>
      <c r="X291" s="29">
        <f t="shared" si="94"/>
        <v>924994.72437901504</v>
      </c>
      <c r="Y291">
        <f t="shared" si="95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allocations'!$A$1:$L$317,3,FALSE)</f>
        <v>734739.35564898723</v>
      </c>
      <c r="E292" s="31">
        <f>VLOOKUP(B292,'Initial adjusted formula count'!$A$1:$P$317,12,FALSE)</f>
        <v>0.21741621311945</v>
      </c>
      <c r="F292">
        <f>VLOOKUP(B292,'Model allocations'!$A$1:$L$317,8,FALSE)</f>
        <v>661265.42008408858</v>
      </c>
      <c r="G292" s="30">
        <f t="shared" si="84"/>
        <v>0.9</v>
      </c>
      <c r="H292">
        <f t="shared" si="85"/>
        <v>661265.42008408858</v>
      </c>
      <c r="I292">
        <f t="shared" si="77"/>
        <v>0</v>
      </c>
      <c r="J292">
        <f t="shared" si="78"/>
        <v>661265.42008408858</v>
      </c>
      <c r="K292">
        <f t="shared" si="79"/>
        <v>660963.35665745998</v>
      </c>
      <c r="L292">
        <f t="shared" si="86"/>
        <v>660963.35665745998</v>
      </c>
      <c r="M292">
        <f t="shared" si="80"/>
        <v>661265.42008408858</v>
      </c>
      <c r="N292" s="29">
        <f t="shared" si="87"/>
        <v>0</v>
      </c>
      <c r="O292" s="29">
        <f t="shared" si="81"/>
        <v>0</v>
      </c>
      <c r="P292" s="29">
        <f t="shared" si="88"/>
        <v>661265.42008408858</v>
      </c>
      <c r="Q292">
        <f t="shared" si="89"/>
        <v>0</v>
      </c>
      <c r="R292" s="29">
        <f t="shared" si="90"/>
        <v>0</v>
      </c>
      <c r="S292" s="29">
        <f t="shared" si="82"/>
        <v>0</v>
      </c>
      <c r="T292" s="29">
        <f t="shared" si="91"/>
        <v>661265.42008408858</v>
      </c>
      <c r="U292">
        <f t="shared" si="92"/>
        <v>0</v>
      </c>
      <c r="V292" s="29">
        <f t="shared" si="93"/>
        <v>0</v>
      </c>
      <c r="W292" s="29">
        <f t="shared" si="83"/>
        <v>0</v>
      </c>
      <c r="X292" s="29">
        <f t="shared" si="94"/>
        <v>661265.42008408858</v>
      </c>
      <c r="Y292">
        <f t="shared" si="95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allocations'!$A$1:$L$317,3,FALSE)</f>
        <v>150561.34337069414</v>
      </c>
      <c r="E293" s="31">
        <f>VLOOKUP(B293,'Initial adjusted formula count'!$A$1:$P$317,12,FALSE)</f>
        <v>0.23183391003460199</v>
      </c>
      <c r="F293">
        <f>VLOOKUP(B293,'Model allocations'!$A$1:$L$317,8,FALSE)</f>
        <v>174665.11048420737</v>
      </c>
      <c r="G293" s="30">
        <f t="shared" si="84"/>
        <v>0.9</v>
      </c>
      <c r="H293">
        <f t="shared" si="85"/>
        <v>135505.20903362473</v>
      </c>
      <c r="I293">
        <f t="shared" si="77"/>
        <v>0</v>
      </c>
      <c r="J293">
        <f t="shared" si="78"/>
        <v>174665.11048420737</v>
      </c>
      <c r="K293">
        <f t="shared" si="79"/>
        <v>174585.32415305672</v>
      </c>
      <c r="L293">
        <f t="shared" si="86"/>
        <v>174585.32415305672</v>
      </c>
      <c r="M293">
        <f t="shared" si="80"/>
        <v>0</v>
      </c>
      <c r="N293" s="29">
        <f t="shared" si="87"/>
        <v>174585.32415305672</v>
      </c>
      <c r="O293" s="29">
        <f t="shared" si="81"/>
        <v>174576.46910815206</v>
      </c>
      <c r="P293" s="29">
        <f t="shared" si="88"/>
        <v>174576.46910815206</v>
      </c>
      <c r="Q293">
        <f t="shared" si="89"/>
        <v>0</v>
      </c>
      <c r="R293" s="29">
        <f t="shared" si="90"/>
        <v>174576.46910815206</v>
      </c>
      <c r="S293" s="29">
        <f t="shared" si="82"/>
        <v>174576.46910815215</v>
      </c>
      <c r="T293" s="29">
        <f t="shared" si="91"/>
        <v>174576.46910815215</v>
      </c>
      <c r="U293">
        <f t="shared" si="92"/>
        <v>0</v>
      </c>
      <c r="V293" s="29">
        <f t="shared" si="93"/>
        <v>174576.46910815215</v>
      </c>
      <c r="W293" s="29">
        <f t="shared" si="83"/>
        <v>174576.46910815217</v>
      </c>
      <c r="X293" s="29">
        <f t="shared" si="94"/>
        <v>174576.46910815217</v>
      </c>
      <c r="Y293">
        <f t="shared" si="95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allocations'!$A$1:$L$317,3,FALSE)</f>
        <v>239177.44832601695</v>
      </c>
      <c r="E294" s="31">
        <f>VLOOKUP(B294,'Initial adjusted formula count'!$A$1:$P$317,12,FALSE)</f>
        <v>6.73051343442405E-2</v>
      </c>
      <c r="F294">
        <f>VLOOKUP(B294,'Model allocations'!$A$1:$L$317,8,FALSE)</f>
        <v>219852.10424131571</v>
      </c>
      <c r="G294" s="30">
        <f t="shared" si="84"/>
        <v>0.85</v>
      </c>
      <c r="H294">
        <f t="shared" si="85"/>
        <v>203300.83107711442</v>
      </c>
      <c r="I294">
        <f t="shared" si="77"/>
        <v>0</v>
      </c>
      <c r="J294">
        <f t="shared" si="78"/>
        <v>219852.10424131571</v>
      </c>
      <c r="K294">
        <f t="shared" si="79"/>
        <v>219751.67667026538</v>
      </c>
      <c r="L294">
        <f t="shared" si="86"/>
        <v>219751.67667026538</v>
      </c>
      <c r="M294">
        <f t="shared" si="80"/>
        <v>0</v>
      </c>
      <c r="N294" s="29">
        <f t="shared" si="87"/>
        <v>219751.67667026538</v>
      </c>
      <c r="O294" s="29">
        <f t="shared" si="81"/>
        <v>219740.53076797244</v>
      </c>
      <c r="P294" s="29">
        <f t="shared" si="88"/>
        <v>219740.53076797244</v>
      </c>
      <c r="Q294">
        <f t="shared" si="89"/>
        <v>0</v>
      </c>
      <c r="R294" s="29">
        <f t="shared" si="90"/>
        <v>219740.53076797244</v>
      </c>
      <c r="S294" s="29">
        <f t="shared" si="82"/>
        <v>219740.53076797258</v>
      </c>
      <c r="T294" s="29">
        <f t="shared" si="91"/>
        <v>219740.53076797258</v>
      </c>
      <c r="U294">
        <f t="shared" si="92"/>
        <v>0</v>
      </c>
      <c r="V294" s="29">
        <f t="shared" si="93"/>
        <v>219740.53076797258</v>
      </c>
      <c r="W294" s="29">
        <f t="shared" si="83"/>
        <v>219740.53076797261</v>
      </c>
      <c r="X294" s="29">
        <f t="shared" si="94"/>
        <v>219740.53076797261</v>
      </c>
      <c r="Y294">
        <f t="shared" si="95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allocations'!$A$1:$L$317,3,FALSE)</f>
        <v>0</v>
      </c>
      <c r="E295" s="31">
        <f>VLOOKUP(B295,'Initial adjusted formula count'!$A$1:$P$317,12,FALSE)</f>
        <v>3.03030303030303E-2</v>
      </c>
      <c r="F295">
        <f>VLOOKUP(B295,'Model allocations'!$A$1:$L$317,8,FALSE)</f>
        <v>0</v>
      </c>
      <c r="G295" s="30">
        <f t="shared" si="84"/>
        <v>0.85</v>
      </c>
      <c r="H295">
        <f t="shared" si="85"/>
        <v>0</v>
      </c>
      <c r="I295">
        <f t="shared" si="77"/>
        <v>0</v>
      </c>
      <c r="J295">
        <f t="shared" si="78"/>
        <v>0</v>
      </c>
      <c r="K295">
        <f t="shared" si="79"/>
        <v>0</v>
      </c>
      <c r="L295">
        <f t="shared" si="86"/>
        <v>0</v>
      </c>
      <c r="M295">
        <f t="shared" si="80"/>
        <v>0</v>
      </c>
      <c r="N295" s="29">
        <f t="shared" si="87"/>
        <v>0</v>
      </c>
      <c r="O295" s="29">
        <f t="shared" si="81"/>
        <v>0</v>
      </c>
      <c r="P295" s="29">
        <f t="shared" si="88"/>
        <v>0</v>
      </c>
      <c r="Q295">
        <f t="shared" si="89"/>
        <v>0</v>
      </c>
      <c r="R295" s="29">
        <f t="shared" si="90"/>
        <v>0</v>
      </c>
      <c r="S295" s="29">
        <f t="shared" si="82"/>
        <v>0</v>
      </c>
      <c r="T295" s="29">
        <f t="shared" si="91"/>
        <v>0</v>
      </c>
      <c r="U295">
        <f t="shared" si="92"/>
        <v>0</v>
      </c>
      <c r="V295" s="29">
        <f t="shared" si="93"/>
        <v>0</v>
      </c>
      <c r="W295" s="29">
        <f t="shared" si="83"/>
        <v>0</v>
      </c>
      <c r="X295" s="29">
        <f t="shared" si="94"/>
        <v>0</v>
      </c>
      <c r="Y295">
        <f t="shared" si="95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allocations'!$A$1:$L$317,3,FALSE)</f>
        <v>36134.722408966583</v>
      </c>
      <c r="E296" s="31">
        <f>VLOOKUP(B296,'Initial adjusted formula count'!$A$1:$P$317,12,FALSE)</f>
        <v>0.11782477341389699</v>
      </c>
      <c r="F296">
        <f>VLOOKUP(B296,'Model allocations'!$A$1:$L$317,8,FALSE)</f>
        <v>33890.245317831272</v>
      </c>
      <c r="G296" s="30">
        <f t="shared" si="84"/>
        <v>0.85</v>
      </c>
      <c r="H296">
        <f t="shared" si="85"/>
        <v>30714.514047621597</v>
      </c>
      <c r="I296">
        <f t="shared" si="77"/>
        <v>0</v>
      </c>
      <c r="J296">
        <f t="shared" si="78"/>
        <v>33890.245317831272</v>
      </c>
      <c r="K296">
        <f t="shared" si="79"/>
        <v>33874.764387906514</v>
      </c>
      <c r="L296">
        <f t="shared" si="86"/>
        <v>33874.764387906514</v>
      </c>
      <c r="M296">
        <f t="shared" si="80"/>
        <v>0</v>
      </c>
      <c r="N296" s="29">
        <f t="shared" si="87"/>
        <v>33874.764387906514</v>
      </c>
      <c r="O296" s="29">
        <f t="shared" si="81"/>
        <v>33873.046244865312</v>
      </c>
      <c r="P296" s="29">
        <f t="shared" si="88"/>
        <v>33873.046244865312</v>
      </c>
      <c r="Q296">
        <f t="shared" si="89"/>
        <v>0</v>
      </c>
      <c r="R296" s="29">
        <f t="shared" si="90"/>
        <v>33873.046244865312</v>
      </c>
      <c r="S296" s="29">
        <f t="shared" si="82"/>
        <v>33873.046244865334</v>
      </c>
      <c r="T296" s="29">
        <f t="shared" si="91"/>
        <v>33873.046244865334</v>
      </c>
      <c r="U296">
        <f t="shared" si="92"/>
        <v>0</v>
      </c>
      <c r="V296" s="29">
        <f t="shared" si="93"/>
        <v>33873.046244865334</v>
      </c>
      <c r="W296" s="29">
        <f t="shared" si="83"/>
        <v>33873.046244865334</v>
      </c>
      <c r="X296" s="29">
        <f t="shared" si="94"/>
        <v>33873.046244865334</v>
      </c>
      <c r="Y296">
        <f t="shared" si="95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allocations'!$A$1:$L$317,3,FALSE)</f>
        <v>58897.227469127742</v>
      </c>
      <c r="E297" s="31">
        <f>VLOOKUP(B297,'Initial adjusted formula count'!$A$1:$P$317,12,FALSE)</f>
        <v>0.230283911671924</v>
      </c>
      <c r="F297">
        <f>VLOOKUP(B297,'Model allocations'!$A$1:$L$317,8,FALSE)</f>
        <v>63435.58738978675</v>
      </c>
      <c r="G297" s="30">
        <f t="shared" si="84"/>
        <v>0.9</v>
      </c>
      <c r="H297">
        <f t="shared" si="85"/>
        <v>53007.504722214966</v>
      </c>
      <c r="I297">
        <f t="shared" si="77"/>
        <v>0</v>
      </c>
      <c r="J297">
        <f t="shared" si="78"/>
        <v>63435.58738978675</v>
      </c>
      <c r="K297">
        <f t="shared" si="79"/>
        <v>63406.610264542978</v>
      </c>
      <c r="L297">
        <f t="shared" si="86"/>
        <v>63406.610264542978</v>
      </c>
      <c r="M297">
        <f t="shared" si="80"/>
        <v>0</v>
      </c>
      <c r="N297" s="29">
        <f t="shared" si="87"/>
        <v>63406.610264542978</v>
      </c>
      <c r="O297" s="29">
        <f t="shared" si="81"/>
        <v>63403.394253209437</v>
      </c>
      <c r="P297" s="29">
        <f t="shared" si="88"/>
        <v>63403.394253209437</v>
      </c>
      <c r="Q297">
        <f t="shared" si="89"/>
        <v>0</v>
      </c>
      <c r="R297" s="29">
        <f t="shared" si="90"/>
        <v>63403.394253209437</v>
      </c>
      <c r="S297" s="29">
        <f t="shared" si="82"/>
        <v>63403.394253209473</v>
      </c>
      <c r="T297" s="29">
        <f t="shared" si="91"/>
        <v>63403.394253209473</v>
      </c>
      <c r="U297">
        <f t="shared" si="92"/>
        <v>0</v>
      </c>
      <c r="V297" s="29">
        <f t="shared" si="93"/>
        <v>63403.394253209473</v>
      </c>
      <c r="W297" s="29">
        <f t="shared" si="83"/>
        <v>63403.394253209488</v>
      </c>
      <c r="X297" s="29">
        <f t="shared" si="94"/>
        <v>63403.394253209488</v>
      </c>
      <c r="Y297">
        <f t="shared" si="95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allocations'!$A$1:$L$317,3,FALSE)</f>
        <v>773299.95182445808</v>
      </c>
      <c r="E298" s="31">
        <f>VLOOKUP(B298,'Initial adjusted formula count'!$A$1:$P$317,12,FALSE)</f>
        <v>0.132873693120831</v>
      </c>
      <c r="F298">
        <f>VLOOKUP(B298,'Model allocations'!$A$1:$L$317,8,FALSE)</f>
        <v>922378.06902294874</v>
      </c>
      <c r="G298" s="30">
        <f t="shared" si="84"/>
        <v>0.85</v>
      </c>
      <c r="H298">
        <f t="shared" si="85"/>
        <v>657304.95905078936</v>
      </c>
      <c r="I298">
        <f t="shared" si="77"/>
        <v>0</v>
      </c>
      <c r="J298">
        <f t="shared" si="78"/>
        <v>922378.06902294874</v>
      </c>
      <c r="K298">
        <f t="shared" si="79"/>
        <v>921956.73037175974</v>
      </c>
      <c r="L298">
        <f t="shared" si="86"/>
        <v>921956.73037175974</v>
      </c>
      <c r="M298">
        <f t="shared" si="80"/>
        <v>0</v>
      </c>
      <c r="N298" s="29">
        <f t="shared" si="87"/>
        <v>921956.73037175974</v>
      </c>
      <c r="O298" s="29">
        <f t="shared" si="81"/>
        <v>921909.96831837879</v>
      </c>
      <c r="P298" s="29">
        <f t="shared" si="88"/>
        <v>921909.96831837879</v>
      </c>
      <c r="Q298">
        <f t="shared" si="89"/>
        <v>0</v>
      </c>
      <c r="R298" s="29">
        <f t="shared" si="90"/>
        <v>921909.96831837879</v>
      </c>
      <c r="S298" s="29">
        <f t="shared" si="82"/>
        <v>921909.96831837925</v>
      </c>
      <c r="T298" s="29">
        <f t="shared" si="91"/>
        <v>921909.96831837925</v>
      </c>
      <c r="U298">
        <f t="shared" si="92"/>
        <v>0</v>
      </c>
      <c r="V298" s="29">
        <f t="shared" si="93"/>
        <v>921909.96831837925</v>
      </c>
      <c r="W298" s="29">
        <f t="shared" si="83"/>
        <v>921909.96831837925</v>
      </c>
      <c r="X298" s="29">
        <f t="shared" si="94"/>
        <v>921909.96831837925</v>
      </c>
      <c r="Y298">
        <f t="shared" si="95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allocations'!$A$1:$L$317,3,FALSE)</f>
        <v>374252.48209286825</v>
      </c>
      <c r="E299" s="31">
        <f>VLOOKUP(B299,'Initial adjusted formula count'!$A$1:$P$317,12,FALSE)</f>
        <v>0.108668730650155</v>
      </c>
      <c r="F299">
        <f>VLOOKUP(B299,'Model allocations'!$A$1:$L$317,8,FALSE)</f>
        <v>318114.609778938</v>
      </c>
      <c r="G299" s="30">
        <f t="shared" si="84"/>
        <v>0.85</v>
      </c>
      <c r="H299">
        <f t="shared" si="85"/>
        <v>318114.609778938</v>
      </c>
      <c r="I299">
        <f t="shared" si="77"/>
        <v>0</v>
      </c>
      <c r="J299">
        <f t="shared" si="78"/>
        <v>318114.609778938</v>
      </c>
      <c r="K299">
        <f t="shared" si="79"/>
        <v>317969.29628427769</v>
      </c>
      <c r="L299">
        <f t="shared" si="86"/>
        <v>317969.29628427769</v>
      </c>
      <c r="M299">
        <f t="shared" si="80"/>
        <v>318114.609778938</v>
      </c>
      <c r="N299" s="29">
        <f t="shared" si="87"/>
        <v>0</v>
      </c>
      <c r="O299" s="29">
        <f t="shared" si="81"/>
        <v>0</v>
      </c>
      <c r="P299" s="29">
        <f t="shared" si="88"/>
        <v>318114.609778938</v>
      </c>
      <c r="Q299">
        <f t="shared" si="89"/>
        <v>0</v>
      </c>
      <c r="R299" s="29">
        <f t="shared" si="90"/>
        <v>0</v>
      </c>
      <c r="S299" s="29">
        <f t="shared" si="82"/>
        <v>0</v>
      </c>
      <c r="T299" s="29">
        <f t="shared" si="91"/>
        <v>318114.609778938</v>
      </c>
      <c r="U299">
        <f t="shared" si="92"/>
        <v>0</v>
      </c>
      <c r="V299" s="29">
        <f t="shared" si="93"/>
        <v>0</v>
      </c>
      <c r="W299" s="29">
        <f t="shared" si="83"/>
        <v>0</v>
      </c>
      <c r="X299" s="29">
        <f t="shared" si="94"/>
        <v>318114.609778938</v>
      </c>
      <c r="Y299">
        <f t="shared" si="95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allocations'!$A$1:$L$317,3,FALSE)</f>
        <v>634938.69375755556</v>
      </c>
      <c r="E300" s="31">
        <f>VLOOKUP(B300,'Initial adjusted formula count'!$A$1:$P$317,12,FALSE)</f>
        <v>0.11717011128775801</v>
      </c>
      <c r="F300">
        <f>VLOOKUP(B300,'Model allocations'!$A$1:$L$317,8,FALSE)</f>
        <v>640438.73844209348</v>
      </c>
      <c r="G300" s="30">
        <f t="shared" si="84"/>
        <v>0.85</v>
      </c>
      <c r="H300">
        <f t="shared" si="85"/>
        <v>539697.88969392225</v>
      </c>
      <c r="I300">
        <f t="shared" si="77"/>
        <v>0</v>
      </c>
      <c r="J300">
        <f t="shared" si="78"/>
        <v>640438.73844209348</v>
      </c>
      <c r="K300">
        <f t="shared" si="79"/>
        <v>640146.18856120773</v>
      </c>
      <c r="L300">
        <f t="shared" si="86"/>
        <v>640146.18856120773</v>
      </c>
      <c r="M300">
        <f t="shared" si="80"/>
        <v>0</v>
      </c>
      <c r="N300" s="29">
        <f t="shared" si="87"/>
        <v>640146.18856120773</v>
      </c>
      <c r="O300" s="29">
        <f t="shared" si="81"/>
        <v>640113.72006322397</v>
      </c>
      <c r="P300" s="29">
        <f t="shared" si="88"/>
        <v>640113.72006322397</v>
      </c>
      <c r="Q300">
        <f t="shared" si="89"/>
        <v>0</v>
      </c>
      <c r="R300" s="29">
        <f t="shared" si="90"/>
        <v>640113.72006322397</v>
      </c>
      <c r="S300" s="29">
        <f t="shared" si="82"/>
        <v>640113.72006322432</v>
      </c>
      <c r="T300" s="29">
        <f t="shared" si="91"/>
        <v>640113.72006322432</v>
      </c>
      <c r="U300">
        <f t="shared" si="92"/>
        <v>0</v>
      </c>
      <c r="V300" s="29">
        <f t="shared" si="93"/>
        <v>640113.72006322432</v>
      </c>
      <c r="W300" s="29">
        <f t="shared" si="83"/>
        <v>640113.72006322443</v>
      </c>
      <c r="X300" s="29">
        <f t="shared" si="94"/>
        <v>640113.72006322443</v>
      </c>
      <c r="Y300">
        <f t="shared" si="95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allocations'!$A$1:$L$317,3,FALSE)</f>
        <v>0</v>
      </c>
      <c r="E301" s="31">
        <f>VLOOKUP(B301,'Initial adjusted formula count'!$A$1:$P$317,12,FALSE)</f>
        <v>7.0283347368702204E-2</v>
      </c>
      <c r="F301">
        <f>VLOOKUP(B301,'Model allocations'!$A$1:$L$317,8,FALSE)</f>
        <v>0</v>
      </c>
      <c r="G301" s="30">
        <f t="shared" si="84"/>
        <v>0.85</v>
      </c>
      <c r="H301">
        <f t="shared" si="85"/>
        <v>0</v>
      </c>
      <c r="I301">
        <f t="shared" si="77"/>
        <v>0</v>
      </c>
      <c r="J301">
        <f t="shared" si="78"/>
        <v>0</v>
      </c>
      <c r="K301">
        <f t="shared" si="79"/>
        <v>0</v>
      </c>
      <c r="L301">
        <f t="shared" si="86"/>
        <v>0</v>
      </c>
      <c r="M301">
        <f t="shared" si="80"/>
        <v>0</v>
      </c>
      <c r="N301" s="29">
        <f t="shared" si="87"/>
        <v>0</v>
      </c>
      <c r="O301" s="29">
        <f t="shared" si="81"/>
        <v>0</v>
      </c>
      <c r="P301" s="29">
        <f t="shared" si="88"/>
        <v>0</v>
      </c>
      <c r="Q301">
        <f t="shared" si="89"/>
        <v>0</v>
      </c>
      <c r="R301" s="29">
        <f t="shared" si="90"/>
        <v>0</v>
      </c>
      <c r="S301" s="29">
        <f t="shared" si="82"/>
        <v>0</v>
      </c>
      <c r="T301" s="29">
        <f t="shared" si="91"/>
        <v>0</v>
      </c>
      <c r="U301">
        <f t="shared" si="92"/>
        <v>0</v>
      </c>
      <c r="V301" s="29">
        <f t="shared" si="93"/>
        <v>0</v>
      </c>
      <c r="W301" s="29">
        <f t="shared" si="83"/>
        <v>0</v>
      </c>
      <c r="X301" s="29">
        <f t="shared" si="94"/>
        <v>0</v>
      </c>
      <c r="Y301">
        <f t="shared" si="95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allocations'!$A$1:$L$317,3,FALSE)</f>
        <v>76913.800480945938</v>
      </c>
      <c r="E302" s="31">
        <f>VLOOKUP(B302,'Initial adjusted formula count'!$A$1:$P$317,12,FALSE)</f>
        <v>0.19789473684210501</v>
      </c>
      <c r="F302">
        <f>VLOOKUP(B302,'Model allocations'!$A$1:$L$317,8,FALSE)</f>
        <v>81684.181022465127</v>
      </c>
      <c r="G302" s="30">
        <f t="shared" si="84"/>
        <v>0.9</v>
      </c>
      <c r="H302">
        <f t="shared" si="85"/>
        <v>69222.420432851344</v>
      </c>
      <c r="I302">
        <f t="shared" si="77"/>
        <v>0</v>
      </c>
      <c r="J302">
        <f t="shared" si="78"/>
        <v>81684.181022465127</v>
      </c>
      <c r="K302">
        <f t="shared" si="79"/>
        <v>81646.868011877246</v>
      </c>
      <c r="L302">
        <f t="shared" si="86"/>
        <v>81646.868011877246</v>
      </c>
      <c r="M302">
        <f t="shared" si="80"/>
        <v>0</v>
      </c>
      <c r="N302" s="29">
        <f t="shared" si="87"/>
        <v>81646.868011877246</v>
      </c>
      <c r="O302" s="29">
        <f t="shared" si="81"/>
        <v>81642.726846598453</v>
      </c>
      <c r="P302" s="29">
        <f t="shared" si="88"/>
        <v>81642.726846598453</v>
      </c>
      <c r="Q302">
        <f t="shared" si="89"/>
        <v>0</v>
      </c>
      <c r="R302" s="29">
        <f t="shared" si="90"/>
        <v>81642.726846598453</v>
      </c>
      <c r="S302" s="29">
        <f t="shared" si="82"/>
        <v>81642.726846598496</v>
      </c>
      <c r="T302" s="29">
        <f t="shared" si="91"/>
        <v>81642.726846598496</v>
      </c>
      <c r="U302">
        <f t="shared" si="92"/>
        <v>0</v>
      </c>
      <c r="V302" s="29">
        <f t="shared" si="93"/>
        <v>81642.726846598496</v>
      </c>
      <c r="W302" s="29">
        <f t="shared" si="83"/>
        <v>81642.726846598511</v>
      </c>
      <c r="X302" s="29">
        <f t="shared" si="94"/>
        <v>81642.726846598511</v>
      </c>
      <c r="Y302">
        <f t="shared" si="95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allocations'!$A$1:$L$317,3,FALSE)</f>
        <v>197778.34409386094</v>
      </c>
      <c r="E303" s="31">
        <f>VLOOKUP(B303,'Initial adjusted formula count'!$A$1:$P$317,12,FALSE)</f>
        <v>4.0786136939983099E-2</v>
      </c>
      <c r="F303">
        <f>VLOOKUP(B303,'Model allocations'!$A$1:$L$317,8,FALSE)</f>
        <v>168111.5924797818</v>
      </c>
      <c r="G303" s="30">
        <f t="shared" si="84"/>
        <v>0.85</v>
      </c>
      <c r="H303">
        <f t="shared" si="85"/>
        <v>168111.5924797818</v>
      </c>
      <c r="I303">
        <f t="shared" si="77"/>
        <v>0</v>
      </c>
      <c r="J303">
        <f t="shared" si="78"/>
        <v>168111.5924797818</v>
      </c>
      <c r="K303">
        <f t="shared" si="79"/>
        <v>168034.79976971695</v>
      </c>
      <c r="L303">
        <f t="shared" si="86"/>
        <v>168034.79976971695</v>
      </c>
      <c r="M303">
        <f t="shared" si="80"/>
        <v>168111.5924797818</v>
      </c>
      <c r="N303" s="29">
        <f t="shared" si="87"/>
        <v>0</v>
      </c>
      <c r="O303" s="29">
        <f t="shared" si="81"/>
        <v>0</v>
      </c>
      <c r="P303" s="29">
        <f t="shared" si="88"/>
        <v>168111.5924797818</v>
      </c>
      <c r="Q303">
        <f t="shared" si="89"/>
        <v>0</v>
      </c>
      <c r="R303" s="29">
        <f t="shared" si="90"/>
        <v>0</v>
      </c>
      <c r="S303" s="29">
        <f t="shared" si="82"/>
        <v>0</v>
      </c>
      <c r="T303" s="29">
        <f t="shared" si="91"/>
        <v>168111.5924797818</v>
      </c>
      <c r="U303">
        <f t="shared" si="92"/>
        <v>0</v>
      </c>
      <c r="V303" s="29">
        <f t="shared" si="93"/>
        <v>0</v>
      </c>
      <c r="W303" s="29">
        <f t="shared" si="83"/>
        <v>0</v>
      </c>
      <c r="X303" s="29">
        <f t="shared" si="94"/>
        <v>168111.5924797818</v>
      </c>
      <c r="Y303">
        <f t="shared" si="95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allocations'!$A$1:$L$317,3,FALSE)</f>
        <v>127331.87896492989</v>
      </c>
      <c r="E304" s="31">
        <f>VLOOKUP(B304,'Initial adjusted formula count'!$A$1:$P$317,12,FALSE)</f>
        <v>0.121852152721365</v>
      </c>
      <c r="F304">
        <f>VLOOKUP(B304,'Model allocations'!$A$1:$L$317,8,FALSE)</f>
        <v>130347.09737627412</v>
      </c>
      <c r="G304" s="30">
        <f t="shared" si="84"/>
        <v>0.85</v>
      </c>
      <c r="H304">
        <f t="shared" si="85"/>
        <v>108232.0971201904</v>
      </c>
      <c r="I304">
        <f t="shared" si="77"/>
        <v>0</v>
      </c>
      <c r="J304">
        <f t="shared" si="78"/>
        <v>130347.09737627412</v>
      </c>
      <c r="K304">
        <f t="shared" si="79"/>
        <v>130287.55533810199</v>
      </c>
      <c r="L304">
        <f t="shared" si="86"/>
        <v>130287.55533810199</v>
      </c>
      <c r="M304">
        <f t="shared" si="80"/>
        <v>0</v>
      </c>
      <c r="N304" s="29">
        <f t="shared" si="87"/>
        <v>130287.55533810199</v>
      </c>
      <c r="O304" s="29">
        <f t="shared" si="81"/>
        <v>130280.94709563581</v>
      </c>
      <c r="P304" s="29">
        <f t="shared" si="88"/>
        <v>130280.94709563581</v>
      </c>
      <c r="Q304">
        <f t="shared" si="89"/>
        <v>0</v>
      </c>
      <c r="R304" s="29">
        <f t="shared" si="90"/>
        <v>130280.94709563581</v>
      </c>
      <c r="S304" s="29">
        <f t="shared" si="82"/>
        <v>130280.94709563589</v>
      </c>
      <c r="T304" s="29">
        <f t="shared" si="91"/>
        <v>130280.94709563589</v>
      </c>
      <c r="U304">
        <f t="shared" si="92"/>
        <v>0</v>
      </c>
      <c r="V304" s="29">
        <f t="shared" si="93"/>
        <v>130280.94709563589</v>
      </c>
      <c r="W304" s="29">
        <f t="shared" si="83"/>
        <v>130280.94709563591</v>
      </c>
      <c r="X304" s="29">
        <f t="shared" si="94"/>
        <v>130280.94709563591</v>
      </c>
      <c r="Y304">
        <f t="shared" si="95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allocations'!$A$1:$L$317,3,FALSE)</f>
        <v>31042.97551993349</v>
      </c>
      <c r="E305" s="31">
        <f>VLOOKUP(B305,'Initial adjusted formula count'!$A$1:$P$317,12,FALSE)</f>
        <v>0.18500267811471999</v>
      </c>
      <c r="F305">
        <f>VLOOKUP(B305,'Model allocations'!$A$1:$L$317,8,FALSE)</f>
        <v>23525.095025557534</v>
      </c>
      <c r="G305" s="30">
        <f t="shared" si="84"/>
        <v>0.9</v>
      </c>
      <c r="H305">
        <f t="shared" si="85"/>
        <v>27938.677967940141</v>
      </c>
      <c r="I305">
        <f t="shared" si="77"/>
        <v>27938.677967940141</v>
      </c>
      <c r="J305">
        <f t="shared" si="78"/>
        <v>0</v>
      </c>
      <c r="K305">
        <f t="shared" si="79"/>
        <v>0</v>
      </c>
      <c r="L305">
        <f t="shared" si="86"/>
        <v>27938.677967940141</v>
      </c>
      <c r="M305">
        <f t="shared" si="80"/>
        <v>0</v>
      </c>
      <c r="N305" s="29">
        <f t="shared" si="87"/>
        <v>0</v>
      </c>
      <c r="O305" s="29">
        <f t="shared" si="81"/>
        <v>0</v>
      </c>
      <c r="P305" s="29">
        <f t="shared" si="88"/>
        <v>27938.677967940141</v>
      </c>
      <c r="Q305">
        <f t="shared" si="89"/>
        <v>0</v>
      </c>
      <c r="R305" s="29">
        <f t="shared" si="90"/>
        <v>0</v>
      </c>
      <c r="S305" s="29">
        <f t="shared" si="82"/>
        <v>0</v>
      </c>
      <c r="T305" s="29">
        <f t="shared" si="91"/>
        <v>27938.677967940141</v>
      </c>
      <c r="U305">
        <f t="shared" si="92"/>
        <v>0</v>
      </c>
      <c r="V305" s="29">
        <f t="shared" si="93"/>
        <v>0</v>
      </c>
      <c r="W305" s="29">
        <f t="shared" si="83"/>
        <v>0</v>
      </c>
      <c r="X305" s="29">
        <f t="shared" si="94"/>
        <v>27938.677967940141</v>
      </c>
      <c r="Y305">
        <f t="shared" si="95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allocations'!$A$1:$L$317,3,FALSE)</f>
        <v>28391.56760704517</v>
      </c>
      <c r="E306" s="31">
        <f>VLOOKUP(B306,'Initial adjusted formula count'!$A$1:$P$317,12,FALSE)</f>
        <v>0.12831858407079599</v>
      </c>
      <c r="F306">
        <f>VLOOKUP(B306,'Model allocations'!$A$1:$L$317,8,FALSE)</f>
        <v>25200.43882607967</v>
      </c>
      <c r="G306" s="30">
        <f t="shared" si="84"/>
        <v>0.85</v>
      </c>
      <c r="H306">
        <f t="shared" si="85"/>
        <v>24132.832465988395</v>
      </c>
      <c r="I306">
        <f t="shared" si="77"/>
        <v>0</v>
      </c>
      <c r="J306">
        <f t="shared" si="78"/>
        <v>25200.43882607967</v>
      </c>
      <c r="K306">
        <f t="shared" si="79"/>
        <v>25188.927365366391</v>
      </c>
      <c r="L306">
        <f t="shared" si="86"/>
        <v>25188.927365366391</v>
      </c>
      <c r="M306">
        <f t="shared" si="80"/>
        <v>0</v>
      </c>
      <c r="N306" s="29">
        <f t="shared" si="87"/>
        <v>25188.927365366391</v>
      </c>
      <c r="O306" s="29">
        <f t="shared" si="81"/>
        <v>25187.649771822933</v>
      </c>
      <c r="P306" s="29">
        <f t="shared" si="88"/>
        <v>25187.649771822933</v>
      </c>
      <c r="Q306">
        <f t="shared" si="89"/>
        <v>0</v>
      </c>
      <c r="R306" s="29">
        <f t="shared" si="90"/>
        <v>25187.649771822933</v>
      </c>
      <c r="S306" s="29">
        <f t="shared" si="82"/>
        <v>25187.649771822948</v>
      </c>
      <c r="T306" s="29">
        <f t="shared" si="91"/>
        <v>25187.649771822948</v>
      </c>
      <c r="U306">
        <f t="shared" si="92"/>
        <v>0</v>
      </c>
      <c r="V306" s="29">
        <f t="shared" si="93"/>
        <v>25187.649771822948</v>
      </c>
      <c r="W306" s="29">
        <f t="shared" si="83"/>
        <v>25187.649771822951</v>
      </c>
      <c r="X306" s="29">
        <f t="shared" si="94"/>
        <v>25187.649771822951</v>
      </c>
      <c r="Y306">
        <f t="shared" si="95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allocations'!$A$1:$L$317,3,FALSE)</f>
        <v>43542.987524510827</v>
      </c>
      <c r="E307" s="31">
        <f>VLOOKUP(B307,'Initial adjusted formula count'!$A$1:$P$317,12,FALSE)</f>
        <v>8.4639498432601906E-2</v>
      </c>
      <c r="F307">
        <f>VLOOKUP(B307,'Model allocations'!$A$1:$L$317,8,FALSE)</f>
        <v>37011.539395834203</v>
      </c>
      <c r="G307" s="30">
        <f t="shared" si="84"/>
        <v>0.85</v>
      </c>
      <c r="H307">
        <f t="shared" si="85"/>
        <v>37011.539395834203</v>
      </c>
      <c r="I307">
        <f t="shared" si="77"/>
        <v>0</v>
      </c>
      <c r="J307">
        <f t="shared" si="78"/>
        <v>37011.539395834203</v>
      </c>
      <c r="K307">
        <f t="shared" si="79"/>
        <v>36994.632671128587</v>
      </c>
      <c r="L307">
        <f t="shared" si="86"/>
        <v>36994.632671128587</v>
      </c>
      <c r="M307">
        <f t="shared" si="80"/>
        <v>37011.539395834203</v>
      </c>
      <c r="N307" s="29">
        <f t="shared" si="87"/>
        <v>0</v>
      </c>
      <c r="O307" s="29">
        <f t="shared" si="81"/>
        <v>0</v>
      </c>
      <c r="P307" s="29">
        <f t="shared" si="88"/>
        <v>37011.539395834203</v>
      </c>
      <c r="Q307">
        <f t="shared" si="89"/>
        <v>0</v>
      </c>
      <c r="R307" s="29">
        <f t="shared" si="90"/>
        <v>0</v>
      </c>
      <c r="S307" s="29">
        <f t="shared" si="82"/>
        <v>0</v>
      </c>
      <c r="T307" s="29">
        <f t="shared" si="91"/>
        <v>37011.539395834203</v>
      </c>
      <c r="U307">
        <f t="shared" si="92"/>
        <v>0</v>
      </c>
      <c r="V307" s="29">
        <f t="shared" si="93"/>
        <v>0</v>
      </c>
      <c r="W307" s="29">
        <f t="shared" si="83"/>
        <v>0</v>
      </c>
      <c r="X307" s="29">
        <f t="shared" si="94"/>
        <v>37011.539395834203</v>
      </c>
      <c r="Y307">
        <f t="shared" si="95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allocations'!$A$1:$L$317,3,FALSE)</f>
        <v>12905.258003202352</v>
      </c>
      <c r="E308" s="31">
        <f>VLOOKUP(B308,'Initial adjusted formula count'!$A$1:$P$317,12,FALSE)</f>
        <v>0.14285714285714299</v>
      </c>
      <c r="F308">
        <f>VLOOKUP(B308,'Model allocations'!$A$1:$L$317,8,FALSE)</f>
        <v>13903.690386802573</v>
      </c>
      <c r="G308" s="30">
        <f t="shared" si="84"/>
        <v>0.85</v>
      </c>
      <c r="H308">
        <f t="shared" si="85"/>
        <v>10969.469302722</v>
      </c>
      <c r="I308">
        <f t="shared" si="77"/>
        <v>0</v>
      </c>
      <c r="J308">
        <f t="shared" si="78"/>
        <v>13903.690386802573</v>
      </c>
      <c r="K308">
        <f t="shared" si="79"/>
        <v>13897.33923606421</v>
      </c>
      <c r="L308">
        <f t="shared" si="86"/>
        <v>13897.33923606421</v>
      </c>
      <c r="M308">
        <f t="shared" si="80"/>
        <v>0</v>
      </c>
      <c r="N308" s="29">
        <f t="shared" si="87"/>
        <v>13897.33923606421</v>
      </c>
      <c r="O308" s="29">
        <f t="shared" si="81"/>
        <v>13896.63435686782</v>
      </c>
      <c r="P308" s="29">
        <f t="shared" si="88"/>
        <v>13896.63435686782</v>
      </c>
      <c r="Q308">
        <f t="shared" si="89"/>
        <v>0</v>
      </c>
      <c r="R308" s="29">
        <f t="shared" si="90"/>
        <v>13896.63435686782</v>
      </c>
      <c r="S308" s="29">
        <f t="shared" si="82"/>
        <v>13896.634356867829</v>
      </c>
      <c r="T308" s="29">
        <f t="shared" si="91"/>
        <v>13896.634356867829</v>
      </c>
      <c r="U308">
        <f t="shared" si="92"/>
        <v>0</v>
      </c>
      <c r="V308" s="29">
        <f t="shared" si="93"/>
        <v>13896.634356867829</v>
      </c>
      <c r="W308" s="29">
        <f t="shared" si="83"/>
        <v>13896.634356867831</v>
      </c>
      <c r="X308" s="29">
        <f t="shared" si="94"/>
        <v>13896.634356867831</v>
      </c>
      <c r="Y308">
        <f t="shared" si="95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allocations'!$A$1:$L$317,3,FALSE)</f>
        <v>88616.104955322837</v>
      </c>
      <c r="E309" s="31">
        <f>VLOOKUP(B309,'Initial adjusted formula count'!$A$1:$P$317,12,FALSE)</f>
        <v>0.118004866180049</v>
      </c>
      <c r="F309">
        <f>VLOOKUP(B309,'Model allocations'!$A$1:$L$317,8,FALSE)</f>
        <v>84291.122969990553</v>
      </c>
      <c r="G309" s="30">
        <f t="shared" si="84"/>
        <v>0.85</v>
      </c>
      <c r="H309">
        <f t="shared" si="85"/>
        <v>75323.689212024416</v>
      </c>
      <c r="I309">
        <f t="shared" si="77"/>
        <v>0</v>
      </c>
      <c r="J309">
        <f t="shared" si="78"/>
        <v>84291.122969990553</v>
      </c>
      <c r="K309">
        <f t="shared" si="79"/>
        <v>84252.619118639239</v>
      </c>
      <c r="L309">
        <f t="shared" si="86"/>
        <v>84252.619118639239</v>
      </c>
      <c r="M309">
        <f t="shared" si="80"/>
        <v>0</v>
      </c>
      <c r="N309" s="29">
        <f t="shared" si="87"/>
        <v>84252.619118639239</v>
      </c>
      <c r="O309" s="29">
        <f t="shared" si="81"/>
        <v>84248.345788511113</v>
      </c>
      <c r="P309" s="29">
        <f t="shared" si="88"/>
        <v>84248.345788511113</v>
      </c>
      <c r="Q309">
        <f t="shared" si="89"/>
        <v>0</v>
      </c>
      <c r="R309" s="29">
        <f t="shared" si="90"/>
        <v>84248.345788511113</v>
      </c>
      <c r="S309" s="29">
        <f t="shared" si="82"/>
        <v>84248.345788511157</v>
      </c>
      <c r="T309" s="29">
        <f t="shared" si="91"/>
        <v>84248.345788511157</v>
      </c>
      <c r="U309">
        <f t="shared" si="92"/>
        <v>0</v>
      </c>
      <c r="V309" s="29">
        <f t="shared" si="93"/>
        <v>84248.345788511157</v>
      </c>
      <c r="W309" s="29">
        <f t="shared" si="83"/>
        <v>84248.345788511171</v>
      </c>
      <c r="X309" s="29">
        <f t="shared" si="94"/>
        <v>84248.345788511171</v>
      </c>
      <c r="Y309">
        <f t="shared" si="95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allocations'!$A$1:$L$317,3,FALSE)</f>
        <v>18067.361204483292</v>
      </c>
      <c r="E310" s="31">
        <f>VLOOKUP(B310,'Initial adjusted formula count'!$A$1:$P$317,12,FALSE)</f>
        <v>0.19047619047618999</v>
      </c>
      <c r="F310">
        <f>VLOOKUP(B310,'Model allocations'!$A$1:$L$317,8,FALSE)</f>
        <v>24331.4581769045</v>
      </c>
      <c r="G310" s="30">
        <f t="shared" si="84"/>
        <v>0.9</v>
      </c>
      <c r="H310">
        <f t="shared" si="85"/>
        <v>16260.625084034962</v>
      </c>
      <c r="I310">
        <f t="shared" si="77"/>
        <v>0</v>
      </c>
      <c r="J310">
        <f t="shared" si="78"/>
        <v>24331.4581769045</v>
      </c>
      <c r="K310">
        <f t="shared" si="79"/>
        <v>24320.343663112366</v>
      </c>
      <c r="L310">
        <f t="shared" si="86"/>
        <v>24320.343663112366</v>
      </c>
      <c r="M310">
        <f t="shared" si="80"/>
        <v>0</v>
      </c>
      <c r="N310" s="29">
        <f t="shared" si="87"/>
        <v>24320.343663112366</v>
      </c>
      <c r="O310" s="29">
        <f t="shared" si="81"/>
        <v>24319.11012451868</v>
      </c>
      <c r="P310" s="29">
        <f t="shared" si="88"/>
        <v>24319.11012451868</v>
      </c>
      <c r="Q310">
        <f t="shared" si="89"/>
        <v>0</v>
      </c>
      <c r="R310" s="29">
        <f t="shared" si="90"/>
        <v>24319.11012451868</v>
      </c>
      <c r="S310" s="29">
        <f t="shared" si="82"/>
        <v>24319.110124518691</v>
      </c>
      <c r="T310" s="29">
        <f t="shared" si="91"/>
        <v>24319.110124518691</v>
      </c>
      <c r="U310">
        <f t="shared" si="92"/>
        <v>0</v>
      </c>
      <c r="V310" s="29">
        <f t="shared" si="93"/>
        <v>24319.110124518691</v>
      </c>
      <c r="W310" s="29">
        <f t="shared" si="83"/>
        <v>24319.110124518695</v>
      </c>
      <c r="X310" s="29">
        <f t="shared" si="94"/>
        <v>24319.110124518695</v>
      </c>
      <c r="Y310">
        <f t="shared" si="95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allocations'!$A$1:$L$317,3,FALSE)</f>
        <v>13765.608536749176</v>
      </c>
      <c r="E311" s="31">
        <f>VLOOKUP(B311,'Initial adjusted formula count'!$A$1:$P$317,12,FALSE)</f>
        <v>0.70454545454545403</v>
      </c>
      <c r="F311">
        <f>VLOOKUP(B311,'Model allocations'!$A$1:$L$317,8,FALSE)</f>
        <v>26938.400124429987</v>
      </c>
      <c r="G311" s="30">
        <f t="shared" si="84"/>
        <v>0.95</v>
      </c>
      <c r="H311">
        <f t="shared" si="85"/>
        <v>13077.328109911716</v>
      </c>
      <c r="I311">
        <f t="shared" si="77"/>
        <v>0</v>
      </c>
      <c r="J311">
        <f t="shared" si="78"/>
        <v>26938.400124429987</v>
      </c>
      <c r="K311">
        <f t="shared" si="79"/>
        <v>26926.094769874413</v>
      </c>
      <c r="L311">
        <f t="shared" si="86"/>
        <v>26926.094769874413</v>
      </c>
      <c r="M311">
        <f t="shared" si="80"/>
        <v>0</v>
      </c>
      <c r="N311" s="29">
        <f t="shared" si="87"/>
        <v>26926.094769874413</v>
      </c>
      <c r="O311" s="29">
        <f t="shared" si="81"/>
        <v>26924.729066431406</v>
      </c>
      <c r="P311" s="29">
        <f t="shared" si="88"/>
        <v>26924.729066431406</v>
      </c>
      <c r="Q311">
        <f t="shared" si="89"/>
        <v>0</v>
      </c>
      <c r="R311" s="29">
        <f t="shared" si="90"/>
        <v>26924.729066431406</v>
      </c>
      <c r="S311" s="29">
        <f t="shared" si="82"/>
        <v>26924.729066431424</v>
      </c>
      <c r="T311" s="29">
        <f t="shared" si="91"/>
        <v>26924.729066431424</v>
      </c>
      <c r="U311">
        <f t="shared" si="92"/>
        <v>0</v>
      </c>
      <c r="V311" s="29">
        <f t="shared" si="93"/>
        <v>26924.729066431424</v>
      </c>
      <c r="W311" s="29">
        <f t="shared" si="83"/>
        <v>26924.729066431428</v>
      </c>
      <c r="X311" s="29">
        <f t="shared" si="94"/>
        <v>26924.729066431428</v>
      </c>
      <c r="Y311">
        <f t="shared" si="95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allocations'!$A$1:$L$317,3,FALSE)</f>
        <v>212506.58178606542</v>
      </c>
      <c r="E312" s="31">
        <f>VLOOKUP(B312,'Initial adjusted formula count'!$A$1:$P$317,12,FALSE)</f>
        <v>9.79151154132539E-2</v>
      </c>
      <c r="F312">
        <f>VLOOKUP(B312,'Model allocations'!$A$1:$L$317,8,FALSE)</f>
        <v>228541.91073306731</v>
      </c>
      <c r="G312" s="30">
        <f t="shared" si="84"/>
        <v>0.85</v>
      </c>
      <c r="H312">
        <f t="shared" si="85"/>
        <v>180630.59451815562</v>
      </c>
      <c r="I312">
        <f t="shared" si="77"/>
        <v>0</v>
      </c>
      <c r="J312">
        <f t="shared" si="78"/>
        <v>228541.91073306731</v>
      </c>
      <c r="K312">
        <f t="shared" si="79"/>
        <v>228437.51369280549</v>
      </c>
      <c r="L312">
        <f t="shared" si="86"/>
        <v>228437.51369280549</v>
      </c>
      <c r="M312">
        <f t="shared" si="80"/>
        <v>0</v>
      </c>
      <c r="N312" s="29">
        <f t="shared" si="87"/>
        <v>228437.51369280549</v>
      </c>
      <c r="O312" s="29">
        <f t="shared" si="81"/>
        <v>228425.92724101481</v>
      </c>
      <c r="P312" s="29">
        <f t="shared" si="88"/>
        <v>228425.92724101481</v>
      </c>
      <c r="Q312">
        <f t="shared" si="89"/>
        <v>0</v>
      </c>
      <c r="R312" s="29">
        <f t="shared" si="90"/>
        <v>228425.92724101481</v>
      </c>
      <c r="S312" s="29">
        <f t="shared" si="82"/>
        <v>228425.92724101496</v>
      </c>
      <c r="T312" s="29">
        <f t="shared" si="91"/>
        <v>228425.92724101496</v>
      </c>
      <c r="U312">
        <f t="shared" si="92"/>
        <v>0</v>
      </c>
      <c r="V312" s="29">
        <f t="shared" si="93"/>
        <v>228425.92724101496</v>
      </c>
      <c r="W312" s="29">
        <f t="shared" si="83"/>
        <v>228425.92724101499</v>
      </c>
      <c r="X312" s="29">
        <f t="shared" si="94"/>
        <v>228425.92724101499</v>
      </c>
      <c r="Y312">
        <f t="shared" si="95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allocations'!$A$1:$L$317,3,FALSE)</f>
        <v>3688322.7373152324</v>
      </c>
      <c r="E313" s="31">
        <f>VLOOKUP(B313,'Initial adjusted formula count'!$A$1:$P$317,12,FALSE)</f>
        <v>0.26801815431164899</v>
      </c>
      <c r="F313">
        <f>VLOOKUP(B313,'Model allocations'!$A$1:$L$317,8,FALSE)</f>
        <v>3848715.2951967875</v>
      </c>
      <c r="G313" s="30">
        <f t="shared" si="84"/>
        <v>0.9</v>
      </c>
      <c r="H313">
        <f t="shared" si="85"/>
        <v>3319490.4635837092</v>
      </c>
      <c r="I313">
        <f t="shared" si="77"/>
        <v>0</v>
      </c>
      <c r="J313">
        <f t="shared" si="78"/>
        <v>3848715.2951967875</v>
      </c>
      <c r="K313">
        <f t="shared" si="79"/>
        <v>3846957.2172830245</v>
      </c>
      <c r="L313">
        <f t="shared" si="86"/>
        <v>3846957.2172830245</v>
      </c>
      <c r="M313">
        <f t="shared" si="80"/>
        <v>0</v>
      </c>
      <c r="N313" s="29">
        <f t="shared" si="87"/>
        <v>3846957.2172830245</v>
      </c>
      <c r="O313" s="29">
        <f t="shared" si="81"/>
        <v>3846762.0979104736</v>
      </c>
      <c r="P313" s="29">
        <f t="shared" si="88"/>
        <v>3846762.0979104736</v>
      </c>
      <c r="Q313">
        <f t="shared" si="89"/>
        <v>0</v>
      </c>
      <c r="R313" s="29">
        <f t="shared" si="90"/>
        <v>3846762.0979104736</v>
      </c>
      <c r="S313" s="29">
        <f t="shared" si="82"/>
        <v>3846762.0979104759</v>
      </c>
      <c r="T313" s="29">
        <f t="shared" si="91"/>
        <v>3846762.0979104759</v>
      </c>
      <c r="U313">
        <f t="shared" si="92"/>
        <v>0</v>
      </c>
      <c r="V313" s="29">
        <f t="shared" si="93"/>
        <v>3846762.0979104759</v>
      </c>
      <c r="W313" s="29">
        <f t="shared" si="83"/>
        <v>3846762.0979104764</v>
      </c>
      <c r="X313" s="29">
        <f t="shared" si="94"/>
        <v>3846762.0979104764</v>
      </c>
      <c r="Y313">
        <f t="shared" si="95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allocations'!$A$1:$L$317,3,FALSE)</f>
        <v>530836.27919839008</v>
      </c>
      <c r="E314" s="31">
        <f>VLOOKUP(B314,'Initial adjusted formula count'!$A$1:$P$317,12,FALSE)</f>
        <v>8.3779238648524698E-2</v>
      </c>
      <c r="F314">
        <f>VLOOKUP(B314,'Model allocations'!$A$1:$L$317,8,FALSE)</f>
        <v>476201.39574798814</v>
      </c>
      <c r="G314" s="30">
        <f t="shared" si="84"/>
        <v>0.85</v>
      </c>
      <c r="H314">
        <f t="shared" si="85"/>
        <v>451210.83731863153</v>
      </c>
      <c r="I314">
        <f t="shared" si="77"/>
        <v>0</v>
      </c>
      <c r="J314">
        <f t="shared" si="78"/>
        <v>476201.39574798814</v>
      </c>
      <c r="K314">
        <f t="shared" si="79"/>
        <v>475983.86883519922</v>
      </c>
      <c r="L314">
        <f t="shared" si="86"/>
        <v>475983.86883519922</v>
      </c>
      <c r="M314">
        <f t="shared" si="80"/>
        <v>0</v>
      </c>
      <c r="N314" s="29">
        <f t="shared" si="87"/>
        <v>475983.86883519922</v>
      </c>
      <c r="O314" s="29">
        <f t="shared" si="81"/>
        <v>475959.72672272281</v>
      </c>
      <c r="P314" s="29">
        <f t="shared" si="88"/>
        <v>475959.72672272281</v>
      </c>
      <c r="Q314">
        <f t="shared" si="89"/>
        <v>0</v>
      </c>
      <c r="R314" s="29">
        <f t="shared" si="90"/>
        <v>475959.72672272281</v>
      </c>
      <c r="S314" s="29">
        <f t="shared" si="82"/>
        <v>475959.72672272311</v>
      </c>
      <c r="T314" s="29">
        <f t="shared" si="91"/>
        <v>475959.72672272311</v>
      </c>
      <c r="U314">
        <f t="shared" si="92"/>
        <v>0</v>
      </c>
      <c r="V314" s="29">
        <f t="shared" si="93"/>
        <v>475959.72672272311</v>
      </c>
      <c r="W314" s="29">
        <f t="shared" si="83"/>
        <v>475959.72672272322</v>
      </c>
      <c r="X314" s="29">
        <f t="shared" si="94"/>
        <v>475959.72672272322</v>
      </c>
      <c r="Y314">
        <f t="shared" si="95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allocations'!$A$1:$L$317,3,FALSE)</f>
        <v>118728.37362946161</v>
      </c>
      <c r="E315" s="31">
        <f>VLOOKUP(B315,'Initial adjusted formula count'!$A$1:$P$317,12,FALSE)</f>
        <v>0.124688279301746</v>
      </c>
      <c r="F315">
        <f>VLOOKUP(B315,'Model allocations'!$A$1:$L$317,8,FALSE)</f>
        <v>130347.09737627412</v>
      </c>
      <c r="G315" s="30">
        <f t="shared" si="84"/>
        <v>0.85</v>
      </c>
      <c r="H315">
        <f t="shared" si="85"/>
        <v>100919.11758504236</v>
      </c>
      <c r="I315">
        <f t="shared" si="77"/>
        <v>0</v>
      </c>
      <c r="J315">
        <f t="shared" si="78"/>
        <v>130347.09737627412</v>
      </c>
      <c r="K315">
        <f t="shared" si="79"/>
        <v>130287.55533810199</v>
      </c>
      <c r="L315">
        <f t="shared" si="86"/>
        <v>130287.55533810199</v>
      </c>
      <c r="M315">
        <f t="shared" si="80"/>
        <v>0</v>
      </c>
      <c r="N315" s="29">
        <f t="shared" si="87"/>
        <v>130287.55533810199</v>
      </c>
      <c r="O315" s="29">
        <f t="shared" si="81"/>
        <v>130280.94709563581</v>
      </c>
      <c r="P315" s="29">
        <f t="shared" si="88"/>
        <v>130280.94709563581</v>
      </c>
      <c r="Q315">
        <f t="shared" si="89"/>
        <v>0</v>
      </c>
      <c r="R315" s="29">
        <f t="shared" si="90"/>
        <v>130280.94709563581</v>
      </c>
      <c r="S315" s="29">
        <f t="shared" si="82"/>
        <v>130280.94709563589</v>
      </c>
      <c r="T315" s="29">
        <f t="shared" si="91"/>
        <v>130280.94709563589</v>
      </c>
      <c r="U315">
        <f t="shared" si="92"/>
        <v>0</v>
      </c>
      <c r="V315" s="29">
        <f t="shared" si="93"/>
        <v>130280.94709563589</v>
      </c>
      <c r="W315" s="29">
        <f t="shared" si="83"/>
        <v>130280.94709563591</v>
      </c>
      <c r="X315" s="29">
        <f t="shared" si="94"/>
        <v>130280.94709563591</v>
      </c>
      <c r="Y315">
        <f t="shared" si="95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allocations'!$A$1:$L$317,3,FALSE)</f>
        <v>866900.40070897446</v>
      </c>
      <c r="E316" s="31">
        <f>VLOOKUP(B316,'Initial adjusted formula count'!$A$1:$P$317,12,FALSE)</f>
        <v>1</v>
      </c>
      <c r="F316">
        <f>VLOOKUP(B316,'Model allocations'!$A$1:$L$317,8,FALSE)</f>
        <v>823555.38067352574</v>
      </c>
      <c r="G316" s="30">
        <f t="shared" si="84"/>
        <v>0.95</v>
      </c>
      <c r="H316">
        <f t="shared" si="85"/>
        <v>823555.38067352574</v>
      </c>
      <c r="I316">
        <f t="shared" si="77"/>
        <v>0</v>
      </c>
      <c r="J316">
        <f t="shared" si="78"/>
        <v>823555.38067352574</v>
      </c>
      <c r="K316">
        <f t="shared" si="79"/>
        <v>823179.1838352381</v>
      </c>
      <c r="L316">
        <f t="shared" si="86"/>
        <v>823179.1838352381</v>
      </c>
      <c r="M316">
        <f t="shared" si="80"/>
        <v>823555.38067352574</v>
      </c>
      <c r="N316" s="29">
        <f t="shared" si="87"/>
        <v>0</v>
      </c>
      <c r="O316" s="29">
        <f t="shared" si="81"/>
        <v>0</v>
      </c>
      <c r="P316" s="29">
        <f t="shared" si="88"/>
        <v>823555.38067352574</v>
      </c>
      <c r="Q316">
        <f t="shared" si="89"/>
        <v>0</v>
      </c>
      <c r="R316" s="29">
        <f t="shared" si="90"/>
        <v>0</v>
      </c>
      <c r="S316" s="29">
        <f t="shared" si="82"/>
        <v>0</v>
      </c>
      <c r="T316" s="29">
        <f t="shared" si="91"/>
        <v>823555.38067352574</v>
      </c>
      <c r="U316">
        <f t="shared" si="92"/>
        <v>0</v>
      </c>
      <c r="V316" s="29">
        <f t="shared" si="93"/>
        <v>0</v>
      </c>
      <c r="W316" s="29">
        <f t="shared" si="83"/>
        <v>0</v>
      </c>
      <c r="X316" s="29">
        <f t="shared" si="94"/>
        <v>823555.38067352574</v>
      </c>
      <c r="Y316">
        <f t="shared" si="95"/>
        <v>0</v>
      </c>
    </row>
    <row r="317" spans="1:25" x14ac:dyDescent="0.25">
      <c r="A317" t="s">
        <v>1429</v>
      </c>
      <c r="B317" t="s">
        <v>1421</v>
      </c>
      <c r="C317" t="s">
        <v>1422</v>
      </c>
      <c r="D317">
        <f>VLOOKUP(B317,'Model allocations'!$A$1:$L$317,3,FALSE)</f>
        <v>53289.999478849808</v>
      </c>
      <c r="E317" s="31">
        <f>VLOOKUP(B317,'Initial adjusted formula count'!$A$1:$P$317,12,FALSE)</f>
        <v>0.176337460229611</v>
      </c>
      <c r="F317">
        <f>VLOOKUP(B317,'Model allocations'!$A$1:$L$317,8,FALSE)</f>
        <v>53834.057349101822</v>
      </c>
      <c r="G317" s="30">
        <f t="shared" ref="G317:G318" si="96">IF(E317&lt;0.15,0.85,IF(AND(E317&gt;=0.15,E317&lt;0.3),0.9,0.95))</f>
        <v>0.9</v>
      </c>
      <c r="H317">
        <f t="shared" ref="H317:H318" si="97">IF(F317 = 0, 0, D317*G317)</f>
        <v>47960.999530964829</v>
      </c>
      <c r="I317">
        <f t="shared" ref="I317:I318" si="98">IF(F317&lt;H317,H317,0)</f>
        <v>0</v>
      </c>
      <c r="J317">
        <f t="shared" ref="J317:J318" si="99">IF(I317=0,F317,0)</f>
        <v>53834.057349101822</v>
      </c>
      <c r="K317">
        <f t="shared" ref="K317:K318" si="100">(J317/$J$3)*($F$3-$I$3)</f>
        <v>53809.46616477811</v>
      </c>
      <c r="L317">
        <f t="shared" ref="L317:L318" si="101">I317+K317</f>
        <v>53809.46616477811</v>
      </c>
      <c r="M317">
        <f t="shared" ref="M317:M318" si="102">IF(L317&lt;H317,H317,0)</f>
        <v>0</v>
      </c>
      <c r="N317" s="29">
        <f t="shared" ref="N317:N318" si="103">IF($I317+$M317=0,L317,0)</f>
        <v>53809.46616477811</v>
      </c>
      <c r="O317" s="29">
        <f t="shared" ref="O317:O318" si="104">((N317/$N$3)*($F$3-$I$3-$M$3))</f>
        <v>53806.736924840581</v>
      </c>
      <c r="P317" s="29">
        <f t="shared" ref="P317:P318" si="105">$I317+$M317+O317</f>
        <v>53806.736924840581</v>
      </c>
      <c r="Q317">
        <f t="shared" ref="Q317:Q318" si="106">IF(P317&lt;H317,H317,0)</f>
        <v>0</v>
      </c>
      <c r="R317" s="29">
        <f t="shared" ref="R317:R318" si="107">IF($I317+$M317+$Q317=0,P317,0)</f>
        <v>53806.736924840581</v>
      </c>
      <c r="S317" s="29">
        <f t="shared" ref="S317:S318" si="108">((R317/$R$3)*($F$3-$I$3-$M$3-$Q$3))</f>
        <v>53806.736924840618</v>
      </c>
      <c r="T317" s="29">
        <f t="shared" ref="T317:T318" si="109">$I317+$M317+$Q317+S317</f>
        <v>53806.736924840618</v>
      </c>
      <c r="U317">
        <f t="shared" ref="U317:U318" si="110">IF(T317&lt;H317,H317,0)</f>
        <v>0</v>
      </c>
      <c r="V317" s="29">
        <f t="shared" ref="V317:V318" si="111">IF($I317+$M317+$Q317+U317=0,T317,0)</f>
        <v>53806.736924840618</v>
      </c>
      <c r="W317" s="29">
        <f t="shared" ref="W317:W318" si="112">((V317/$V$3)*($F$3-$I$3-$M$3-$Q$3-$U$3))</f>
        <v>53806.736924840625</v>
      </c>
      <c r="X317" s="29">
        <f t="shared" ref="X317:X318" si="113">$I317+$M317+$Q317+$U317+W317</f>
        <v>53806.736924840625</v>
      </c>
      <c r="Y317">
        <f t="shared" ref="Y317:Y318" si="114">IF(X317&lt;H317,H317,0)</f>
        <v>0</v>
      </c>
    </row>
    <row r="318" spans="1:25" x14ac:dyDescent="0.25">
      <c r="A318" t="s">
        <v>1430</v>
      </c>
      <c r="B318" t="s">
        <v>1423</v>
      </c>
      <c r="C318" t="s">
        <v>1424</v>
      </c>
      <c r="D318">
        <f>VLOOKUP(B318,'Model allocations'!$A$1:$L$317,3,FALSE)</f>
        <v>14809.085181628621</v>
      </c>
      <c r="E318" s="31">
        <f>VLOOKUP(B318,'Initial adjusted formula count'!$A$1:$P$317,12,FALSE)</f>
        <v>0.14068098658834399</v>
      </c>
      <c r="F318">
        <f>VLOOKUP(B318,'Model allocations'!$A$1:$L$317,8,FALSE)</f>
        <v>14455.730093751299</v>
      </c>
      <c r="G318" s="30">
        <f t="shared" si="96"/>
        <v>0.85</v>
      </c>
      <c r="H318">
        <f t="shared" si="97"/>
        <v>12587.722404384327</v>
      </c>
      <c r="I318">
        <f t="shared" si="98"/>
        <v>0</v>
      </c>
      <c r="J318">
        <f t="shared" si="99"/>
        <v>14455.730093751299</v>
      </c>
      <c r="K318">
        <f t="shared" si="100"/>
        <v>14449.126773459757</v>
      </c>
      <c r="L318">
        <f t="shared" si="101"/>
        <v>14449.126773459757</v>
      </c>
      <c r="M318">
        <f t="shared" si="102"/>
        <v>0</v>
      </c>
      <c r="N318" s="29">
        <f t="shared" si="103"/>
        <v>14449.126773459757</v>
      </c>
      <c r="O318" s="29">
        <f t="shared" si="104"/>
        <v>14448.393907355272</v>
      </c>
      <c r="P318" s="29">
        <f t="shared" si="105"/>
        <v>14448.393907355272</v>
      </c>
      <c r="Q318">
        <f t="shared" si="106"/>
        <v>0</v>
      </c>
      <c r="R318" s="29">
        <f t="shared" si="107"/>
        <v>14448.393907355272</v>
      </c>
      <c r="S318" s="29">
        <f t="shared" si="108"/>
        <v>14448.393907355281</v>
      </c>
      <c r="T318" s="29">
        <f t="shared" si="109"/>
        <v>14448.393907355281</v>
      </c>
      <c r="U318">
        <f t="shared" si="110"/>
        <v>0</v>
      </c>
      <c r="V318" s="29">
        <f t="shared" si="111"/>
        <v>14448.393907355281</v>
      </c>
      <c r="W318" s="29">
        <f t="shared" si="112"/>
        <v>14448.393907355283</v>
      </c>
      <c r="X318" s="29">
        <f t="shared" si="113"/>
        <v>14448.393907355283</v>
      </c>
      <c r="Y318">
        <f t="shared" si="114"/>
        <v>0</v>
      </c>
    </row>
  </sheetData>
  <sheetProtection algorithmName="SHA-512" hashValue="/z4AR+31KNTGJz8GuC+TbmFXwV+1ixghs0ZG4t2hvnM0vDGtmmx3nuP/Mwj1riyuM2mCVuvIzWsrYJ7AV1QbGQ==" saltValue="Iv3b8xcH5q0P8HpUXIsGTg==" spinCount="100000" sheet="1" objects="1" scenarios="1"/>
  <conditionalFormatting sqref="B1:B316 C1:Y1">
    <cfRule type="duplicateValues" dxfId="3" priority="1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0794-1783-4202-AA7F-A166F63BFA92}">
  <dimension ref="A1:Z318"/>
  <sheetViews>
    <sheetView topLeftCell="A245" workbookViewId="0">
      <selection activeCell="A264" sqref="A264:XFD264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6.5703125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2.5703125" bestFit="1" customWidth="1"/>
    <col min="14" max="14" width="17.42578125" customWidth="1"/>
    <col min="15" max="15" width="16.42578125" customWidth="1"/>
    <col min="16" max="16" width="14.28515625" customWidth="1"/>
    <col min="18" max="18" width="11.140625" customWidth="1"/>
    <col min="19" max="19" width="12.57031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  <col min="25" max="25" width="8.85546875" customWidth="1"/>
    <col min="26" max="26" width="10.7109375" customWidth="1"/>
  </cols>
  <sheetData>
    <row r="1" spans="1:26" x14ac:dyDescent="0.25">
      <c r="A1" s="1"/>
      <c r="B1" s="5"/>
      <c r="C1" s="4"/>
      <c r="F1" s="79" t="str">
        <f>IF($F$3 = SUM(Model_allocations[Conc. Allocation]), "Good", "Check district list")</f>
        <v>Good</v>
      </c>
      <c r="Z1" s="46"/>
    </row>
    <row r="2" spans="1:26" ht="76.5" x14ac:dyDescent="0.25">
      <c r="A2" s="1" t="s">
        <v>0</v>
      </c>
      <c r="B2" s="5" t="s">
        <v>4</v>
      </c>
      <c r="C2" s="3" t="s">
        <v>1279</v>
      </c>
      <c r="D2" s="33" t="s">
        <v>1380</v>
      </c>
      <c r="E2" s="36" t="s">
        <v>1296</v>
      </c>
      <c r="F2" s="33" t="s">
        <v>1379</v>
      </c>
      <c r="G2" s="35" t="s">
        <v>654</v>
      </c>
      <c r="H2" s="34" t="s">
        <v>1375</v>
      </c>
      <c r="I2" s="34" t="s">
        <v>1368</v>
      </c>
      <c r="J2" s="34" t="s">
        <v>1369</v>
      </c>
      <c r="K2" s="34" t="s">
        <v>1370</v>
      </c>
      <c r="L2" s="34" t="s">
        <v>1371</v>
      </c>
      <c r="M2" s="32" t="s">
        <v>1293</v>
      </c>
      <c r="N2" s="34" t="s">
        <v>1369</v>
      </c>
      <c r="O2" s="32" t="s">
        <v>1370</v>
      </c>
      <c r="P2" s="32" t="s">
        <v>1371</v>
      </c>
      <c r="Q2" s="32" t="s">
        <v>1372</v>
      </c>
      <c r="R2" s="32" t="s">
        <v>1369</v>
      </c>
      <c r="S2" s="32" t="s">
        <v>1370</v>
      </c>
      <c r="T2" s="32" t="s">
        <v>1371</v>
      </c>
      <c r="U2" s="32" t="s">
        <v>1373</v>
      </c>
      <c r="V2" s="32" t="s">
        <v>1369</v>
      </c>
      <c r="W2" s="32" t="s">
        <v>1370</v>
      </c>
      <c r="X2" s="32" t="s">
        <v>1371</v>
      </c>
      <c r="Y2" s="32" t="s">
        <v>1374</v>
      </c>
    </row>
    <row r="3" spans="1:26" x14ac:dyDescent="0.25">
      <c r="A3" s="1"/>
      <c r="B3" s="5"/>
      <c r="C3" s="6"/>
      <c r="D3" s="33">
        <f>SUM(D4:D318)</f>
        <v>15043465.311369879</v>
      </c>
      <c r="E3" s="33"/>
      <c r="F3" s="33" cm="1">
        <f t="array" ref="F3">SUM(IF(ISERROR($F$4:$F$318),"",$F$4:$F$318))</f>
        <v>15863786.98091667</v>
      </c>
      <c r="G3" s="33"/>
      <c r="H3" s="33" cm="1">
        <f t="array" ref="H3">SUM(IF(ISERROR($H$4:$H$318),"",$H$4:$H$318))</f>
        <v>13257741.013485642</v>
      </c>
      <c r="I3" s="33" cm="1">
        <f t="array" ref="I3">SUM(IF(ISERROR($I$4:$I$318),"",$I$4:$I$318))</f>
        <v>540071.84838063957</v>
      </c>
      <c r="J3" s="33" cm="1">
        <f t="array" ref="J3">SUM(IF(ISERROR($J$4:$J$318),"",$J$4:$J$318))</f>
        <v>15336682.418091981</v>
      </c>
      <c r="K3" s="33" cm="1">
        <f t="array" ref="K3">SUM(IF(ISERROR($K$4:$K$318),"",$K$4:$K$318))</f>
        <v>15323715.13253602</v>
      </c>
      <c r="L3" s="33" cm="1">
        <f t="array" ref="L3">SUM(IF(ISERROR($L$4:$L$318),0,$L$4:$L$318))</f>
        <v>15863786.980916664</v>
      </c>
      <c r="M3" s="33" cm="1">
        <f t="array" ref="M3">SUM(IF(ISERROR($M$4:$M$318),0,$M$4:$M$318))</f>
        <v>3586107.415222351</v>
      </c>
      <c r="N3" s="33" cm="1">
        <f t="array" ref="N3">SUM(IF(ISERROR($N$4:$N$318),"",$N$4:$N$318))</f>
        <v>11740639.799325924</v>
      </c>
      <c r="O3" s="33" cm="1">
        <f t="array" ref="O3">SUM(IF(ISERROR($O$4:$O$318),0,$O$4:$O$318))</f>
        <v>11737607.717313679</v>
      </c>
      <c r="P3" s="33" cm="1">
        <f t="array" ref="P3">SUM(IF(ISERROR($P$4:$P$318),0,$P$4:$P$318))</f>
        <v>15863786.980916668</v>
      </c>
      <c r="Q3" s="33" cm="1">
        <f t="array" ref="Q3">SUM(IF(ISERROR($Q$4:$Q$318),0,$Q$4:$Q$318))</f>
        <v>0</v>
      </c>
      <c r="R3" s="33" cm="1">
        <f t="array" ref="R3">SUM(IF(ISERROR($R$4:$R$318),0,$R$4:$R$318))</f>
        <v>11737607.717313679</v>
      </c>
      <c r="S3" s="33" cm="1">
        <f t="array" ref="S3">SUM(IF(ISERROR($S$4:$S$318),0,$S$4:$S$318))</f>
        <v>11737607.717313679</v>
      </c>
      <c r="T3" s="33" cm="1">
        <f t="array" ref="T3">SUM(IF(ISERROR($T$4:$T$318),0,$T$4:$T$318))</f>
        <v>15863786.980916668</v>
      </c>
      <c r="U3" s="33" cm="1">
        <f t="array" ref="U3">SUM(IF(ISERROR($U$4:$U$318),0,$U$4:$U$318))</f>
        <v>0</v>
      </c>
      <c r="V3" s="33" cm="1">
        <f t="array" ref="V3">SUM(IF(ISERROR($V$4:$V$318),0,$V$4:$V$318))</f>
        <v>11737607.717313679</v>
      </c>
      <c r="W3" s="33" cm="1">
        <f t="array" ref="W3">SUM(IF(ISERROR($W$4:$W$318),0,$W$4:$W$318))</f>
        <v>11737607.717313679</v>
      </c>
      <c r="X3" s="33" cm="1">
        <f t="array" ref="X3">SUM(IF(ISERROR($X$4:$X$318),0,$X$4:$X$318))</f>
        <v>15863786.980916668</v>
      </c>
      <c r="Y3" s="33" cm="1">
        <f t="array" ref="Y3">SUM(IF(ISERROR($Y$4:$Y$318),0,$Y$4:$Y$318))</f>
        <v>0</v>
      </c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allocations'!$A$1:$L$317,4,FALSE)</f>
        <v>185884.31275661089</v>
      </c>
      <c r="E4" s="31">
        <f>VLOOKUP(B4,'Initial adjusted formula count'!$A$1:$P$317,12,FALSE)</f>
        <v>0.20096783376031899</v>
      </c>
      <c r="F4">
        <f>VLOOKUP(B4,'Model allocations'!$A$1:$L$317,9,FALSE)</f>
        <v>167247.51609168094</v>
      </c>
      <c r="G4" s="30">
        <f>IF(E4&lt;0.15,0.85,IF(AND(E4&gt;=0.15,E4&lt;0.3),0.9,0.95))</f>
        <v>0.9</v>
      </c>
      <c r="H4">
        <f>IF(F4 = 0, 0, D4*G4)</f>
        <v>167295.88148094981</v>
      </c>
      <c r="I4">
        <f t="shared" ref="I4:I67" si="0">IF(F4&lt;H4,H4,0)</f>
        <v>167295.88148094981</v>
      </c>
      <c r="J4">
        <f t="shared" ref="J4:J67" si="1">IF(I4=0,F4,0)</f>
        <v>0</v>
      </c>
      <c r="K4">
        <f t="shared" ref="K4:K67" si="2">(J4/$J$3)*($F$3-$I$3)</f>
        <v>0</v>
      </c>
      <c r="L4">
        <f>I4+K4</f>
        <v>167295.88148094981</v>
      </c>
      <c r="M4">
        <f t="shared" ref="M4:M67" si="3">IF(L4&lt;H4,H4,0)</f>
        <v>0</v>
      </c>
      <c r="N4" s="29">
        <f>IF(I4+M4=0,L4,0)</f>
        <v>0</v>
      </c>
      <c r="O4" s="29">
        <f t="shared" ref="O4:O67" si="4">((N4/$N$3)*($F$3-$I$3-$M$3))</f>
        <v>0</v>
      </c>
      <c r="P4" s="29">
        <f>$I4+$M4+O4</f>
        <v>167295.88148094981</v>
      </c>
      <c r="Q4">
        <f>IF(P4&lt;H4,H4,0)</f>
        <v>0</v>
      </c>
      <c r="R4" s="29">
        <f>IF($I4+$M4+$Q4=0,P4,0)</f>
        <v>0</v>
      </c>
      <c r="S4" s="29">
        <f t="shared" ref="S4:S67" si="5">((R4/$R$3)*($F$3-$I$3-$M$3-$Q$3))</f>
        <v>0</v>
      </c>
      <c r="T4" s="29">
        <f>$I4+$M4+$Q4+S4</f>
        <v>167295.88148094981</v>
      </c>
      <c r="U4">
        <f>IF(T4&lt;H4,H4,0)</f>
        <v>0</v>
      </c>
      <c r="V4" s="29">
        <f>IF($I4+$M4+$Q4+U4=0,T4,0)</f>
        <v>0</v>
      </c>
      <c r="W4" s="29">
        <f t="shared" ref="W4:W67" si="6">((V4/$V$3)*($F$3-$I$3-$M$3-$Q$3-$U$3))</f>
        <v>0</v>
      </c>
      <c r="X4" s="29">
        <f>$I4+$M4+$Q4+$U4+W4</f>
        <v>167295.88148094981</v>
      </c>
      <c r="Y4">
        <f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allocations'!$A$1:$L$317,4,FALSE)</f>
        <v>0</v>
      </c>
      <c r="E5" s="31">
        <f>VLOOKUP(B5,'Initial adjusted formula count'!$A$1:$P$317,12,FALSE)</f>
        <v>8.8235294117647106E-2</v>
      </c>
      <c r="F5">
        <f>VLOOKUP(B5,'Model allocations'!$A$1:$L$317,9,FALSE)</f>
        <v>0</v>
      </c>
      <c r="G5" s="30">
        <f t="shared" ref="G5:G68" si="7">IF(E5&lt;0.15,0.85,IF(AND(E5&gt;=0.15,E5&lt;0.3),0.9,0.95))</f>
        <v>0.85</v>
      </c>
      <c r="H5">
        <f t="shared" ref="H5:H68" si="8">IF(F5 = 0, 0, D5*G5)</f>
        <v>0</v>
      </c>
      <c r="I5">
        <f t="shared" si="0"/>
        <v>0</v>
      </c>
      <c r="J5" s="48">
        <f t="shared" si="1"/>
        <v>0</v>
      </c>
      <c r="K5">
        <f t="shared" si="2"/>
        <v>0</v>
      </c>
      <c r="L5">
        <f t="shared" ref="L5:L68" si="9">I5+K5</f>
        <v>0</v>
      </c>
      <c r="M5">
        <f t="shared" si="3"/>
        <v>0</v>
      </c>
      <c r="N5" s="29">
        <f t="shared" ref="N5:N68" si="10">IF(I5+M5=0,L5,0)</f>
        <v>0</v>
      </c>
      <c r="O5" s="29">
        <f t="shared" si="4"/>
        <v>0</v>
      </c>
      <c r="P5" s="29">
        <f t="shared" ref="P5:P68" si="11">$I5+$M5+O5</f>
        <v>0</v>
      </c>
      <c r="Q5">
        <f t="shared" ref="Q5:Q68" si="12">IF(P5&lt;H5,H5,0)</f>
        <v>0</v>
      </c>
      <c r="R5" s="29">
        <f t="shared" ref="R5:R68" si="13">IF($I5+$M5+$Q5=0,P5,0)</f>
        <v>0</v>
      </c>
      <c r="S5" s="29">
        <f t="shared" si="5"/>
        <v>0</v>
      </c>
      <c r="T5" s="29">
        <f t="shared" ref="T5:T68" si="14">$I5+$M5+$Q5+S5</f>
        <v>0</v>
      </c>
      <c r="U5">
        <f t="shared" ref="U5:U68" si="15">IF(T5&lt;H5,H5,0)</f>
        <v>0</v>
      </c>
      <c r="V5" s="29">
        <f t="shared" ref="V5:V68" si="16">IF($I5+$M5+$Q5+U5=0,T5,0)</f>
        <v>0</v>
      </c>
      <c r="W5" s="29">
        <f t="shared" si="6"/>
        <v>0</v>
      </c>
      <c r="X5" s="29">
        <f t="shared" ref="X5:X68" si="17">$I5+$M5+$Q5+$U5+W5</f>
        <v>0</v>
      </c>
      <c r="Y5">
        <f t="shared" ref="Y5:Y68" si="18">IF(X5&lt;H5,H5,0)</f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allocations'!$A$1:$L$317,4,FALSE)</f>
        <v>0</v>
      </c>
      <c r="E6" s="31">
        <f>VLOOKUP(B6,'Initial adjusted formula count'!$A$1:$P$317,12,FALSE)</f>
        <v>0.18181818181818199</v>
      </c>
      <c r="F6">
        <f>VLOOKUP(B6,'Model allocations'!$A$1:$L$317,9,FALSE)</f>
        <v>4211.8875827849861</v>
      </c>
      <c r="G6" s="30">
        <f t="shared" si="7"/>
        <v>0.9</v>
      </c>
      <c r="H6">
        <f t="shared" si="8"/>
        <v>0</v>
      </c>
      <c r="I6">
        <f t="shared" si="0"/>
        <v>0</v>
      </c>
      <c r="J6" s="48">
        <f t="shared" si="1"/>
        <v>4211.8875827849861</v>
      </c>
      <c r="K6">
        <f t="shared" si="2"/>
        <v>4208.3263987214032</v>
      </c>
      <c r="L6">
        <f t="shared" si="9"/>
        <v>4208.3263987214032</v>
      </c>
      <c r="M6">
        <f t="shared" si="3"/>
        <v>0</v>
      </c>
      <c r="N6" s="29">
        <f t="shared" si="10"/>
        <v>4208.3263987214032</v>
      </c>
      <c r="O6" s="29">
        <f t="shared" si="4"/>
        <v>4207.239576282991</v>
      </c>
      <c r="P6" s="29">
        <f t="shared" si="11"/>
        <v>4207.239576282991</v>
      </c>
      <c r="Q6">
        <f t="shared" si="12"/>
        <v>0</v>
      </c>
      <c r="R6" s="29">
        <f t="shared" si="13"/>
        <v>4207.239576282991</v>
      </c>
      <c r="S6" s="29">
        <f t="shared" si="5"/>
        <v>4207.239576282991</v>
      </c>
      <c r="T6" s="29">
        <f t="shared" si="14"/>
        <v>4207.239576282991</v>
      </c>
      <c r="U6">
        <f t="shared" si="15"/>
        <v>0</v>
      </c>
      <c r="V6" s="29">
        <f t="shared" si="16"/>
        <v>4207.239576282991</v>
      </c>
      <c r="W6" s="29">
        <f t="shared" si="6"/>
        <v>4207.239576282991</v>
      </c>
      <c r="X6" s="29">
        <f t="shared" si="17"/>
        <v>4207.239576282991</v>
      </c>
      <c r="Y6">
        <f t="shared" si="18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allocations'!$A$1:$L$317,4,FALSE)</f>
        <v>0</v>
      </c>
      <c r="E7" s="31">
        <f>VLOOKUP(B7,'Initial adjusted formula count'!$A$1:$P$317,12,FALSE)</f>
        <v>8.5037674919268003E-2</v>
      </c>
      <c r="F7">
        <f>VLOOKUP(B7,'Model allocations'!$A$1:$L$317,9,FALSE)</f>
        <v>0</v>
      </c>
      <c r="G7" s="30">
        <f t="shared" si="7"/>
        <v>0.85</v>
      </c>
      <c r="H7">
        <f t="shared" si="8"/>
        <v>0</v>
      </c>
      <c r="I7">
        <f t="shared" si="0"/>
        <v>0</v>
      </c>
      <c r="J7" s="48">
        <f t="shared" si="1"/>
        <v>0</v>
      </c>
      <c r="K7">
        <f t="shared" si="2"/>
        <v>0</v>
      </c>
      <c r="L7">
        <f t="shared" si="9"/>
        <v>0</v>
      </c>
      <c r="M7">
        <f t="shared" si="3"/>
        <v>0</v>
      </c>
      <c r="N7" s="29">
        <f t="shared" si="10"/>
        <v>0</v>
      </c>
      <c r="O7" s="29">
        <f t="shared" si="4"/>
        <v>0</v>
      </c>
      <c r="P7" s="29">
        <f t="shared" si="11"/>
        <v>0</v>
      </c>
      <c r="Q7">
        <f t="shared" si="12"/>
        <v>0</v>
      </c>
      <c r="R7" s="29">
        <f t="shared" si="13"/>
        <v>0</v>
      </c>
      <c r="S7" s="29">
        <f t="shared" si="5"/>
        <v>0</v>
      </c>
      <c r="T7" s="29">
        <f t="shared" si="14"/>
        <v>0</v>
      </c>
      <c r="U7">
        <f t="shared" si="15"/>
        <v>0</v>
      </c>
      <c r="V7" s="29">
        <f t="shared" si="16"/>
        <v>0</v>
      </c>
      <c r="W7" s="29">
        <f t="shared" si="6"/>
        <v>0</v>
      </c>
      <c r="X7" s="29">
        <f t="shared" si="17"/>
        <v>0</v>
      </c>
      <c r="Y7">
        <f t="shared" si="18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allocations'!$A$1:$L$317,4,FALSE)</f>
        <v>0</v>
      </c>
      <c r="E8" s="31">
        <f>VLOOKUP(B8,'Initial adjusted formula count'!$A$1:$P$317,12,FALSE)</f>
        <v>9.0970124202752606E-2</v>
      </c>
      <c r="F8">
        <f>VLOOKUP(B8,'Model allocations'!$A$1:$L$317,9,FALSE)</f>
        <v>0</v>
      </c>
      <c r="G8" s="30">
        <f t="shared" si="7"/>
        <v>0.85</v>
      </c>
      <c r="H8">
        <f t="shared" si="8"/>
        <v>0</v>
      </c>
      <c r="I8">
        <f t="shared" si="0"/>
        <v>0</v>
      </c>
      <c r="J8" s="48">
        <f t="shared" si="1"/>
        <v>0</v>
      </c>
      <c r="K8">
        <f t="shared" si="2"/>
        <v>0</v>
      </c>
      <c r="L8">
        <f t="shared" si="9"/>
        <v>0</v>
      </c>
      <c r="M8">
        <f t="shared" si="3"/>
        <v>0</v>
      </c>
      <c r="N8" s="29">
        <f t="shared" si="10"/>
        <v>0</v>
      </c>
      <c r="O8" s="29">
        <f t="shared" si="4"/>
        <v>0</v>
      </c>
      <c r="P8" s="29">
        <f t="shared" si="11"/>
        <v>0</v>
      </c>
      <c r="Q8">
        <f t="shared" si="12"/>
        <v>0</v>
      </c>
      <c r="R8" s="29">
        <f t="shared" si="13"/>
        <v>0</v>
      </c>
      <c r="S8" s="29">
        <f t="shared" si="5"/>
        <v>0</v>
      </c>
      <c r="T8" s="29">
        <f t="shared" si="14"/>
        <v>0</v>
      </c>
      <c r="U8">
        <f t="shared" si="15"/>
        <v>0</v>
      </c>
      <c r="V8" s="29">
        <f t="shared" si="16"/>
        <v>0</v>
      </c>
      <c r="W8" s="29">
        <f t="shared" si="6"/>
        <v>0</v>
      </c>
      <c r="X8" s="29">
        <f t="shared" si="17"/>
        <v>0</v>
      </c>
      <c r="Y8">
        <f t="shared" si="18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allocations'!$A$1:$L$317,4,FALSE)</f>
        <v>0</v>
      </c>
      <c r="E9" s="31">
        <f>VLOOKUP(B9,'Initial adjusted formula count'!$A$1:$P$317,12,FALSE)</f>
        <v>5.72597137014315E-2</v>
      </c>
      <c r="F9">
        <f>VLOOKUP(B9,'Model allocations'!$A$1:$L$317,9,FALSE)</f>
        <v>0</v>
      </c>
      <c r="G9" s="30">
        <f t="shared" si="7"/>
        <v>0.85</v>
      </c>
      <c r="H9">
        <f t="shared" si="8"/>
        <v>0</v>
      </c>
      <c r="I9">
        <f t="shared" si="0"/>
        <v>0</v>
      </c>
      <c r="J9">
        <f t="shared" si="1"/>
        <v>0</v>
      </c>
      <c r="K9">
        <f t="shared" si="2"/>
        <v>0</v>
      </c>
      <c r="L9">
        <f t="shared" si="9"/>
        <v>0</v>
      </c>
      <c r="M9">
        <f t="shared" si="3"/>
        <v>0</v>
      </c>
      <c r="N9" s="29">
        <f t="shared" si="10"/>
        <v>0</v>
      </c>
      <c r="O9" s="29">
        <f t="shared" si="4"/>
        <v>0</v>
      </c>
      <c r="P9" s="29">
        <f t="shared" si="11"/>
        <v>0</v>
      </c>
      <c r="Q9">
        <f t="shared" si="12"/>
        <v>0</v>
      </c>
      <c r="R9" s="29">
        <f t="shared" si="13"/>
        <v>0</v>
      </c>
      <c r="S9" s="29">
        <f t="shared" si="5"/>
        <v>0</v>
      </c>
      <c r="T9" s="29">
        <f t="shared" si="14"/>
        <v>0</v>
      </c>
      <c r="U9">
        <f t="shared" si="15"/>
        <v>0</v>
      </c>
      <c r="V9" s="29">
        <f t="shared" si="16"/>
        <v>0</v>
      </c>
      <c r="W9" s="29">
        <f t="shared" si="6"/>
        <v>0</v>
      </c>
      <c r="X9" s="29">
        <f t="shared" si="17"/>
        <v>0</v>
      </c>
      <c r="Y9">
        <f t="shared" si="18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allocations'!$A$1:$L$317,4,FALSE)</f>
        <v>684598.32259142061</v>
      </c>
      <c r="E10" s="31">
        <f>VLOOKUP(B10,'Initial adjusted formula count'!$A$1:$P$317,12,FALSE)</f>
        <v>0.15617690257302899</v>
      </c>
      <c r="F10">
        <f>VLOOKUP(B10,'Model allocations'!$A$1:$L$317,9,FALSE)</f>
        <v>671796.06945420557</v>
      </c>
      <c r="G10" s="30">
        <f t="shared" si="7"/>
        <v>0.9</v>
      </c>
      <c r="H10">
        <f t="shared" si="8"/>
        <v>616138.49033227854</v>
      </c>
      <c r="I10">
        <f t="shared" si="0"/>
        <v>0</v>
      </c>
      <c r="J10">
        <f t="shared" si="1"/>
        <v>671796.06945420557</v>
      </c>
      <c r="K10">
        <f t="shared" si="2"/>
        <v>671228.0605960642</v>
      </c>
      <c r="L10">
        <f t="shared" si="9"/>
        <v>671228.0605960642</v>
      </c>
      <c r="M10">
        <f t="shared" si="3"/>
        <v>0</v>
      </c>
      <c r="N10" s="29">
        <f t="shared" si="10"/>
        <v>671228.0605960642</v>
      </c>
      <c r="O10" s="29">
        <f t="shared" si="4"/>
        <v>671054.71241713746</v>
      </c>
      <c r="P10" s="29">
        <f t="shared" si="11"/>
        <v>671054.71241713746</v>
      </c>
      <c r="Q10">
        <f t="shared" si="12"/>
        <v>0</v>
      </c>
      <c r="R10" s="29">
        <f t="shared" si="13"/>
        <v>671054.71241713746</v>
      </c>
      <c r="S10" s="29">
        <f t="shared" si="5"/>
        <v>671054.71241713746</v>
      </c>
      <c r="T10" s="29">
        <f t="shared" si="14"/>
        <v>671054.71241713746</v>
      </c>
      <c r="U10">
        <f t="shared" si="15"/>
        <v>0</v>
      </c>
      <c r="V10" s="29">
        <f t="shared" si="16"/>
        <v>671054.71241713746</v>
      </c>
      <c r="W10" s="29">
        <f t="shared" si="6"/>
        <v>671054.71241713746</v>
      </c>
      <c r="X10" s="29">
        <f t="shared" si="17"/>
        <v>671054.71241713746</v>
      </c>
      <c r="Y10">
        <f t="shared" si="18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allocations'!$A$1:$L$317,4,FALSE)</f>
        <v>0</v>
      </c>
      <c r="E11" s="31">
        <f>VLOOKUP(B11,'Initial adjusted formula count'!$A$1:$P$317,12,FALSE)</f>
        <v>3.8016112789526699E-2</v>
      </c>
      <c r="F11">
        <f>VLOOKUP(B11,'Model allocations'!$A$1:$L$317,9,FALSE)</f>
        <v>0</v>
      </c>
      <c r="G11" s="30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29">
        <f t="shared" si="10"/>
        <v>0</v>
      </c>
      <c r="O11" s="29">
        <f t="shared" si="4"/>
        <v>0</v>
      </c>
      <c r="P11" s="29">
        <f t="shared" si="11"/>
        <v>0</v>
      </c>
      <c r="Q11">
        <f t="shared" si="12"/>
        <v>0</v>
      </c>
      <c r="R11" s="29">
        <f t="shared" si="13"/>
        <v>0</v>
      </c>
      <c r="S11" s="29">
        <f t="shared" si="5"/>
        <v>0</v>
      </c>
      <c r="T11" s="29">
        <f t="shared" si="14"/>
        <v>0</v>
      </c>
      <c r="U11">
        <f t="shared" si="15"/>
        <v>0</v>
      </c>
      <c r="V11" s="29">
        <f t="shared" si="16"/>
        <v>0</v>
      </c>
      <c r="W11" s="29">
        <f t="shared" si="6"/>
        <v>0</v>
      </c>
      <c r="X11" s="29">
        <f t="shared" si="17"/>
        <v>0</v>
      </c>
      <c r="Y11">
        <f t="shared" si="18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allocations'!$A$1:$L$317,4,FALSE)</f>
        <v>0</v>
      </c>
      <c r="E12" s="31">
        <f>VLOOKUP(B12,'Initial adjusted formula count'!$A$1:$P$317,12,FALSE)</f>
        <v>5.5959849435382701E-2</v>
      </c>
      <c r="F12">
        <f>VLOOKUP(B12,'Model allocations'!$A$1:$L$317,9,FALSE)</f>
        <v>0</v>
      </c>
      <c r="G12" s="30">
        <f t="shared" si="7"/>
        <v>0.85</v>
      </c>
      <c r="H12">
        <f t="shared" si="8"/>
        <v>0</v>
      </c>
      <c r="I12">
        <f t="shared" si="0"/>
        <v>0</v>
      </c>
      <c r="J12">
        <f t="shared" si="1"/>
        <v>0</v>
      </c>
      <c r="K12">
        <f t="shared" si="2"/>
        <v>0</v>
      </c>
      <c r="L12">
        <f t="shared" si="9"/>
        <v>0</v>
      </c>
      <c r="M12">
        <f t="shared" si="3"/>
        <v>0</v>
      </c>
      <c r="N12" s="29">
        <f t="shared" si="10"/>
        <v>0</v>
      </c>
      <c r="O12" s="29">
        <f t="shared" si="4"/>
        <v>0</v>
      </c>
      <c r="P12" s="29">
        <f t="shared" si="11"/>
        <v>0</v>
      </c>
      <c r="Q12">
        <f t="shared" si="12"/>
        <v>0</v>
      </c>
      <c r="R12" s="29">
        <f t="shared" si="13"/>
        <v>0</v>
      </c>
      <c r="S12" s="29">
        <f t="shared" si="5"/>
        <v>0</v>
      </c>
      <c r="T12" s="29">
        <f t="shared" si="14"/>
        <v>0</v>
      </c>
      <c r="U12">
        <f t="shared" si="15"/>
        <v>0</v>
      </c>
      <c r="V12" s="29">
        <f t="shared" si="16"/>
        <v>0</v>
      </c>
      <c r="W12" s="29">
        <f t="shared" si="6"/>
        <v>0</v>
      </c>
      <c r="X12" s="29">
        <f t="shared" si="17"/>
        <v>0</v>
      </c>
      <c r="Y12">
        <f t="shared" si="18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allocations'!$A$1:$L$317,4,FALSE)</f>
        <v>0</v>
      </c>
      <c r="E13" s="31">
        <f>VLOOKUP(B13,'Initial adjusted formula count'!$A$1:$P$317,12,FALSE)</f>
        <v>6.4986442636795996E-2</v>
      </c>
      <c r="F13">
        <f>VLOOKUP(B13,'Model allocations'!$A$1:$L$317,9,FALSE)</f>
        <v>0</v>
      </c>
      <c r="G13" s="30">
        <f t="shared" si="7"/>
        <v>0.85</v>
      </c>
      <c r="H13">
        <f t="shared" si="8"/>
        <v>0</v>
      </c>
      <c r="I13">
        <f t="shared" si="0"/>
        <v>0</v>
      </c>
      <c r="J13">
        <f t="shared" si="1"/>
        <v>0</v>
      </c>
      <c r="K13">
        <f t="shared" si="2"/>
        <v>0</v>
      </c>
      <c r="L13">
        <f t="shared" si="9"/>
        <v>0</v>
      </c>
      <c r="M13">
        <f t="shared" si="3"/>
        <v>0</v>
      </c>
      <c r="N13" s="29">
        <f t="shared" si="10"/>
        <v>0</v>
      </c>
      <c r="O13" s="29">
        <f t="shared" si="4"/>
        <v>0</v>
      </c>
      <c r="P13" s="29">
        <f t="shared" si="11"/>
        <v>0</v>
      </c>
      <c r="Q13">
        <f t="shared" si="12"/>
        <v>0</v>
      </c>
      <c r="R13" s="29">
        <f t="shared" si="13"/>
        <v>0</v>
      </c>
      <c r="S13" s="29">
        <f t="shared" si="5"/>
        <v>0</v>
      </c>
      <c r="T13" s="29">
        <f t="shared" si="14"/>
        <v>0</v>
      </c>
      <c r="U13">
        <f t="shared" si="15"/>
        <v>0</v>
      </c>
      <c r="V13" s="29">
        <f t="shared" si="16"/>
        <v>0</v>
      </c>
      <c r="W13" s="29">
        <f t="shared" si="6"/>
        <v>0</v>
      </c>
      <c r="X13" s="29">
        <f t="shared" si="17"/>
        <v>0</v>
      </c>
      <c r="Y13">
        <f t="shared" si="18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allocations'!$A$1:$L$317,4,FALSE)</f>
        <v>0</v>
      </c>
      <c r="E14" s="31">
        <f>VLOOKUP(B14,'Initial adjusted formula count'!$A$1:$P$317,12,FALSE)</f>
        <v>0.107857707696931</v>
      </c>
      <c r="F14">
        <f>VLOOKUP(B14,'Model allocations'!$A$1:$L$317,9,FALSE)</f>
        <v>0</v>
      </c>
      <c r="G14" s="30">
        <f t="shared" si="7"/>
        <v>0.85</v>
      </c>
      <c r="H14">
        <f t="shared" si="8"/>
        <v>0</v>
      </c>
      <c r="I14">
        <f t="shared" si="0"/>
        <v>0</v>
      </c>
      <c r="J14">
        <f t="shared" si="1"/>
        <v>0</v>
      </c>
      <c r="K14">
        <f t="shared" si="2"/>
        <v>0</v>
      </c>
      <c r="L14">
        <f t="shared" si="9"/>
        <v>0</v>
      </c>
      <c r="M14">
        <f t="shared" si="3"/>
        <v>0</v>
      </c>
      <c r="N14" s="29">
        <f t="shared" si="10"/>
        <v>0</v>
      </c>
      <c r="O14" s="29">
        <f t="shared" si="4"/>
        <v>0</v>
      </c>
      <c r="P14" s="29">
        <f t="shared" si="11"/>
        <v>0</v>
      </c>
      <c r="Q14">
        <f t="shared" si="12"/>
        <v>0</v>
      </c>
      <c r="R14" s="29">
        <f t="shared" si="13"/>
        <v>0</v>
      </c>
      <c r="S14" s="29">
        <f t="shared" si="5"/>
        <v>0</v>
      </c>
      <c r="T14" s="29">
        <f t="shared" si="14"/>
        <v>0</v>
      </c>
      <c r="U14">
        <f t="shared" si="15"/>
        <v>0</v>
      </c>
      <c r="V14" s="29">
        <f t="shared" si="16"/>
        <v>0</v>
      </c>
      <c r="W14" s="29">
        <f t="shared" si="6"/>
        <v>0</v>
      </c>
      <c r="X14" s="29">
        <f t="shared" si="17"/>
        <v>0</v>
      </c>
      <c r="Y14">
        <f t="shared" si="18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allocations'!$A$1:$L$317,4,FALSE)</f>
        <v>0</v>
      </c>
      <c r="E15" s="31">
        <f>VLOOKUP(B15,'Initial adjusted formula count'!$A$1:$P$317,12,FALSE)</f>
        <v>0.125</v>
      </c>
      <c r="F15">
        <f>VLOOKUP(B15,'Model allocations'!$A$1:$L$317,9,FALSE)</f>
        <v>0</v>
      </c>
      <c r="G15" s="30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29">
        <f t="shared" si="10"/>
        <v>0</v>
      </c>
      <c r="O15" s="29">
        <f t="shared" si="4"/>
        <v>0</v>
      </c>
      <c r="P15" s="29">
        <f t="shared" si="11"/>
        <v>0</v>
      </c>
      <c r="Q15">
        <f t="shared" si="12"/>
        <v>0</v>
      </c>
      <c r="R15" s="29">
        <f t="shared" si="13"/>
        <v>0</v>
      </c>
      <c r="S15" s="29">
        <f t="shared" si="5"/>
        <v>0</v>
      </c>
      <c r="T15" s="29">
        <f t="shared" si="14"/>
        <v>0</v>
      </c>
      <c r="U15">
        <f t="shared" si="15"/>
        <v>0</v>
      </c>
      <c r="V15" s="29">
        <f t="shared" si="16"/>
        <v>0</v>
      </c>
      <c r="W15" s="29">
        <f t="shared" si="6"/>
        <v>0</v>
      </c>
      <c r="X15" s="29">
        <f t="shared" si="17"/>
        <v>0</v>
      </c>
      <c r="Y15">
        <f t="shared" si="18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allocations'!$A$1:$L$317,4,FALSE)</f>
        <v>0</v>
      </c>
      <c r="E16" s="31">
        <f>VLOOKUP(B16,'Initial adjusted formula count'!$A$1:$P$317,12,FALSE)</f>
        <v>0.103202993297973</v>
      </c>
      <c r="F16">
        <f>VLOOKUP(B16,'Model allocations'!$A$1:$L$317,9,FALSE)</f>
        <v>0</v>
      </c>
      <c r="G16" s="30">
        <f t="shared" si="7"/>
        <v>0.85</v>
      </c>
      <c r="H16">
        <f t="shared" si="8"/>
        <v>0</v>
      </c>
      <c r="I16">
        <f t="shared" si="0"/>
        <v>0</v>
      </c>
      <c r="J16">
        <f t="shared" si="1"/>
        <v>0</v>
      </c>
      <c r="K16">
        <f t="shared" si="2"/>
        <v>0</v>
      </c>
      <c r="L16">
        <f t="shared" si="9"/>
        <v>0</v>
      </c>
      <c r="M16">
        <f t="shared" si="3"/>
        <v>0</v>
      </c>
      <c r="N16" s="29">
        <f t="shared" si="10"/>
        <v>0</v>
      </c>
      <c r="O16" s="29">
        <f t="shared" si="4"/>
        <v>0</v>
      </c>
      <c r="P16" s="29">
        <f t="shared" si="11"/>
        <v>0</v>
      </c>
      <c r="Q16">
        <f t="shared" si="12"/>
        <v>0</v>
      </c>
      <c r="R16" s="29">
        <f t="shared" si="13"/>
        <v>0</v>
      </c>
      <c r="S16" s="29">
        <f t="shared" si="5"/>
        <v>0</v>
      </c>
      <c r="T16" s="29">
        <f t="shared" si="14"/>
        <v>0</v>
      </c>
      <c r="U16">
        <f t="shared" si="15"/>
        <v>0</v>
      </c>
      <c r="V16" s="29">
        <f t="shared" si="16"/>
        <v>0</v>
      </c>
      <c r="W16" s="29">
        <f t="shared" si="6"/>
        <v>0</v>
      </c>
      <c r="X16" s="29">
        <f t="shared" si="17"/>
        <v>0</v>
      </c>
      <c r="Y16">
        <f t="shared" si="18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allocations'!$A$1:$L$317,4,FALSE)</f>
        <v>2856.5758939464172</v>
      </c>
      <c r="E17" s="31">
        <f>VLOOKUP(B17,'Initial adjusted formula count'!$A$1:$P$317,12,FALSE)</f>
        <v>0.113924050632911</v>
      </c>
      <c r="F17">
        <f>VLOOKUP(B17,'Model allocations'!$A$1:$L$317,9,FALSE)</f>
        <v>2428.0895098544547</v>
      </c>
      <c r="G17" s="30">
        <f t="shared" si="7"/>
        <v>0.85</v>
      </c>
      <c r="H17">
        <f t="shared" si="8"/>
        <v>2428.0895098544547</v>
      </c>
      <c r="I17">
        <f t="shared" si="0"/>
        <v>0</v>
      </c>
      <c r="J17">
        <f t="shared" si="1"/>
        <v>2428.0895098544547</v>
      </c>
      <c r="K17">
        <f t="shared" si="2"/>
        <v>2426.0365410851105</v>
      </c>
      <c r="L17">
        <f t="shared" si="9"/>
        <v>2426.0365410851105</v>
      </c>
      <c r="M17">
        <f t="shared" si="3"/>
        <v>2428.0895098544547</v>
      </c>
      <c r="N17" s="29">
        <f t="shared" si="10"/>
        <v>0</v>
      </c>
      <c r="O17" s="29">
        <f t="shared" si="4"/>
        <v>0</v>
      </c>
      <c r="P17" s="29">
        <f t="shared" si="11"/>
        <v>2428.0895098544547</v>
      </c>
      <c r="Q17">
        <f t="shared" si="12"/>
        <v>0</v>
      </c>
      <c r="R17" s="29">
        <f t="shared" si="13"/>
        <v>0</v>
      </c>
      <c r="S17" s="29">
        <f t="shared" si="5"/>
        <v>0</v>
      </c>
      <c r="T17" s="29">
        <f t="shared" si="14"/>
        <v>2428.0895098544547</v>
      </c>
      <c r="U17">
        <f t="shared" si="15"/>
        <v>0</v>
      </c>
      <c r="V17" s="29">
        <f t="shared" si="16"/>
        <v>0</v>
      </c>
      <c r="W17" s="29">
        <f t="shared" si="6"/>
        <v>0</v>
      </c>
      <c r="X17" s="29">
        <f t="shared" si="17"/>
        <v>2428.0895098544547</v>
      </c>
      <c r="Y17">
        <f t="shared" si="18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allocations'!$A$1:$L$317,4,FALSE)</f>
        <v>69964.94958025057</v>
      </c>
      <c r="E18" s="31">
        <f>VLOOKUP(B18,'Initial adjusted formula count'!$A$1:$P$317,12,FALSE)</f>
        <v>0.12424364663170601</v>
      </c>
      <c r="F18">
        <f>VLOOKUP(B18,'Model allocations'!$A$1:$L$317,9,FALSE)</f>
        <v>59470.207143212981</v>
      </c>
      <c r="G18" s="30">
        <f t="shared" si="7"/>
        <v>0.85</v>
      </c>
      <c r="H18">
        <f t="shared" si="8"/>
        <v>59470.207143212981</v>
      </c>
      <c r="I18">
        <f t="shared" si="0"/>
        <v>0</v>
      </c>
      <c r="J18">
        <f t="shared" si="1"/>
        <v>59470.207143212981</v>
      </c>
      <c r="K18">
        <f t="shared" si="2"/>
        <v>59419.92461554012</v>
      </c>
      <c r="L18">
        <f t="shared" si="9"/>
        <v>59419.92461554012</v>
      </c>
      <c r="M18">
        <f t="shared" si="3"/>
        <v>59470.207143212981</v>
      </c>
      <c r="N18" s="29">
        <f t="shared" si="10"/>
        <v>0</v>
      </c>
      <c r="O18" s="29">
        <f t="shared" si="4"/>
        <v>0</v>
      </c>
      <c r="P18" s="29">
        <f t="shared" si="11"/>
        <v>59470.207143212981</v>
      </c>
      <c r="Q18">
        <f t="shared" si="12"/>
        <v>0</v>
      </c>
      <c r="R18" s="29">
        <f t="shared" si="13"/>
        <v>0</v>
      </c>
      <c r="S18" s="29">
        <f t="shared" si="5"/>
        <v>0</v>
      </c>
      <c r="T18" s="29">
        <f t="shared" si="14"/>
        <v>59470.207143212981</v>
      </c>
      <c r="U18">
        <f t="shared" si="15"/>
        <v>0</v>
      </c>
      <c r="V18" s="29">
        <f t="shared" si="16"/>
        <v>0</v>
      </c>
      <c r="W18" s="29">
        <f t="shared" si="6"/>
        <v>0</v>
      </c>
      <c r="X18" s="29">
        <f t="shared" si="17"/>
        <v>59470.207143212981</v>
      </c>
      <c r="Y18">
        <f t="shared" si="18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allocations'!$A$1:$L$317,4,FALSE)</f>
        <v>3831.1206422324799</v>
      </c>
      <c r="E19" s="31">
        <f>VLOOKUP(B19,'Initial adjusted formula count'!$A$1:$P$317,12,FALSE)</f>
        <v>0.100917431192661</v>
      </c>
      <c r="F19">
        <f>VLOOKUP(B19,'Model allocations'!$A$1:$L$317,9,FALSE)</f>
        <v>3256.4525458976077</v>
      </c>
      <c r="G19" s="30">
        <f t="shared" si="7"/>
        <v>0.85</v>
      </c>
      <c r="H19">
        <f t="shared" si="8"/>
        <v>3256.4525458976077</v>
      </c>
      <c r="I19">
        <f t="shared" si="0"/>
        <v>0</v>
      </c>
      <c r="J19">
        <f t="shared" si="1"/>
        <v>3256.4525458976077</v>
      </c>
      <c r="K19">
        <f t="shared" si="2"/>
        <v>3253.6991896689979</v>
      </c>
      <c r="L19">
        <f t="shared" si="9"/>
        <v>3253.6991896689979</v>
      </c>
      <c r="M19">
        <f t="shared" si="3"/>
        <v>3256.4525458976077</v>
      </c>
      <c r="N19" s="29">
        <f t="shared" si="10"/>
        <v>0</v>
      </c>
      <c r="O19" s="29">
        <f t="shared" si="4"/>
        <v>0</v>
      </c>
      <c r="P19" s="29">
        <f t="shared" si="11"/>
        <v>3256.4525458976077</v>
      </c>
      <c r="Q19">
        <f t="shared" si="12"/>
        <v>0</v>
      </c>
      <c r="R19" s="29">
        <f t="shared" si="13"/>
        <v>0</v>
      </c>
      <c r="S19" s="29">
        <f t="shared" si="5"/>
        <v>0</v>
      </c>
      <c r="T19" s="29">
        <f t="shared" si="14"/>
        <v>3256.4525458976077</v>
      </c>
      <c r="U19">
        <f t="shared" si="15"/>
        <v>0</v>
      </c>
      <c r="V19" s="29">
        <f t="shared" si="16"/>
        <v>0</v>
      </c>
      <c r="W19" s="29">
        <f t="shared" si="6"/>
        <v>0</v>
      </c>
      <c r="X19" s="29">
        <f t="shared" si="17"/>
        <v>3256.4525458976077</v>
      </c>
      <c r="Y19">
        <f t="shared" si="18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allocations'!$A$1:$L$317,4,FALSE)</f>
        <v>215825.73013537956</v>
      </c>
      <c r="E20" s="31">
        <f>VLOOKUP(B20,'Initial adjusted formula count'!$A$1:$P$317,12,FALSE)</f>
        <v>0.162490957352972</v>
      </c>
      <c r="F20">
        <f>VLOOKUP(B20,'Model allocations'!$A$1:$L$317,9,FALSE)</f>
        <v>192937.18298741101</v>
      </c>
      <c r="G20" s="30">
        <f t="shared" si="7"/>
        <v>0.9</v>
      </c>
      <c r="H20">
        <f t="shared" si="8"/>
        <v>194243.15712184162</v>
      </c>
      <c r="I20">
        <f t="shared" si="0"/>
        <v>194243.15712184162</v>
      </c>
      <c r="J20">
        <f t="shared" si="1"/>
        <v>0</v>
      </c>
      <c r="K20">
        <f t="shared" si="2"/>
        <v>0</v>
      </c>
      <c r="L20">
        <f t="shared" si="9"/>
        <v>194243.15712184162</v>
      </c>
      <c r="M20">
        <f t="shared" si="3"/>
        <v>0</v>
      </c>
      <c r="N20" s="29">
        <f t="shared" si="10"/>
        <v>0</v>
      </c>
      <c r="O20" s="29">
        <f t="shared" si="4"/>
        <v>0</v>
      </c>
      <c r="P20" s="29">
        <f t="shared" si="11"/>
        <v>194243.15712184162</v>
      </c>
      <c r="Q20">
        <f t="shared" si="12"/>
        <v>0</v>
      </c>
      <c r="R20" s="29">
        <f t="shared" si="13"/>
        <v>0</v>
      </c>
      <c r="S20" s="29">
        <f t="shared" si="5"/>
        <v>0</v>
      </c>
      <c r="T20" s="29">
        <f t="shared" si="14"/>
        <v>194243.15712184162</v>
      </c>
      <c r="U20">
        <f t="shared" si="15"/>
        <v>0</v>
      </c>
      <c r="V20" s="29">
        <f t="shared" si="16"/>
        <v>0</v>
      </c>
      <c r="W20" s="29">
        <f t="shared" si="6"/>
        <v>0</v>
      </c>
      <c r="X20" s="29">
        <f t="shared" si="17"/>
        <v>194243.15712184162</v>
      </c>
      <c r="Y20">
        <f t="shared" si="18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allocations'!$A$1:$L$317,4,FALSE)</f>
        <v>54229.157445164499</v>
      </c>
      <c r="E21" s="31">
        <f>VLOOKUP(B21,'Initial adjusted formula count'!$A$1:$P$317,12,FALSE)</f>
        <v>0.255005268703899</v>
      </c>
      <c r="F21">
        <f>VLOOKUP(B21,'Model allocations'!$A$1:$L$317,9,FALSE)</f>
        <v>56626.488612998146</v>
      </c>
      <c r="G21" s="30">
        <f t="shared" si="7"/>
        <v>0.9</v>
      </c>
      <c r="H21">
        <f t="shared" si="8"/>
        <v>48806.241700648054</v>
      </c>
      <c r="I21">
        <f t="shared" si="0"/>
        <v>0</v>
      </c>
      <c r="J21">
        <f t="shared" si="1"/>
        <v>56626.488612998146</v>
      </c>
      <c r="K21">
        <f t="shared" si="2"/>
        <v>56578.61047169887</v>
      </c>
      <c r="L21">
        <f t="shared" si="9"/>
        <v>56578.61047169887</v>
      </c>
      <c r="M21">
        <f t="shared" si="3"/>
        <v>0</v>
      </c>
      <c r="N21" s="29">
        <f t="shared" si="10"/>
        <v>56578.61047169887</v>
      </c>
      <c r="O21" s="29">
        <f t="shared" si="4"/>
        <v>56563.998747804668</v>
      </c>
      <c r="P21" s="29">
        <f t="shared" si="11"/>
        <v>56563.998747804668</v>
      </c>
      <c r="Q21">
        <f t="shared" si="12"/>
        <v>0</v>
      </c>
      <c r="R21" s="29">
        <f t="shared" si="13"/>
        <v>56563.998747804668</v>
      </c>
      <c r="S21" s="29">
        <f t="shared" si="5"/>
        <v>56563.998747804668</v>
      </c>
      <c r="T21" s="29">
        <f t="shared" si="14"/>
        <v>56563.998747804668</v>
      </c>
      <c r="U21">
        <f t="shared" si="15"/>
        <v>0</v>
      </c>
      <c r="V21" s="29">
        <f t="shared" si="16"/>
        <v>56563.998747804668</v>
      </c>
      <c r="W21" s="29">
        <f t="shared" si="6"/>
        <v>56563.998747804668</v>
      </c>
      <c r="X21" s="29">
        <f t="shared" si="17"/>
        <v>56563.998747804668</v>
      </c>
      <c r="Y21">
        <f t="shared" si="18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allocations'!$A$1:$L$317,4,FALSE)</f>
        <v>39577.771047698981</v>
      </c>
      <c r="E22" s="31">
        <f>VLOOKUP(B22,'Initial adjusted formula count'!$A$1:$P$317,12,FALSE)</f>
        <v>0.22727272727272699</v>
      </c>
      <c r="F22">
        <f>VLOOKUP(B22,'Model allocations'!$A$1:$L$317,9,FALSE)</f>
        <v>36269.031962870722</v>
      </c>
      <c r="G22" s="30">
        <f t="shared" si="7"/>
        <v>0.9</v>
      </c>
      <c r="H22">
        <f t="shared" si="8"/>
        <v>35619.993942929083</v>
      </c>
      <c r="I22">
        <f t="shared" si="0"/>
        <v>0</v>
      </c>
      <c r="J22">
        <f t="shared" si="1"/>
        <v>36269.031962870722</v>
      </c>
      <c r="K22">
        <f t="shared" si="2"/>
        <v>36238.366211212087</v>
      </c>
      <c r="L22">
        <f t="shared" si="9"/>
        <v>36238.366211212087</v>
      </c>
      <c r="M22">
        <f t="shared" si="3"/>
        <v>0</v>
      </c>
      <c r="N22" s="29">
        <f t="shared" si="10"/>
        <v>36238.366211212087</v>
      </c>
      <c r="O22" s="29">
        <f t="shared" si="4"/>
        <v>36229.007462436872</v>
      </c>
      <c r="P22" s="29">
        <f t="shared" si="11"/>
        <v>36229.007462436872</v>
      </c>
      <c r="Q22">
        <f t="shared" si="12"/>
        <v>0</v>
      </c>
      <c r="R22" s="29">
        <f t="shared" si="13"/>
        <v>36229.007462436872</v>
      </c>
      <c r="S22" s="29">
        <f t="shared" si="5"/>
        <v>36229.007462436872</v>
      </c>
      <c r="T22" s="29">
        <f t="shared" si="14"/>
        <v>36229.007462436872</v>
      </c>
      <c r="U22">
        <f t="shared" si="15"/>
        <v>0</v>
      </c>
      <c r="V22" s="29">
        <f t="shared" si="16"/>
        <v>36229.007462436872</v>
      </c>
      <c r="W22" s="29">
        <f t="shared" si="6"/>
        <v>36229.007462436872</v>
      </c>
      <c r="X22" s="29">
        <f t="shared" si="17"/>
        <v>36229.007462436872</v>
      </c>
      <c r="Y22">
        <f t="shared" si="18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allocations'!$A$1:$L$317,4,FALSE)</f>
        <v>6120.5810297908465</v>
      </c>
      <c r="E23" s="31">
        <f>VLOOKUP(B23,'Initial adjusted formula count'!$A$1:$P$317,12,FALSE)</f>
        <v>0.223214285714286</v>
      </c>
      <c r="F23">
        <f>VLOOKUP(B23,'Model allocations'!$A$1:$L$317,9,FALSE)</f>
        <v>5849.8438649791478</v>
      </c>
      <c r="G23" s="30">
        <f t="shared" si="7"/>
        <v>0.9</v>
      </c>
      <c r="H23">
        <f t="shared" si="8"/>
        <v>5508.5229268117619</v>
      </c>
      <c r="I23">
        <f t="shared" si="0"/>
        <v>0</v>
      </c>
      <c r="J23">
        <f t="shared" si="1"/>
        <v>5849.8438649791478</v>
      </c>
      <c r="K23">
        <f t="shared" si="2"/>
        <v>5844.8977760019498</v>
      </c>
      <c r="L23">
        <f t="shared" si="9"/>
        <v>5844.8977760019498</v>
      </c>
      <c r="M23">
        <f t="shared" si="3"/>
        <v>0</v>
      </c>
      <c r="N23" s="29">
        <f t="shared" si="10"/>
        <v>5844.8977760019498</v>
      </c>
      <c r="O23" s="29">
        <f t="shared" si="4"/>
        <v>5843.3883003930432</v>
      </c>
      <c r="P23" s="29">
        <f t="shared" si="11"/>
        <v>5843.3883003930432</v>
      </c>
      <c r="Q23">
        <f t="shared" si="12"/>
        <v>0</v>
      </c>
      <c r="R23" s="29">
        <f t="shared" si="13"/>
        <v>5843.3883003930432</v>
      </c>
      <c r="S23" s="29">
        <f t="shared" si="5"/>
        <v>5843.3883003930432</v>
      </c>
      <c r="T23" s="29">
        <f t="shared" si="14"/>
        <v>5843.3883003930432</v>
      </c>
      <c r="U23">
        <f t="shared" si="15"/>
        <v>0</v>
      </c>
      <c r="V23" s="29">
        <f t="shared" si="16"/>
        <v>5843.3883003930432</v>
      </c>
      <c r="W23" s="29">
        <f t="shared" si="6"/>
        <v>5843.3883003930432</v>
      </c>
      <c r="X23" s="29">
        <f t="shared" si="17"/>
        <v>5843.3883003930432</v>
      </c>
      <c r="Y23">
        <f t="shared" si="18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allocations'!$A$1:$L$317,4,FALSE)</f>
        <v>97495.414964399009</v>
      </c>
      <c r="E24" s="31">
        <f>VLOOKUP(B24,'Initial adjusted formula count'!$A$1:$P$317,12,FALSE)</f>
        <v>0.10826288519225501</v>
      </c>
      <c r="F24">
        <f>VLOOKUP(B24,'Model allocations'!$A$1:$L$317,9,FALSE)</f>
        <v>82871.102719739152</v>
      </c>
      <c r="G24" s="30">
        <f t="shared" si="7"/>
        <v>0.85</v>
      </c>
      <c r="H24">
        <f t="shared" si="8"/>
        <v>82871.102719739152</v>
      </c>
      <c r="I24">
        <f t="shared" si="0"/>
        <v>0</v>
      </c>
      <c r="J24">
        <f t="shared" si="1"/>
        <v>82871.102719739152</v>
      </c>
      <c r="K24">
        <f t="shared" si="2"/>
        <v>82801.03455088695</v>
      </c>
      <c r="L24">
        <f t="shared" si="9"/>
        <v>82801.03455088695</v>
      </c>
      <c r="M24">
        <f t="shared" si="3"/>
        <v>82871.102719739152</v>
      </c>
      <c r="N24" s="29">
        <f t="shared" si="10"/>
        <v>0</v>
      </c>
      <c r="O24" s="29">
        <f t="shared" si="4"/>
        <v>0</v>
      </c>
      <c r="P24" s="29">
        <f t="shared" si="11"/>
        <v>82871.102719739152</v>
      </c>
      <c r="Q24">
        <f t="shared" si="12"/>
        <v>0</v>
      </c>
      <c r="R24" s="29">
        <f t="shared" si="13"/>
        <v>0</v>
      </c>
      <c r="S24" s="29">
        <f t="shared" si="5"/>
        <v>0</v>
      </c>
      <c r="T24" s="29">
        <f t="shared" si="14"/>
        <v>82871.102719739152</v>
      </c>
      <c r="U24">
        <f t="shared" si="15"/>
        <v>0</v>
      </c>
      <c r="V24" s="29">
        <f t="shared" si="16"/>
        <v>0</v>
      </c>
      <c r="W24" s="29">
        <f t="shared" si="6"/>
        <v>0</v>
      </c>
      <c r="X24" s="29">
        <f t="shared" si="17"/>
        <v>82871.102719739152</v>
      </c>
      <c r="Y24">
        <f t="shared" si="18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allocations'!$A$1:$L$317,4,FALSE)</f>
        <v>0</v>
      </c>
      <c r="E25" s="31">
        <f>VLOOKUP(B25,'Initial adjusted formula count'!$A$1:$P$317,12,FALSE)</f>
        <v>3.6446469248291598E-2</v>
      </c>
      <c r="F25">
        <f>VLOOKUP(B25,'Model allocations'!$A$1:$L$317,9,FALSE)</f>
        <v>0</v>
      </c>
      <c r="G25" s="30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29">
        <f t="shared" si="10"/>
        <v>0</v>
      </c>
      <c r="O25" s="29">
        <f t="shared" si="4"/>
        <v>0</v>
      </c>
      <c r="P25" s="29">
        <f t="shared" si="11"/>
        <v>0</v>
      </c>
      <c r="Q25">
        <f t="shared" si="12"/>
        <v>0</v>
      </c>
      <c r="R25" s="29">
        <f t="shared" si="13"/>
        <v>0</v>
      </c>
      <c r="S25" s="29">
        <f t="shared" si="5"/>
        <v>0</v>
      </c>
      <c r="T25" s="29">
        <f t="shared" si="14"/>
        <v>0</v>
      </c>
      <c r="U25">
        <f t="shared" si="15"/>
        <v>0</v>
      </c>
      <c r="V25" s="29">
        <f t="shared" si="16"/>
        <v>0</v>
      </c>
      <c r="W25" s="29">
        <f t="shared" si="6"/>
        <v>0</v>
      </c>
      <c r="X25" s="29">
        <f t="shared" si="17"/>
        <v>0</v>
      </c>
      <c r="Y25">
        <f t="shared" si="18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allocations'!$A$1:$L$317,4,FALSE)</f>
        <v>25389.076864317609</v>
      </c>
      <c r="E26" s="31">
        <f>VLOOKUP(B26,'Initial adjusted formula count'!$A$1:$P$317,12,FALSE)</f>
        <v>0.14862385321100899</v>
      </c>
      <c r="F26">
        <f>VLOOKUP(B26,'Model allocations'!$A$1:$L$317,9,FALSE)</f>
        <v>21580.715334669967</v>
      </c>
      <c r="G26" s="30">
        <f t="shared" si="7"/>
        <v>0.85</v>
      </c>
      <c r="H26">
        <f t="shared" si="8"/>
        <v>21580.715334669967</v>
      </c>
      <c r="I26">
        <f t="shared" si="0"/>
        <v>0</v>
      </c>
      <c r="J26">
        <f t="shared" si="1"/>
        <v>21580.715334669967</v>
      </c>
      <c r="K26">
        <f t="shared" si="2"/>
        <v>21562.468670194718</v>
      </c>
      <c r="L26">
        <f t="shared" si="9"/>
        <v>21562.468670194718</v>
      </c>
      <c r="M26">
        <f t="shared" si="3"/>
        <v>21580.715334669967</v>
      </c>
      <c r="N26" s="29">
        <f t="shared" si="10"/>
        <v>0</v>
      </c>
      <c r="O26" s="29">
        <f t="shared" si="4"/>
        <v>0</v>
      </c>
      <c r="P26" s="29">
        <f t="shared" si="11"/>
        <v>21580.715334669967</v>
      </c>
      <c r="Q26">
        <f t="shared" si="12"/>
        <v>0</v>
      </c>
      <c r="R26" s="29">
        <f t="shared" si="13"/>
        <v>0</v>
      </c>
      <c r="S26" s="29">
        <f t="shared" si="5"/>
        <v>0</v>
      </c>
      <c r="T26" s="29">
        <f t="shared" si="14"/>
        <v>21580.715334669967</v>
      </c>
      <c r="U26">
        <f t="shared" si="15"/>
        <v>0</v>
      </c>
      <c r="V26" s="29">
        <f t="shared" si="16"/>
        <v>0</v>
      </c>
      <c r="W26" s="29">
        <f t="shared" si="6"/>
        <v>0</v>
      </c>
      <c r="X26" s="29">
        <f t="shared" si="17"/>
        <v>21580.715334669967</v>
      </c>
      <c r="Y26">
        <f t="shared" si="18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allocations'!$A$1:$L$317,4,FALSE)</f>
        <v>0</v>
      </c>
      <c r="E27" s="31">
        <f>VLOOKUP(B27,'Initial adjusted formula count'!$A$1:$P$317,12,FALSE)</f>
        <v>1.9138755980861202E-2</v>
      </c>
      <c r="F27">
        <f>VLOOKUP(B27,'Model allocations'!$A$1:$L$317,9,FALSE)</f>
        <v>0</v>
      </c>
      <c r="G27" s="30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29">
        <f t="shared" si="10"/>
        <v>0</v>
      </c>
      <c r="O27" s="29">
        <f t="shared" si="4"/>
        <v>0</v>
      </c>
      <c r="P27" s="29">
        <f t="shared" si="11"/>
        <v>0</v>
      </c>
      <c r="Q27">
        <f t="shared" si="12"/>
        <v>0</v>
      </c>
      <c r="R27" s="29">
        <f t="shared" si="13"/>
        <v>0</v>
      </c>
      <c r="S27" s="29">
        <f t="shared" si="5"/>
        <v>0</v>
      </c>
      <c r="T27" s="29">
        <f t="shared" si="14"/>
        <v>0</v>
      </c>
      <c r="U27">
        <f t="shared" si="15"/>
        <v>0</v>
      </c>
      <c r="V27" s="29">
        <f t="shared" si="16"/>
        <v>0</v>
      </c>
      <c r="W27" s="29">
        <f t="shared" si="6"/>
        <v>0</v>
      </c>
      <c r="X27" s="29">
        <f t="shared" si="17"/>
        <v>0</v>
      </c>
      <c r="Y27">
        <f t="shared" si="18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allocations'!$A$1:$L$317,4,FALSE)</f>
        <v>0</v>
      </c>
      <c r="E28" s="31">
        <f>VLOOKUP(B28,'Initial adjusted formula count'!$A$1:$P$317,12,FALSE)</f>
        <v>9.7763578274760399E-2</v>
      </c>
      <c r="F28">
        <f>VLOOKUP(B28,'Model allocations'!$A$1:$L$317,9,FALSE)</f>
        <v>0</v>
      </c>
      <c r="G28" s="30">
        <f t="shared" si="7"/>
        <v>0.85</v>
      </c>
      <c r="H28">
        <f t="shared" si="8"/>
        <v>0</v>
      </c>
      <c r="I28">
        <f t="shared" si="0"/>
        <v>0</v>
      </c>
      <c r="J28">
        <f t="shared" si="1"/>
        <v>0</v>
      </c>
      <c r="K28">
        <f t="shared" si="2"/>
        <v>0</v>
      </c>
      <c r="L28">
        <f t="shared" si="9"/>
        <v>0</v>
      </c>
      <c r="M28">
        <f t="shared" si="3"/>
        <v>0</v>
      </c>
      <c r="N28" s="29">
        <f t="shared" si="10"/>
        <v>0</v>
      </c>
      <c r="O28" s="29">
        <f t="shared" si="4"/>
        <v>0</v>
      </c>
      <c r="P28" s="29">
        <f t="shared" si="11"/>
        <v>0</v>
      </c>
      <c r="Q28">
        <f t="shared" si="12"/>
        <v>0</v>
      </c>
      <c r="R28" s="29">
        <f t="shared" si="13"/>
        <v>0</v>
      </c>
      <c r="S28" s="29">
        <f t="shared" si="5"/>
        <v>0</v>
      </c>
      <c r="T28" s="29">
        <f t="shared" si="14"/>
        <v>0</v>
      </c>
      <c r="U28">
        <f t="shared" si="15"/>
        <v>0</v>
      </c>
      <c r="V28" s="29">
        <f t="shared" si="16"/>
        <v>0</v>
      </c>
      <c r="W28" s="29">
        <f t="shared" si="6"/>
        <v>0</v>
      </c>
      <c r="X28" s="29">
        <f t="shared" si="17"/>
        <v>0</v>
      </c>
      <c r="Y28">
        <f t="shared" si="18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allocations'!$A$1:$L$317,4,FALSE)</f>
        <v>31177.395571271216</v>
      </c>
      <c r="E29" s="31">
        <f>VLOOKUP(B29,'Initial adjusted formula count'!$A$1:$P$317,12,FALSE)</f>
        <v>0.108825481088255</v>
      </c>
      <c r="F29">
        <f>VLOOKUP(B29,'Model allocations'!$A$1:$L$317,9,FALSE)</f>
        <v>26500.786235580534</v>
      </c>
      <c r="G29" s="30">
        <f t="shared" si="7"/>
        <v>0.85</v>
      </c>
      <c r="H29">
        <f t="shared" si="8"/>
        <v>26500.786235580534</v>
      </c>
      <c r="I29">
        <f t="shared" si="0"/>
        <v>0</v>
      </c>
      <c r="J29">
        <f t="shared" si="1"/>
        <v>26500.786235580534</v>
      </c>
      <c r="K29">
        <f t="shared" si="2"/>
        <v>26478.379612478748</v>
      </c>
      <c r="L29">
        <f t="shared" si="9"/>
        <v>26478.379612478748</v>
      </c>
      <c r="M29">
        <f t="shared" si="3"/>
        <v>26500.786235580534</v>
      </c>
      <c r="N29" s="29">
        <f t="shared" si="10"/>
        <v>0</v>
      </c>
      <c r="O29" s="29">
        <f t="shared" si="4"/>
        <v>0</v>
      </c>
      <c r="P29" s="29">
        <f t="shared" si="11"/>
        <v>26500.786235580534</v>
      </c>
      <c r="Q29">
        <f t="shared" si="12"/>
        <v>0</v>
      </c>
      <c r="R29" s="29">
        <f t="shared" si="13"/>
        <v>0</v>
      </c>
      <c r="S29" s="29">
        <f t="shared" si="5"/>
        <v>0</v>
      </c>
      <c r="T29" s="29">
        <f t="shared" si="14"/>
        <v>26500.786235580534</v>
      </c>
      <c r="U29">
        <f t="shared" si="15"/>
        <v>0</v>
      </c>
      <c r="V29" s="29">
        <f t="shared" si="16"/>
        <v>0</v>
      </c>
      <c r="W29" s="29">
        <f t="shared" si="6"/>
        <v>0</v>
      </c>
      <c r="X29" s="29">
        <f t="shared" si="17"/>
        <v>26500.786235580534</v>
      </c>
      <c r="Y29">
        <f t="shared" si="18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allocations'!$A$1:$L$317,4,FALSE)</f>
        <v>0</v>
      </c>
      <c r="E30" s="31">
        <f>VLOOKUP(B30,'Initial adjusted formula count'!$A$1:$P$317,12,FALSE)</f>
        <v>0.116195063214931</v>
      </c>
      <c r="F30">
        <f>VLOOKUP(B30,'Model allocations'!$A$1:$L$317,9,FALSE)</f>
        <v>0</v>
      </c>
      <c r="G30" s="30">
        <f t="shared" si="7"/>
        <v>0.85</v>
      </c>
      <c r="H30">
        <f t="shared" si="8"/>
        <v>0</v>
      </c>
      <c r="I30">
        <f t="shared" si="0"/>
        <v>0</v>
      </c>
      <c r="J30">
        <f t="shared" si="1"/>
        <v>0</v>
      </c>
      <c r="K30">
        <f t="shared" si="2"/>
        <v>0</v>
      </c>
      <c r="L30">
        <f t="shared" si="9"/>
        <v>0</v>
      </c>
      <c r="M30">
        <f t="shared" si="3"/>
        <v>0</v>
      </c>
      <c r="N30" s="29">
        <f t="shared" si="10"/>
        <v>0</v>
      </c>
      <c r="O30" s="29">
        <f t="shared" si="4"/>
        <v>0</v>
      </c>
      <c r="P30" s="29">
        <f t="shared" si="11"/>
        <v>0</v>
      </c>
      <c r="Q30">
        <f t="shared" si="12"/>
        <v>0</v>
      </c>
      <c r="R30" s="29">
        <f t="shared" si="13"/>
        <v>0</v>
      </c>
      <c r="S30" s="29">
        <f t="shared" si="5"/>
        <v>0</v>
      </c>
      <c r="T30" s="29">
        <f t="shared" si="14"/>
        <v>0</v>
      </c>
      <c r="U30">
        <f t="shared" si="15"/>
        <v>0</v>
      </c>
      <c r="V30" s="29">
        <f t="shared" si="16"/>
        <v>0</v>
      </c>
      <c r="W30" s="29">
        <f t="shared" si="6"/>
        <v>0</v>
      </c>
      <c r="X30" s="29">
        <f t="shared" si="17"/>
        <v>0</v>
      </c>
      <c r="Y30">
        <f t="shared" si="18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allocations'!$A$1:$L$317,4,FALSE)</f>
        <v>0</v>
      </c>
      <c r="E31" s="31">
        <f>VLOOKUP(B31,'Initial adjusted formula count'!$A$1:$P$317,12,FALSE)</f>
        <v>0.10646043117432499</v>
      </c>
      <c r="F31">
        <f>VLOOKUP(B31,'Model allocations'!$A$1:$L$317,9,FALSE)</f>
        <v>0</v>
      </c>
      <c r="G31" s="30">
        <f t="shared" si="7"/>
        <v>0.85</v>
      </c>
      <c r="H31">
        <f t="shared" si="8"/>
        <v>0</v>
      </c>
      <c r="I31">
        <f t="shared" si="0"/>
        <v>0</v>
      </c>
      <c r="J31">
        <f t="shared" si="1"/>
        <v>0</v>
      </c>
      <c r="K31">
        <f t="shared" si="2"/>
        <v>0</v>
      </c>
      <c r="L31">
        <f t="shared" si="9"/>
        <v>0</v>
      </c>
      <c r="M31">
        <f t="shared" si="3"/>
        <v>0</v>
      </c>
      <c r="N31" s="29">
        <f t="shared" si="10"/>
        <v>0</v>
      </c>
      <c r="O31" s="29">
        <f t="shared" si="4"/>
        <v>0</v>
      </c>
      <c r="P31" s="29">
        <f t="shared" si="11"/>
        <v>0</v>
      </c>
      <c r="Q31">
        <f t="shared" si="12"/>
        <v>0</v>
      </c>
      <c r="R31" s="29">
        <f t="shared" si="13"/>
        <v>0</v>
      </c>
      <c r="S31" s="29">
        <f t="shared" si="5"/>
        <v>0</v>
      </c>
      <c r="T31" s="29">
        <f t="shared" si="14"/>
        <v>0</v>
      </c>
      <c r="U31">
        <f t="shared" si="15"/>
        <v>0</v>
      </c>
      <c r="V31" s="29">
        <f t="shared" si="16"/>
        <v>0</v>
      </c>
      <c r="W31" s="29">
        <f t="shared" si="6"/>
        <v>0</v>
      </c>
      <c r="X31" s="29">
        <f t="shared" si="17"/>
        <v>0</v>
      </c>
      <c r="Y31">
        <f t="shared" si="18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allocations'!$A$1:$L$317,4,FALSE)</f>
        <v>6120.5810297908465</v>
      </c>
      <c r="E32" s="31">
        <f>VLOOKUP(B32,'Initial adjusted formula count'!$A$1:$P$317,12,FALSE)</f>
        <v>0.25531914893617003</v>
      </c>
      <c r="F32">
        <f>VLOOKUP(B32,'Model allocations'!$A$1:$L$317,9,FALSE)</f>
        <v>5615.8501103799836</v>
      </c>
      <c r="G32" s="30">
        <f t="shared" si="7"/>
        <v>0.9</v>
      </c>
      <c r="H32">
        <f t="shared" si="8"/>
        <v>5508.5229268117619</v>
      </c>
      <c r="I32">
        <f t="shared" si="0"/>
        <v>0</v>
      </c>
      <c r="J32">
        <f t="shared" si="1"/>
        <v>5615.8501103799836</v>
      </c>
      <c r="K32">
        <f t="shared" si="2"/>
        <v>5611.1018649618736</v>
      </c>
      <c r="L32">
        <f t="shared" si="9"/>
        <v>5611.1018649618736</v>
      </c>
      <c r="M32">
        <f t="shared" si="3"/>
        <v>0</v>
      </c>
      <c r="N32" s="29">
        <f t="shared" si="10"/>
        <v>5611.1018649618736</v>
      </c>
      <c r="O32" s="29">
        <f t="shared" si="4"/>
        <v>5609.6527683773238</v>
      </c>
      <c r="P32" s="29">
        <f t="shared" si="11"/>
        <v>5609.6527683773238</v>
      </c>
      <c r="Q32">
        <f t="shared" si="12"/>
        <v>0</v>
      </c>
      <c r="R32" s="29">
        <f t="shared" si="13"/>
        <v>5609.6527683773238</v>
      </c>
      <c r="S32" s="29">
        <f t="shared" si="5"/>
        <v>5609.6527683773238</v>
      </c>
      <c r="T32" s="29">
        <f t="shared" si="14"/>
        <v>5609.6527683773238</v>
      </c>
      <c r="U32">
        <f t="shared" si="15"/>
        <v>0</v>
      </c>
      <c r="V32" s="29">
        <f t="shared" si="16"/>
        <v>5609.6527683773238</v>
      </c>
      <c r="W32" s="29">
        <f t="shared" si="6"/>
        <v>5609.6527683773238</v>
      </c>
      <c r="X32" s="29">
        <f t="shared" si="17"/>
        <v>5609.6527683773238</v>
      </c>
      <c r="Y32">
        <f t="shared" si="18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allocations'!$A$1:$L$317,4,FALSE)</f>
        <v>0</v>
      </c>
      <c r="E33" s="31">
        <f>VLOOKUP(B33,'Initial adjusted formula count'!$A$1:$P$317,12,FALSE)</f>
        <v>7.0280944259940803E-2</v>
      </c>
      <c r="F33">
        <f>VLOOKUP(B33,'Model allocations'!$A$1:$L$317,9,FALSE)</f>
        <v>0</v>
      </c>
      <c r="G33" s="30">
        <f t="shared" si="7"/>
        <v>0.85</v>
      </c>
      <c r="H33">
        <f t="shared" si="8"/>
        <v>0</v>
      </c>
      <c r="I33">
        <f t="shared" si="0"/>
        <v>0</v>
      </c>
      <c r="J33">
        <f t="shared" si="1"/>
        <v>0</v>
      </c>
      <c r="K33">
        <f t="shared" si="2"/>
        <v>0</v>
      </c>
      <c r="L33">
        <f t="shared" si="9"/>
        <v>0</v>
      </c>
      <c r="M33">
        <f t="shared" si="3"/>
        <v>0</v>
      </c>
      <c r="N33" s="29">
        <f t="shared" si="10"/>
        <v>0</v>
      </c>
      <c r="O33" s="29">
        <f t="shared" si="4"/>
        <v>0</v>
      </c>
      <c r="P33" s="29">
        <f t="shared" si="11"/>
        <v>0</v>
      </c>
      <c r="Q33">
        <f t="shared" si="12"/>
        <v>0</v>
      </c>
      <c r="R33" s="29">
        <f t="shared" si="13"/>
        <v>0</v>
      </c>
      <c r="S33" s="29">
        <f t="shared" si="5"/>
        <v>0</v>
      </c>
      <c r="T33" s="29">
        <f t="shared" si="14"/>
        <v>0</v>
      </c>
      <c r="U33">
        <f t="shared" si="15"/>
        <v>0</v>
      </c>
      <c r="V33" s="29">
        <f t="shared" si="16"/>
        <v>0</v>
      </c>
      <c r="W33" s="29">
        <f t="shared" si="6"/>
        <v>0</v>
      </c>
      <c r="X33" s="29">
        <f t="shared" si="17"/>
        <v>0</v>
      </c>
      <c r="Y33">
        <f t="shared" si="18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allocations'!$A$1:$L$317,4,FALSE)</f>
        <v>0</v>
      </c>
      <c r="E34" s="31">
        <f>VLOOKUP(B34,'Initial adjusted formula count'!$A$1:$P$317,12,FALSE)</f>
        <v>8.3882634311380697E-2</v>
      </c>
      <c r="F34">
        <f>VLOOKUP(B34,'Model allocations'!$A$1:$L$317,9,FALSE)</f>
        <v>0</v>
      </c>
      <c r="G34" s="30">
        <f t="shared" si="7"/>
        <v>0.85</v>
      </c>
      <c r="H34">
        <f t="shared" si="8"/>
        <v>0</v>
      </c>
      <c r="I34">
        <f t="shared" si="0"/>
        <v>0</v>
      </c>
      <c r="J34">
        <f t="shared" si="1"/>
        <v>0</v>
      </c>
      <c r="K34">
        <f t="shared" si="2"/>
        <v>0</v>
      </c>
      <c r="L34">
        <f t="shared" si="9"/>
        <v>0</v>
      </c>
      <c r="M34">
        <f t="shared" si="3"/>
        <v>0</v>
      </c>
      <c r="N34" s="29">
        <f t="shared" si="10"/>
        <v>0</v>
      </c>
      <c r="O34" s="29">
        <f t="shared" si="4"/>
        <v>0</v>
      </c>
      <c r="P34" s="29">
        <f t="shared" si="11"/>
        <v>0</v>
      </c>
      <c r="Q34">
        <f t="shared" si="12"/>
        <v>0</v>
      </c>
      <c r="R34" s="29">
        <f t="shared" si="13"/>
        <v>0</v>
      </c>
      <c r="S34" s="29">
        <f t="shared" si="5"/>
        <v>0</v>
      </c>
      <c r="T34" s="29">
        <f t="shared" si="14"/>
        <v>0</v>
      </c>
      <c r="U34">
        <f t="shared" si="15"/>
        <v>0</v>
      </c>
      <c r="V34" s="29">
        <f t="shared" si="16"/>
        <v>0</v>
      </c>
      <c r="W34" s="29">
        <f t="shared" si="6"/>
        <v>0</v>
      </c>
      <c r="X34" s="29">
        <f t="shared" si="17"/>
        <v>0</v>
      </c>
      <c r="Y34">
        <f t="shared" si="18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allocations'!$A$1:$L$317,4,FALSE)</f>
        <v>174549.90344218345</v>
      </c>
      <c r="E35" s="31">
        <f>VLOOKUP(B35,'Initial adjusted formula count'!$A$1:$P$317,12,FALSE)</f>
        <v>0.198892478080295</v>
      </c>
      <c r="F35">
        <f>VLOOKUP(B35,'Model allocations'!$A$1:$L$317,9,FALSE)</f>
        <v>201702.61646448108</v>
      </c>
      <c r="G35" s="30">
        <f t="shared" si="7"/>
        <v>0.9</v>
      </c>
      <c r="H35">
        <f t="shared" si="8"/>
        <v>157094.91309796512</v>
      </c>
      <c r="I35">
        <f t="shared" si="0"/>
        <v>0</v>
      </c>
      <c r="J35">
        <f t="shared" si="1"/>
        <v>201702.61646448108</v>
      </c>
      <c r="K35">
        <f t="shared" si="2"/>
        <v>201532.07531654727</v>
      </c>
      <c r="L35">
        <f t="shared" si="9"/>
        <v>201532.07531654727</v>
      </c>
      <c r="M35">
        <f t="shared" si="3"/>
        <v>0</v>
      </c>
      <c r="N35" s="29">
        <f t="shared" si="10"/>
        <v>201532.07531654727</v>
      </c>
      <c r="O35" s="29">
        <f t="shared" si="4"/>
        <v>201480.02859755218</v>
      </c>
      <c r="P35" s="29">
        <f t="shared" si="11"/>
        <v>201480.02859755218</v>
      </c>
      <c r="Q35">
        <f t="shared" si="12"/>
        <v>0</v>
      </c>
      <c r="R35" s="29">
        <f t="shared" si="13"/>
        <v>201480.02859755218</v>
      </c>
      <c r="S35" s="29">
        <f t="shared" si="5"/>
        <v>201480.02859755218</v>
      </c>
      <c r="T35" s="29">
        <f t="shared" si="14"/>
        <v>201480.02859755218</v>
      </c>
      <c r="U35">
        <f t="shared" si="15"/>
        <v>0</v>
      </c>
      <c r="V35" s="29">
        <f t="shared" si="16"/>
        <v>201480.02859755218</v>
      </c>
      <c r="W35" s="29">
        <f t="shared" si="6"/>
        <v>201480.02859755218</v>
      </c>
      <c r="X35" s="29">
        <f t="shared" si="17"/>
        <v>201480.02859755218</v>
      </c>
      <c r="Y35">
        <f t="shared" si="18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allocations'!$A$1:$L$317,4,FALSE)</f>
        <v>0</v>
      </c>
      <c r="E36" s="31">
        <f>VLOOKUP(B36,'Initial adjusted formula count'!$A$1:$P$317,12,FALSE)</f>
        <v>0.141131815044859</v>
      </c>
      <c r="F36">
        <f>VLOOKUP(B36,'Model allocations'!$A$1:$L$317,9,FALSE)</f>
        <v>0</v>
      </c>
      <c r="G36" s="30">
        <f t="shared" si="7"/>
        <v>0.85</v>
      </c>
      <c r="H36">
        <f t="shared" si="8"/>
        <v>0</v>
      </c>
      <c r="I36">
        <f t="shared" si="0"/>
        <v>0</v>
      </c>
      <c r="J36">
        <f t="shared" si="1"/>
        <v>0</v>
      </c>
      <c r="K36">
        <f t="shared" si="2"/>
        <v>0</v>
      </c>
      <c r="L36">
        <f t="shared" si="9"/>
        <v>0</v>
      </c>
      <c r="M36">
        <f t="shared" si="3"/>
        <v>0</v>
      </c>
      <c r="N36" s="29">
        <f t="shared" si="10"/>
        <v>0</v>
      </c>
      <c r="O36" s="29">
        <f t="shared" si="4"/>
        <v>0</v>
      </c>
      <c r="P36" s="29">
        <f t="shared" si="11"/>
        <v>0</v>
      </c>
      <c r="Q36">
        <f t="shared" si="12"/>
        <v>0</v>
      </c>
      <c r="R36" s="29">
        <f t="shared" si="13"/>
        <v>0</v>
      </c>
      <c r="S36" s="29">
        <f t="shared" si="5"/>
        <v>0</v>
      </c>
      <c r="T36" s="29">
        <f t="shared" si="14"/>
        <v>0</v>
      </c>
      <c r="U36">
        <f t="shared" si="15"/>
        <v>0</v>
      </c>
      <c r="V36" s="29">
        <f t="shared" si="16"/>
        <v>0</v>
      </c>
      <c r="W36" s="29">
        <f t="shared" si="6"/>
        <v>0</v>
      </c>
      <c r="X36" s="29">
        <f t="shared" si="17"/>
        <v>0</v>
      </c>
      <c r="Y36">
        <f t="shared" si="18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allocations'!$A$1:$L$317,4,FALSE)</f>
        <v>0</v>
      </c>
      <c r="E37" s="31">
        <f>VLOOKUP(B37,'Initial adjusted formula count'!$A$1:$P$317,12,FALSE)</f>
        <v>0.113426662424435</v>
      </c>
      <c r="F37">
        <f>VLOOKUP(B37,'Model allocations'!$A$1:$L$317,9,FALSE)</f>
        <v>0</v>
      </c>
      <c r="G37" s="30">
        <f t="shared" si="7"/>
        <v>0.85</v>
      </c>
      <c r="H37">
        <f t="shared" si="8"/>
        <v>0</v>
      </c>
      <c r="I37">
        <f t="shared" si="0"/>
        <v>0</v>
      </c>
      <c r="J37">
        <f t="shared" si="1"/>
        <v>0</v>
      </c>
      <c r="K37">
        <f t="shared" si="2"/>
        <v>0</v>
      </c>
      <c r="L37">
        <f t="shared" si="9"/>
        <v>0</v>
      </c>
      <c r="M37">
        <f t="shared" si="3"/>
        <v>0</v>
      </c>
      <c r="N37" s="29">
        <f t="shared" si="10"/>
        <v>0</v>
      </c>
      <c r="O37" s="29">
        <f t="shared" si="4"/>
        <v>0</v>
      </c>
      <c r="P37" s="29">
        <f t="shared" si="11"/>
        <v>0</v>
      </c>
      <c r="Q37">
        <f t="shared" si="12"/>
        <v>0</v>
      </c>
      <c r="R37" s="29">
        <f t="shared" si="13"/>
        <v>0</v>
      </c>
      <c r="S37" s="29">
        <f t="shared" si="5"/>
        <v>0</v>
      </c>
      <c r="T37" s="29">
        <f t="shared" si="14"/>
        <v>0</v>
      </c>
      <c r="U37">
        <f t="shared" si="15"/>
        <v>0</v>
      </c>
      <c r="V37" s="29">
        <f t="shared" si="16"/>
        <v>0</v>
      </c>
      <c r="W37" s="29">
        <f t="shared" si="6"/>
        <v>0</v>
      </c>
      <c r="X37" s="29">
        <f t="shared" si="17"/>
        <v>0</v>
      </c>
      <c r="Y37">
        <f t="shared" si="18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allocations'!$A$1:$L$317,4,FALSE)</f>
        <v>39518.379019392305</v>
      </c>
      <c r="E38" s="31">
        <f>VLOOKUP(B38,'Initial adjusted formula count'!$A$1:$P$317,12,FALSE)</f>
        <v>0.161904761904762</v>
      </c>
      <c r="F38">
        <f>VLOOKUP(B38,'Model allocations'!$A$1:$L$317,9,FALSE)</f>
        <v>35801.044453672388</v>
      </c>
      <c r="G38" s="30">
        <f t="shared" si="7"/>
        <v>0.9</v>
      </c>
      <c r="H38">
        <f t="shared" si="8"/>
        <v>35566.541117453075</v>
      </c>
      <c r="I38">
        <f t="shared" si="0"/>
        <v>0</v>
      </c>
      <c r="J38">
        <f t="shared" si="1"/>
        <v>35801.044453672388</v>
      </c>
      <c r="K38">
        <f t="shared" si="2"/>
        <v>35770.774389131933</v>
      </c>
      <c r="L38">
        <f t="shared" si="9"/>
        <v>35770.774389131933</v>
      </c>
      <c r="M38">
        <f t="shared" si="3"/>
        <v>0</v>
      </c>
      <c r="N38" s="29">
        <f t="shared" si="10"/>
        <v>35770.774389131933</v>
      </c>
      <c r="O38" s="29">
        <f t="shared" si="4"/>
        <v>35761.536398405435</v>
      </c>
      <c r="P38" s="29">
        <f t="shared" si="11"/>
        <v>35761.536398405435</v>
      </c>
      <c r="Q38">
        <f t="shared" si="12"/>
        <v>0</v>
      </c>
      <c r="R38" s="29">
        <f t="shared" si="13"/>
        <v>35761.536398405435</v>
      </c>
      <c r="S38" s="29">
        <f t="shared" si="5"/>
        <v>35761.536398405435</v>
      </c>
      <c r="T38" s="29">
        <f t="shared" si="14"/>
        <v>35761.536398405435</v>
      </c>
      <c r="U38">
        <f t="shared" si="15"/>
        <v>0</v>
      </c>
      <c r="V38" s="29">
        <f t="shared" si="16"/>
        <v>35761.536398405435</v>
      </c>
      <c r="W38" s="29">
        <f t="shared" si="6"/>
        <v>35761.536398405435</v>
      </c>
      <c r="X38" s="29">
        <f t="shared" si="17"/>
        <v>35761.536398405435</v>
      </c>
      <c r="Y38">
        <f t="shared" si="18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allocations'!$A$1:$L$317,4,FALSE)</f>
        <v>39801.624122320078</v>
      </c>
      <c r="E39" s="31">
        <f>VLOOKUP(B39,'Initial adjusted formula count'!$A$1:$P$317,12,FALSE)</f>
        <v>0.135957066189624</v>
      </c>
      <c r="F39">
        <f>VLOOKUP(B39,'Model allocations'!$A$1:$L$317,9,FALSE)</f>
        <v>33831.380503972068</v>
      </c>
      <c r="G39" s="30">
        <f t="shared" si="7"/>
        <v>0.85</v>
      </c>
      <c r="H39">
        <f t="shared" si="8"/>
        <v>33831.380503972068</v>
      </c>
      <c r="I39">
        <f t="shared" si="0"/>
        <v>0</v>
      </c>
      <c r="J39">
        <f t="shared" si="1"/>
        <v>33831.380503972068</v>
      </c>
      <c r="K39">
        <f t="shared" si="2"/>
        <v>33802.775805785874</v>
      </c>
      <c r="L39">
        <f t="shared" si="9"/>
        <v>33802.775805785874</v>
      </c>
      <c r="M39">
        <f t="shared" si="3"/>
        <v>33831.380503972068</v>
      </c>
      <c r="N39" s="29">
        <f t="shared" si="10"/>
        <v>0</v>
      </c>
      <c r="O39" s="29">
        <f t="shared" si="4"/>
        <v>0</v>
      </c>
      <c r="P39" s="29">
        <f t="shared" si="11"/>
        <v>33831.380503972068</v>
      </c>
      <c r="Q39">
        <f t="shared" si="12"/>
        <v>0</v>
      </c>
      <c r="R39" s="29">
        <f t="shared" si="13"/>
        <v>0</v>
      </c>
      <c r="S39" s="29">
        <f t="shared" si="5"/>
        <v>0</v>
      </c>
      <c r="T39" s="29">
        <f t="shared" si="14"/>
        <v>33831.380503972068</v>
      </c>
      <c r="U39">
        <f t="shared" si="15"/>
        <v>0</v>
      </c>
      <c r="V39" s="29">
        <f t="shared" si="16"/>
        <v>0</v>
      </c>
      <c r="W39" s="29">
        <f t="shared" si="6"/>
        <v>0</v>
      </c>
      <c r="X39" s="29">
        <f t="shared" si="17"/>
        <v>33831.380503972068</v>
      </c>
      <c r="Y39">
        <f t="shared" si="18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allocations'!$A$1:$L$317,4,FALSE)</f>
        <v>137373.04089086127</v>
      </c>
      <c r="E40" s="31">
        <f>VLOOKUP(B40,'Initial adjusted formula count'!$A$1:$P$317,12,FALSE)</f>
        <v>0.19076812116840999</v>
      </c>
      <c r="F40">
        <f>VLOOKUP(B40,'Model allocations'!$A$1:$L$317,9,FALSE)</f>
        <v>123782.6961829588</v>
      </c>
      <c r="G40" s="30">
        <f t="shared" si="7"/>
        <v>0.9</v>
      </c>
      <c r="H40">
        <f t="shared" si="8"/>
        <v>123635.73680177514</v>
      </c>
      <c r="I40">
        <f t="shared" si="0"/>
        <v>0</v>
      </c>
      <c r="J40">
        <f t="shared" si="1"/>
        <v>123782.6961829588</v>
      </c>
      <c r="K40">
        <f t="shared" si="2"/>
        <v>123678.03694020127</v>
      </c>
      <c r="L40">
        <f t="shared" si="9"/>
        <v>123678.03694020127</v>
      </c>
      <c r="M40">
        <f t="shared" si="3"/>
        <v>0</v>
      </c>
      <c r="N40" s="29">
        <f t="shared" si="10"/>
        <v>123678.03694020127</v>
      </c>
      <c r="O40" s="29">
        <f t="shared" si="4"/>
        <v>123646.09643631682</v>
      </c>
      <c r="P40" s="29">
        <f t="shared" si="11"/>
        <v>123646.09643631682</v>
      </c>
      <c r="Q40">
        <f t="shared" si="12"/>
        <v>0</v>
      </c>
      <c r="R40" s="29">
        <f t="shared" si="13"/>
        <v>123646.09643631682</v>
      </c>
      <c r="S40" s="29">
        <f t="shared" si="5"/>
        <v>123646.09643631682</v>
      </c>
      <c r="T40" s="29">
        <f t="shared" si="14"/>
        <v>123646.09643631682</v>
      </c>
      <c r="U40">
        <f t="shared" si="15"/>
        <v>0</v>
      </c>
      <c r="V40" s="29">
        <f t="shared" si="16"/>
        <v>123646.09643631682</v>
      </c>
      <c r="W40" s="29">
        <f t="shared" si="6"/>
        <v>123646.09643631682</v>
      </c>
      <c r="X40" s="29">
        <f t="shared" si="17"/>
        <v>123646.09643631682</v>
      </c>
      <c r="Y40">
        <f t="shared" si="18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allocations'!$A$1:$L$317,4,FALSE)</f>
        <v>23118.831461747723</v>
      </c>
      <c r="E41" s="31">
        <f>VLOOKUP(B41,'Initial adjusted formula count'!$A$1:$P$317,12,FALSE)</f>
        <v>0.141929499072356</v>
      </c>
      <c r="F41">
        <f>VLOOKUP(B41,'Model allocations'!$A$1:$L$317,9,FALSE)</f>
        <v>19651.006742485562</v>
      </c>
      <c r="G41" s="30">
        <f t="shared" si="7"/>
        <v>0.85</v>
      </c>
      <c r="H41">
        <f t="shared" si="8"/>
        <v>19651.006742485562</v>
      </c>
      <c r="I41">
        <f t="shared" si="0"/>
        <v>0</v>
      </c>
      <c r="J41">
        <f t="shared" si="1"/>
        <v>19651.006742485562</v>
      </c>
      <c r="K41">
        <f t="shared" si="2"/>
        <v>19634.391661795678</v>
      </c>
      <c r="L41">
        <f t="shared" si="9"/>
        <v>19634.391661795678</v>
      </c>
      <c r="M41">
        <f t="shared" si="3"/>
        <v>19651.006742485562</v>
      </c>
      <c r="N41" s="29">
        <f t="shared" si="10"/>
        <v>0</v>
      </c>
      <c r="O41" s="29">
        <f t="shared" si="4"/>
        <v>0</v>
      </c>
      <c r="P41" s="29">
        <f t="shared" si="11"/>
        <v>19651.006742485562</v>
      </c>
      <c r="Q41">
        <f t="shared" si="12"/>
        <v>0</v>
      </c>
      <c r="R41" s="29">
        <f t="shared" si="13"/>
        <v>0</v>
      </c>
      <c r="S41" s="29">
        <f t="shared" si="5"/>
        <v>0</v>
      </c>
      <c r="T41" s="29">
        <f t="shared" si="14"/>
        <v>19651.006742485562</v>
      </c>
      <c r="U41">
        <f t="shared" si="15"/>
        <v>0</v>
      </c>
      <c r="V41" s="29">
        <f t="shared" si="16"/>
        <v>0</v>
      </c>
      <c r="W41" s="29">
        <f t="shared" si="6"/>
        <v>0</v>
      </c>
      <c r="X41" s="29">
        <f t="shared" si="17"/>
        <v>19651.006742485562</v>
      </c>
      <c r="Y41">
        <f t="shared" si="18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allocations'!$A$1:$L$317,4,FALSE)</f>
        <v>319964.62743058853</v>
      </c>
      <c r="E42" s="31">
        <f>VLOOKUP(B42,'Initial adjusted formula count'!$A$1:$P$317,12,FALSE)</f>
        <v>0.150844876350714</v>
      </c>
      <c r="F42">
        <f>VLOOKUP(B42,'Model allocations'!$A$1:$L$317,9,FALSE)</f>
        <v>486707.00956626522</v>
      </c>
      <c r="G42" s="30">
        <f t="shared" si="7"/>
        <v>0.9</v>
      </c>
      <c r="H42">
        <f t="shared" si="8"/>
        <v>287968.16468752967</v>
      </c>
      <c r="I42">
        <f t="shared" si="0"/>
        <v>0</v>
      </c>
      <c r="J42">
        <f t="shared" si="1"/>
        <v>486707.00956626522</v>
      </c>
      <c r="K42">
        <f t="shared" si="2"/>
        <v>486295.49496336235</v>
      </c>
      <c r="L42">
        <f t="shared" si="9"/>
        <v>486295.49496336235</v>
      </c>
      <c r="M42">
        <f t="shared" si="3"/>
        <v>0</v>
      </c>
      <c r="N42" s="29">
        <f t="shared" si="10"/>
        <v>486295.49496336235</v>
      </c>
      <c r="O42" s="29">
        <f t="shared" si="4"/>
        <v>486169.90659270139</v>
      </c>
      <c r="P42" s="29">
        <f t="shared" si="11"/>
        <v>486169.90659270139</v>
      </c>
      <c r="Q42">
        <f t="shared" si="12"/>
        <v>0</v>
      </c>
      <c r="R42" s="29">
        <f t="shared" si="13"/>
        <v>486169.90659270139</v>
      </c>
      <c r="S42" s="29">
        <f t="shared" si="5"/>
        <v>486169.90659270139</v>
      </c>
      <c r="T42" s="29">
        <f t="shared" si="14"/>
        <v>486169.90659270139</v>
      </c>
      <c r="U42">
        <f t="shared" si="15"/>
        <v>0</v>
      </c>
      <c r="V42" s="29">
        <f t="shared" si="16"/>
        <v>486169.90659270139</v>
      </c>
      <c r="W42" s="29">
        <f t="shared" si="6"/>
        <v>486169.90659270139</v>
      </c>
      <c r="X42" s="29">
        <f t="shared" si="17"/>
        <v>486169.90659270139</v>
      </c>
      <c r="Y42">
        <f t="shared" si="18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allocations'!$A$1:$L$317,4,FALSE)</f>
        <v>0</v>
      </c>
      <c r="E43" s="31">
        <f>VLOOKUP(B43,'Initial adjusted formula count'!$A$1:$P$317,12,FALSE)</f>
        <v>9.8070739549839206E-2</v>
      </c>
      <c r="F43">
        <f>VLOOKUP(B43,'Model allocations'!$A$1:$L$317,9,FALSE)</f>
        <v>0</v>
      </c>
      <c r="G43" s="30">
        <f t="shared" si="7"/>
        <v>0.85</v>
      </c>
      <c r="H43">
        <f t="shared" si="8"/>
        <v>0</v>
      </c>
      <c r="I43">
        <f t="shared" si="0"/>
        <v>0</v>
      </c>
      <c r="J43">
        <f t="shared" si="1"/>
        <v>0</v>
      </c>
      <c r="K43">
        <f t="shared" si="2"/>
        <v>0</v>
      </c>
      <c r="L43">
        <f t="shared" si="9"/>
        <v>0</v>
      </c>
      <c r="M43">
        <f t="shared" si="3"/>
        <v>0</v>
      </c>
      <c r="N43" s="29">
        <f t="shared" si="10"/>
        <v>0</v>
      </c>
      <c r="O43" s="29">
        <f t="shared" si="4"/>
        <v>0</v>
      </c>
      <c r="P43" s="29">
        <f t="shared" si="11"/>
        <v>0</v>
      </c>
      <c r="Q43">
        <f t="shared" si="12"/>
        <v>0</v>
      </c>
      <c r="R43" s="29">
        <f t="shared" si="13"/>
        <v>0</v>
      </c>
      <c r="S43" s="29">
        <f t="shared" si="5"/>
        <v>0</v>
      </c>
      <c r="T43" s="29">
        <f t="shared" si="14"/>
        <v>0</v>
      </c>
      <c r="U43">
        <f t="shared" si="15"/>
        <v>0</v>
      </c>
      <c r="V43" s="29">
        <f t="shared" si="16"/>
        <v>0</v>
      </c>
      <c r="W43" s="29">
        <f t="shared" si="6"/>
        <v>0</v>
      </c>
      <c r="X43" s="29">
        <f t="shared" si="17"/>
        <v>0</v>
      </c>
      <c r="Y43">
        <f t="shared" si="18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allocations'!$A$1:$L$317,4,FALSE)</f>
        <v>0</v>
      </c>
      <c r="E44" s="31">
        <f>VLOOKUP(B44,'Initial adjusted formula count'!$A$1:$P$317,12,FALSE)</f>
        <v>0.13999021047479199</v>
      </c>
      <c r="F44">
        <f>VLOOKUP(B44,'Model allocations'!$A$1:$L$317,9,FALSE)</f>
        <v>0</v>
      </c>
      <c r="G44" s="30">
        <f t="shared" si="7"/>
        <v>0.85</v>
      </c>
      <c r="H44">
        <f t="shared" si="8"/>
        <v>0</v>
      </c>
      <c r="I44">
        <f t="shared" si="0"/>
        <v>0</v>
      </c>
      <c r="J44">
        <f t="shared" si="1"/>
        <v>0</v>
      </c>
      <c r="K44">
        <f t="shared" si="2"/>
        <v>0</v>
      </c>
      <c r="L44">
        <f t="shared" si="9"/>
        <v>0</v>
      </c>
      <c r="M44">
        <f t="shared" si="3"/>
        <v>0</v>
      </c>
      <c r="N44" s="29">
        <f t="shared" si="10"/>
        <v>0</v>
      </c>
      <c r="O44" s="29">
        <f t="shared" si="4"/>
        <v>0</v>
      </c>
      <c r="P44" s="29">
        <f t="shared" si="11"/>
        <v>0</v>
      </c>
      <c r="Q44">
        <f t="shared" si="12"/>
        <v>0</v>
      </c>
      <c r="R44" s="29">
        <f t="shared" si="13"/>
        <v>0</v>
      </c>
      <c r="S44" s="29">
        <f t="shared" si="5"/>
        <v>0</v>
      </c>
      <c r="T44" s="29">
        <f t="shared" si="14"/>
        <v>0</v>
      </c>
      <c r="U44">
        <f t="shared" si="15"/>
        <v>0</v>
      </c>
      <c r="V44" s="29">
        <f t="shared" si="16"/>
        <v>0</v>
      </c>
      <c r="W44" s="29">
        <f t="shared" si="6"/>
        <v>0</v>
      </c>
      <c r="X44" s="29">
        <f t="shared" si="17"/>
        <v>0</v>
      </c>
      <c r="Y44">
        <f t="shared" si="18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allocations'!$A$1:$L$317,4,FALSE)</f>
        <v>0</v>
      </c>
      <c r="E45" s="31">
        <f>VLOOKUP(B45,'Initial adjusted formula count'!$A$1:$P$317,12,FALSE)</f>
        <v>3.5999999999999997E-2</v>
      </c>
      <c r="F45">
        <f>VLOOKUP(B45,'Model allocations'!$A$1:$L$317,9,FALSE)</f>
        <v>0</v>
      </c>
      <c r="G45" s="30">
        <f t="shared" si="7"/>
        <v>0.85</v>
      </c>
      <c r="H45">
        <f t="shared" si="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9"/>
        <v>0</v>
      </c>
      <c r="M45">
        <f t="shared" si="3"/>
        <v>0</v>
      </c>
      <c r="N45" s="29">
        <f t="shared" si="10"/>
        <v>0</v>
      </c>
      <c r="O45" s="29">
        <f t="shared" si="4"/>
        <v>0</v>
      </c>
      <c r="P45" s="29">
        <f t="shared" si="11"/>
        <v>0</v>
      </c>
      <c r="Q45">
        <f t="shared" si="12"/>
        <v>0</v>
      </c>
      <c r="R45" s="29">
        <f t="shared" si="13"/>
        <v>0</v>
      </c>
      <c r="S45" s="29">
        <f t="shared" si="5"/>
        <v>0</v>
      </c>
      <c r="T45" s="29">
        <f t="shared" si="14"/>
        <v>0</v>
      </c>
      <c r="U45">
        <f t="shared" si="15"/>
        <v>0</v>
      </c>
      <c r="V45" s="29">
        <f t="shared" si="16"/>
        <v>0</v>
      </c>
      <c r="W45" s="29">
        <f t="shared" si="6"/>
        <v>0</v>
      </c>
      <c r="X45" s="29">
        <f t="shared" si="17"/>
        <v>0</v>
      </c>
      <c r="Y45">
        <f t="shared" si="18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allocations'!$A$1:$L$317,4,FALSE)</f>
        <v>9747.5920104076504</v>
      </c>
      <c r="E46" s="31">
        <f>VLOOKUP(B46,'Initial adjusted formula count'!$A$1:$P$317,12,FALSE)</f>
        <v>0.18446601941747601</v>
      </c>
      <c r="F46">
        <f>VLOOKUP(B46,'Model allocations'!$A$1:$L$317,9,FALSE)</f>
        <v>8891.7626747683062</v>
      </c>
      <c r="G46" s="30">
        <f t="shared" si="7"/>
        <v>0.9</v>
      </c>
      <c r="H46">
        <f t="shared" si="8"/>
        <v>8772.8328093668861</v>
      </c>
      <c r="I46">
        <f t="shared" si="0"/>
        <v>0</v>
      </c>
      <c r="J46">
        <f t="shared" si="1"/>
        <v>8891.7626747683062</v>
      </c>
      <c r="K46">
        <f t="shared" si="2"/>
        <v>8884.2446195229641</v>
      </c>
      <c r="L46">
        <f t="shared" si="9"/>
        <v>8884.2446195229641</v>
      </c>
      <c r="M46">
        <f t="shared" si="3"/>
        <v>0</v>
      </c>
      <c r="N46" s="29">
        <f t="shared" si="10"/>
        <v>8884.2446195229641</v>
      </c>
      <c r="O46" s="29">
        <f t="shared" si="4"/>
        <v>8881.9502165974263</v>
      </c>
      <c r="P46" s="29">
        <f t="shared" si="11"/>
        <v>8881.9502165974263</v>
      </c>
      <c r="Q46">
        <f t="shared" si="12"/>
        <v>0</v>
      </c>
      <c r="R46" s="29">
        <f t="shared" si="13"/>
        <v>8881.9502165974263</v>
      </c>
      <c r="S46" s="29">
        <f t="shared" si="5"/>
        <v>8881.9502165974263</v>
      </c>
      <c r="T46" s="29">
        <f t="shared" si="14"/>
        <v>8881.9502165974263</v>
      </c>
      <c r="U46">
        <f t="shared" si="15"/>
        <v>0</v>
      </c>
      <c r="V46" s="29">
        <f t="shared" si="16"/>
        <v>8881.9502165974263</v>
      </c>
      <c r="W46" s="29">
        <f t="shared" si="6"/>
        <v>8881.9502165974263</v>
      </c>
      <c r="X46" s="29">
        <f t="shared" si="17"/>
        <v>8881.9502165974263</v>
      </c>
      <c r="Y46">
        <f t="shared" si="18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allocations'!$A$1:$L$317,4,FALSE)</f>
        <v>22573.165743120931</v>
      </c>
      <c r="E47" s="31">
        <f>VLOOKUP(B47,'Initial adjusted formula count'!$A$1:$P$317,12,FALSE)</f>
        <v>0.140974967061924</v>
      </c>
      <c r="F47">
        <f>VLOOKUP(B47,'Model allocations'!$A$1:$L$317,9,FALSE)</f>
        <v>19187.19088165279</v>
      </c>
      <c r="G47" s="30">
        <f t="shared" si="7"/>
        <v>0.85</v>
      </c>
      <c r="H47">
        <f t="shared" si="8"/>
        <v>19187.19088165279</v>
      </c>
      <c r="I47">
        <f t="shared" si="0"/>
        <v>0</v>
      </c>
      <c r="J47">
        <f t="shared" si="1"/>
        <v>19187.19088165279</v>
      </c>
      <c r="K47">
        <f t="shared" si="2"/>
        <v>19170.967960919592</v>
      </c>
      <c r="L47">
        <f t="shared" si="9"/>
        <v>19170.967960919592</v>
      </c>
      <c r="M47">
        <f t="shared" si="3"/>
        <v>19187.19088165279</v>
      </c>
      <c r="N47" s="29">
        <f t="shared" si="10"/>
        <v>0</v>
      </c>
      <c r="O47" s="29">
        <f t="shared" si="4"/>
        <v>0</v>
      </c>
      <c r="P47" s="29">
        <f t="shared" si="11"/>
        <v>19187.19088165279</v>
      </c>
      <c r="Q47">
        <f t="shared" si="12"/>
        <v>0</v>
      </c>
      <c r="R47" s="29">
        <f t="shared" si="13"/>
        <v>0</v>
      </c>
      <c r="S47" s="29">
        <f t="shared" si="5"/>
        <v>0</v>
      </c>
      <c r="T47" s="29">
        <f t="shared" si="14"/>
        <v>19187.19088165279</v>
      </c>
      <c r="U47">
        <f t="shared" si="15"/>
        <v>0</v>
      </c>
      <c r="V47" s="29">
        <f t="shared" si="16"/>
        <v>0</v>
      </c>
      <c r="W47" s="29">
        <f t="shared" si="6"/>
        <v>0</v>
      </c>
      <c r="X47" s="29">
        <f t="shared" si="17"/>
        <v>19187.19088165279</v>
      </c>
      <c r="Y47">
        <f t="shared" si="18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allocations'!$A$1:$L$317,4,FALSE)</f>
        <v>72540.21961233599</v>
      </c>
      <c r="E48" s="31">
        <f>VLOOKUP(B48,'Initial adjusted formula count'!$A$1:$P$317,12,FALSE)</f>
        <v>0.16998011928429399</v>
      </c>
      <c r="F48">
        <f>VLOOKUP(B48,'Model allocations'!$A$1:$L$317,9,FALSE)</f>
        <v>80025.864072914745</v>
      </c>
      <c r="G48" s="30">
        <f t="shared" si="7"/>
        <v>0.9</v>
      </c>
      <c r="H48">
        <f t="shared" si="8"/>
        <v>65286.19765110239</v>
      </c>
      <c r="I48">
        <f t="shared" si="0"/>
        <v>0</v>
      </c>
      <c r="J48">
        <f t="shared" si="1"/>
        <v>80025.864072914745</v>
      </c>
      <c r="K48">
        <f t="shared" si="2"/>
        <v>79958.201575706669</v>
      </c>
      <c r="L48">
        <f t="shared" si="9"/>
        <v>79958.201575706669</v>
      </c>
      <c r="M48">
        <f t="shared" si="3"/>
        <v>0</v>
      </c>
      <c r="N48" s="29">
        <f t="shared" si="10"/>
        <v>79958.201575706669</v>
      </c>
      <c r="O48" s="29">
        <f t="shared" si="4"/>
        <v>79937.551949376837</v>
      </c>
      <c r="P48" s="29">
        <f t="shared" si="11"/>
        <v>79937.551949376837</v>
      </c>
      <c r="Q48">
        <f t="shared" si="12"/>
        <v>0</v>
      </c>
      <c r="R48" s="29">
        <f t="shared" si="13"/>
        <v>79937.551949376837</v>
      </c>
      <c r="S48" s="29">
        <f t="shared" si="5"/>
        <v>79937.551949376837</v>
      </c>
      <c r="T48" s="29">
        <f t="shared" si="14"/>
        <v>79937.551949376837</v>
      </c>
      <c r="U48">
        <f t="shared" si="15"/>
        <v>0</v>
      </c>
      <c r="V48" s="29">
        <f t="shared" si="16"/>
        <v>79937.551949376837</v>
      </c>
      <c r="W48" s="29">
        <f t="shared" si="6"/>
        <v>79937.551949376837</v>
      </c>
      <c r="X48" s="29">
        <f t="shared" si="17"/>
        <v>79937.551949376837</v>
      </c>
      <c r="Y48">
        <f t="shared" si="18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allocations'!$A$1:$L$317,4,FALSE)</f>
        <v>31963.034266685547</v>
      </c>
      <c r="E49" s="31">
        <f>VLOOKUP(B49,'Initial adjusted formula count'!$A$1:$P$317,12,FALSE)</f>
        <v>0.13881019830028299</v>
      </c>
      <c r="F49">
        <f>VLOOKUP(B49,'Model allocations'!$A$1:$L$317,9,FALSE)</f>
        <v>27168.579126682715</v>
      </c>
      <c r="G49" s="30">
        <f t="shared" si="7"/>
        <v>0.85</v>
      </c>
      <c r="H49">
        <f t="shared" si="8"/>
        <v>27168.579126682715</v>
      </c>
      <c r="I49">
        <f t="shared" si="0"/>
        <v>0</v>
      </c>
      <c r="J49">
        <f t="shared" si="1"/>
        <v>27168.579126682715</v>
      </c>
      <c r="K49">
        <f t="shared" si="2"/>
        <v>27145.607879441555</v>
      </c>
      <c r="L49">
        <f t="shared" si="9"/>
        <v>27145.607879441555</v>
      </c>
      <c r="M49">
        <f t="shared" si="3"/>
        <v>27168.579126682715</v>
      </c>
      <c r="N49" s="29">
        <f t="shared" si="10"/>
        <v>0</v>
      </c>
      <c r="O49" s="29">
        <f t="shared" si="4"/>
        <v>0</v>
      </c>
      <c r="P49" s="29">
        <f t="shared" si="11"/>
        <v>27168.579126682715</v>
      </c>
      <c r="Q49">
        <f t="shared" si="12"/>
        <v>0</v>
      </c>
      <c r="R49" s="29">
        <f t="shared" si="13"/>
        <v>0</v>
      </c>
      <c r="S49" s="29">
        <f t="shared" si="5"/>
        <v>0</v>
      </c>
      <c r="T49" s="29">
        <f t="shared" si="14"/>
        <v>27168.579126682715</v>
      </c>
      <c r="U49">
        <f t="shared" si="15"/>
        <v>0</v>
      </c>
      <c r="V49" s="29">
        <f t="shared" si="16"/>
        <v>0</v>
      </c>
      <c r="W49" s="29">
        <f t="shared" si="6"/>
        <v>0</v>
      </c>
      <c r="X49" s="29">
        <f t="shared" si="17"/>
        <v>27168.579126682715</v>
      </c>
      <c r="Y49">
        <f t="shared" si="18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allocations'!$A$1:$L$317,4,FALSE)</f>
        <v>0</v>
      </c>
      <c r="E50" s="31">
        <f>VLOOKUP(B50,'Initial adjusted formula count'!$A$1:$P$317,12,FALSE)</f>
        <v>8.6142322097378293E-2</v>
      </c>
      <c r="F50">
        <f>VLOOKUP(B50,'Model allocations'!$A$1:$L$317,9,FALSE)</f>
        <v>0</v>
      </c>
      <c r="G50" s="30">
        <f t="shared" si="7"/>
        <v>0.85</v>
      </c>
      <c r="H50">
        <f t="shared" si="8"/>
        <v>0</v>
      </c>
      <c r="I50">
        <f t="shared" si="0"/>
        <v>0</v>
      </c>
      <c r="J50">
        <f t="shared" si="1"/>
        <v>0</v>
      </c>
      <c r="K50">
        <f t="shared" si="2"/>
        <v>0</v>
      </c>
      <c r="L50">
        <f t="shared" si="9"/>
        <v>0</v>
      </c>
      <c r="M50">
        <f t="shared" si="3"/>
        <v>0</v>
      </c>
      <c r="N50" s="29">
        <f t="shared" si="10"/>
        <v>0</v>
      </c>
      <c r="O50" s="29">
        <f t="shared" si="4"/>
        <v>0</v>
      </c>
      <c r="P50" s="29">
        <f t="shared" si="11"/>
        <v>0</v>
      </c>
      <c r="Q50">
        <f t="shared" si="12"/>
        <v>0</v>
      </c>
      <c r="R50" s="29">
        <f t="shared" si="13"/>
        <v>0</v>
      </c>
      <c r="S50" s="29">
        <f t="shared" si="5"/>
        <v>0</v>
      </c>
      <c r="T50" s="29">
        <f t="shared" si="14"/>
        <v>0</v>
      </c>
      <c r="U50">
        <f t="shared" si="15"/>
        <v>0</v>
      </c>
      <c r="V50" s="29">
        <f t="shared" si="16"/>
        <v>0</v>
      </c>
      <c r="W50" s="29">
        <f t="shared" si="6"/>
        <v>0</v>
      </c>
      <c r="X50" s="29">
        <f t="shared" si="17"/>
        <v>0</v>
      </c>
      <c r="Y50">
        <f t="shared" si="18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allocations'!$A$1:$L$317,4,FALSE)</f>
        <v>10881.032941850397</v>
      </c>
      <c r="E51" s="31">
        <f>VLOOKUP(B51,'Initial adjusted formula count'!$A$1:$P$317,12,FALSE)</f>
        <v>0.104761904761905</v>
      </c>
      <c r="F51">
        <f>VLOOKUP(B51,'Model allocations'!$A$1:$L$317,9,FALSE)</f>
        <v>9294.5564237711951</v>
      </c>
      <c r="G51" s="30">
        <f t="shared" si="7"/>
        <v>0.85</v>
      </c>
      <c r="H51">
        <f t="shared" si="8"/>
        <v>9248.8780005728368</v>
      </c>
      <c r="I51">
        <f t="shared" si="0"/>
        <v>0</v>
      </c>
      <c r="J51">
        <f t="shared" si="1"/>
        <v>9294.5564237711951</v>
      </c>
      <c r="K51">
        <f t="shared" si="2"/>
        <v>9286.6978032444531</v>
      </c>
      <c r="L51">
        <f t="shared" si="9"/>
        <v>9286.6978032444531</v>
      </c>
      <c r="M51">
        <f t="shared" si="3"/>
        <v>0</v>
      </c>
      <c r="N51" s="29">
        <f t="shared" si="10"/>
        <v>9286.6978032444531</v>
      </c>
      <c r="O51" s="29">
        <f t="shared" si="4"/>
        <v>9284.2994646663465</v>
      </c>
      <c r="P51" s="29">
        <f t="shared" si="11"/>
        <v>9284.2994646663465</v>
      </c>
      <c r="Q51">
        <f t="shared" si="12"/>
        <v>0</v>
      </c>
      <c r="R51" s="29">
        <f t="shared" si="13"/>
        <v>9284.2994646663465</v>
      </c>
      <c r="S51" s="29">
        <f t="shared" si="5"/>
        <v>9284.2994646663465</v>
      </c>
      <c r="T51" s="29">
        <f t="shared" si="14"/>
        <v>9284.2994646663465</v>
      </c>
      <c r="U51">
        <f t="shared" si="15"/>
        <v>0</v>
      </c>
      <c r="V51" s="29">
        <f t="shared" si="16"/>
        <v>9284.2994646663465</v>
      </c>
      <c r="W51" s="29">
        <f t="shared" si="6"/>
        <v>9284.2994646663465</v>
      </c>
      <c r="X51" s="29">
        <f t="shared" si="17"/>
        <v>9284.2994646663465</v>
      </c>
      <c r="Y51">
        <f t="shared" si="18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allocations'!$A$1:$L$317,4,FALSE)</f>
        <v>9067.5274515419987</v>
      </c>
      <c r="E52" s="31">
        <f>VLOOKUP(B52,'Initial adjusted formula count'!$A$1:$P$317,12,FALSE)</f>
        <v>0.19758064516129001</v>
      </c>
      <c r="F52">
        <f>VLOOKUP(B52,'Model allocations'!$A$1:$L$317,9,FALSE)</f>
        <v>11465.693975359132</v>
      </c>
      <c r="G52" s="30">
        <f t="shared" si="7"/>
        <v>0.9</v>
      </c>
      <c r="H52">
        <f t="shared" si="8"/>
        <v>8160.7747063877987</v>
      </c>
      <c r="I52">
        <f t="shared" si="0"/>
        <v>0</v>
      </c>
      <c r="J52">
        <f t="shared" si="1"/>
        <v>11465.693975359132</v>
      </c>
      <c r="K52">
        <f t="shared" si="2"/>
        <v>11455.999640963822</v>
      </c>
      <c r="L52">
        <f t="shared" si="9"/>
        <v>11455.999640963822</v>
      </c>
      <c r="M52">
        <f t="shared" si="3"/>
        <v>0</v>
      </c>
      <c r="N52" s="29">
        <f t="shared" si="10"/>
        <v>11455.999640963822</v>
      </c>
      <c r="O52" s="29">
        <f t="shared" si="4"/>
        <v>11453.041068770368</v>
      </c>
      <c r="P52" s="29">
        <f t="shared" si="11"/>
        <v>11453.041068770368</v>
      </c>
      <c r="Q52">
        <f t="shared" si="12"/>
        <v>0</v>
      </c>
      <c r="R52" s="29">
        <f t="shared" si="13"/>
        <v>11453.041068770368</v>
      </c>
      <c r="S52" s="29">
        <f t="shared" si="5"/>
        <v>11453.041068770368</v>
      </c>
      <c r="T52" s="29">
        <f t="shared" si="14"/>
        <v>11453.041068770368</v>
      </c>
      <c r="U52">
        <f t="shared" si="15"/>
        <v>0</v>
      </c>
      <c r="V52" s="29">
        <f t="shared" si="16"/>
        <v>11453.041068770368</v>
      </c>
      <c r="W52" s="29">
        <f t="shared" si="6"/>
        <v>11453.041068770368</v>
      </c>
      <c r="X52" s="29">
        <f t="shared" si="17"/>
        <v>11453.041068770368</v>
      </c>
      <c r="Y52">
        <f t="shared" si="18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allocations'!$A$1:$L$317,4,FALSE)</f>
        <v>0</v>
      </c>
      <c r="E53" s="31">
        <f>VLOOKUP(B53,'Initial adjusted formula count'!$A$1:$P$317,12,FALSE)</f>
        <v>0.10175763182238701</v>
      </c>
      <c r="F53">
        <f>VLOOKUP(B53,'Model allocations'!$A$1:$L$317,9,FALSE)</f>
        <v>0</v>
      </c>
      <c r="G53" s="30">
        <f t="shared" si="7"/>
        <v>0.85</v>
      </c>
      <c r="H53">
        <f t="shared" si="8"/>
        <v>0</v>
      </c>
      <c r="I53">
        <f t="shared" si="0"/>
        <v>0</v>
      </c>
      <c r="J53">
        <f t="shared" si="1"/>
        <v>0</v>
      </c>
      <c r="K53">
        <f t="shared" si="2"/>
        <v>0</v>
      </c>
      <c r="L53">
        <f t="shared" si="9"/>
        <v>0</v>
      </c>
      <c r="M53">
        <f t="shared" si="3"/>
        <v>0</v>
      </c>
      <c r="N53" s="29">
        <f t="shared" si="10"/>
        <v>0</v>
      </c>
      <c r="O53" s="29">
        <f t="shared" si="4"/>
        <v>0</v>
      </c>
      <c r="P53" s="29">
        <f t="shared" si="11"/>
        <v>0</v>
      </c>
      <c r="Q53">
        <f t="shared" si="12"/>
        <v>0</v>
      </c>
      <c r="R53" s="29">
        <f t="shared" si="13"/>
        <v>0</v>
      </c>
      <c r="S53" s="29">
        <f t="shared" si="5"/>
        <v>0</v>
      </c>
      <c r="T53" s="29">
        <f t="shared" si="14"/>
        <v>0</v>
      </c>
      <c r="U53">
        <f t="shared" si="15"/>
        <v>0</v>
      </c>
      <c r="V53" s="29">
        <f t="shared" si="16"/>
        <v>0</v>
      </c>
      <c r="W53" s="29">
        <f t="shared" si="6"/>
        <v>0</v>
      </c>
      <c r="X53" s="29">
        <f t="shared" si="17"/>
        <v>0</v>
      </c>
      <c r="Y53">
        <f t="shared" si="18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allocations'!$A$1:$L$317,4,FALSE)</f>
        <v>15188.108481332847</v>
      </c>
      <c r="E54" s="31">
        <f>VLOOKUP(B54,'Initial adjusted formula count'!$A$1:$P$317,12,FALSE)</f>
        <v>0.178362573099415</v>
      </c>
      <c r="F54">
        <f>VLOOKUP(B54,'Model allocations'!$A$1:$L$317,9,FALSE)</f>
        <v>14273.619030549122</v>
      </c>
      <c r="G54" s="30">
        <f t="shared" si="7"/>
        <v>0.9</v>
      </c>
      <c r="H54">
        <f t="shared" si="8"/>
        <v>13669.297633199563</v>
      </c>
      <c r="I54">
        <f t="shared" si="0"/>
        <v>0</v>
      </c>
      <c r="J54">
        <f t="shared" si="1"/>
        <v>14273.619030549122</v>
      </c>
      <c r="K54">
        <f t="shared" si="2"/>
        <v>14261.550573444758</v>
      </c>
      <c r="L54">
        <f t="shared" si="9"/>
        <v>14261.550573444758</v>
      </c>
      <c r="M54">
        <f t="shared" si="3"/>
        <v>0</v>
      </c>
      <c r="N54" s="29">
        <f t="shared" si="10"/>
        <v>14261.550573444758</v>
      </c>
      <c r="O54" s="29">
        <f t="shared" si="4"/>
        <v>14257.867452959028</v>
      </c>
      <c r="P54" s="29">
        <f t="shared" si="11"/>
        <v>14257.867452959028</v>
      </c>
      <c r="Q54">
        <f t="shared" si="12"/>
        <v>0</v>
      </c>
      <c r="R54" s="29">
        <f t="shared" si="13"/>
        <v>14257.867452959028</v>
      </c>
      <c r="S54" s="29">
        <f t="shared" si="5"/>
        <v>14257.867452959028</v>
      </c>
      <c r="T54" s="29">
        <f t="shared" si="14"/>
        <v>14257.867452959028</v>
      </c>
      <c r="U54">
        <f t="shared" si="15"/>
        <v>0</v>
      </c>
      <c r="V54" s="29">
        <f t="shared" si="16"/>
        <v>14257.867452959028</v>
      </c>
      <c r="W54" s="29">
        <f t="shared" si="6"/>
        <v>14257.867452959028</v>
      </c>
      <c r="X54" s="29">
        <f t="shared" si="17"/>
        <v>14257.867452959028</v>
      </c>
      <c r="Y54">
        <f t="shared" si="18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allocations'!$A$1:$L$317,4,FALSE)</f>
        <v>3417.311162017379</v>
      </c>
      <c r="E55" s="31">
        <f>VLOOKUP(B55,'Initial adjusted formula count'!$A$1:$P$317,12,FALSE)</f>
        <v>0.12280701754386</v>
      </c>
      <c r="F55">
        <f>VLOOKUP(B55,'Model allocations'!$A$1:$L$317,9,FALSE)</f>
        <v>2904.7144877147721</v>
      </c>
      <c r="G55" s="30">
        <f t="shared" si="7"/>
        <v>0.85</v>
      </c>
      <c r="H55">
        <f t="shared" si="8"/>
        <v>2904.7144877147721</v>
      </c>
      <c r="I55">
        <f t="shared" si="0"/>
        <v>0</v>
      </c>
      <c r="J55">
        <f t="shared" si="1"/>
        <v>2904.7144877147721</v>
      </c>
      <c r="K55">
        <f t="shared" si="2"/>
        <v>2902.2585287795937</v>
      </c>
      <c r="L55">
        <f t="shared" si="9"/>
        <v>2902.2585287795937</v>
      </c>
      <c r="M55">
        <f t="shared" si="3"/>
        <v>2904.7144877147721</v>
      </c>
      <c r="N55" s="29">
        <f t="shared" si="10"/>
        <v>0</v>
      </c>
      <c r="O55" s="29">
        <f t="shared" si="4"/>
        <v>0</v>
      </c>
      <c r="P55" s="29">
        <f t="shared" si="11"/>
        <v>2904.7144877147721</v>
      </c>
      <c r="Q55">
        <f t="shared" si="12"/>
        <v>0</v>
      </c>
      <c r="R55" s="29">
        <f t="shared" si="13"/>
        <v>0</v>
      </c>
      <c r="S55" s="29">
        <f t="shared" si="5"/>
        <v>0</v>
      </c>
      <c r="T55" s="29">
        <f t="shared" si="14"/>
        <v>2904.7144877147721</v>
      </c>
      <c r="U55">
        <f t="shared" si="15"/>
        <v>0</v>
      </c>
      <c r="V55" s="29">
        <f t="shared" si="16"/>
        <v>0</v>
      </c>
      <c r="W55" s="29">
        <f t="shared" si="6"/>
        <v>0</v>
      </c>
      <c r="X55" s="29">
        <f t="shared" si="17"/>
        <v>2904.7144877147721</v>
      </c>
      <c r="Y55">
        <f t="shared" si="18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allocations'!$A$1:$L$317,4,FALSE)</f>
        <v>10663.68957666142</v>
      </c>
      <c r="E56" s="31">
        <f>VLOOKUP(B56,'Initial adjusted formula count'!$A$1:$P$317,12,FALSE)</f>
        <v>0.33333333333333298</v>
      </c>
      <c r="F56">
        <f>VLOOKUP(B56,'Model allocations'!$A$1:$L$317,9,FALSE)</f>
        <v>12869.656502954125</v>
      </c>
      <c r="G56" s="30">
        <f t="shared" si="7"/>
        <v>0.95</v>
      </c>
      <c r="H56">
        <f t="shared" si="8"/>
        <v>10130.505097828349</v>
      </c>
      <c r="I56">
        <f t="shared" si="0"/>
        <v>0</v>
      </c>
      <c r="J56">
        <f t="shared" si="1"/>
        <v>12869.656502954125</v>
      </c>
      <c r="K56">
        <f t="shared" si="2"/>
        <v>12858.77510720429</v>
      </c>
      <c r="L56">
        <f t="shared" si="9"/>
        <v>12858.77510720429</v>
      </c>
      <c r="M56">
        <f t="shared" si="3"/>
        <v>0</v>
      </c>
      <c r="N56" s="29">
        <f t="shared" si="10"/>
        <v>12858.77510720429</v>
      </c>
      <c r="O56" s="29">
        <f t="shared" si="4"/>
        <v>12855.454260864699</v>
      </c>
      <c r="P56" s="29">
        <f t="shared" si="11"/>
        <v>12855.454260864699</v>
      </c>
      <c r="Q56">
        <f t="shared" si="12"/>
        <v>0</v>
      </c>
      <c r="R56" s="29">
        <f t="shared" si="13"/>
        <v>12855.454260864699</v>
      </c>
      <c r="S56" s="29">
        <f t="shared" si="5"/>
        <v>12855.454260864699</v>
      </c>
      <c r="T56" s="29">
        <f t="shared" si="14"/>
        <v>12855.454260864699</v>
      </c>
      <c r="U56">
        <f t="shared" si="15"/>
        <v>0</v>
      </c>
      <c r="V56" s="29">
        <f t="shared" si="16"/>
        <v>12855.454260864699</v>
      </c>
      <c r="W56" s="29">
        <f t="shared" si="6"/>
        <v>12855.454260864699</v>
      </c>
      <c r="X56" s="29">
        <f t="shared" si="17"/>
        <v>12855.454260864699</v>
      </c>
      <c r="Y56">
        <f t="shared" si="18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allocations'!$A$1:$L$317,4,FALSE)</f>
        <v>18661.456759157481</v>
      </c>
      <c r="E57" s="31">
        <f>VLOOKUP(B57,'Initial adjusted formula count'!$A$1:$P$317,12,FALSE)</f>
        <v>0.24148606811145501</v>
      </c>
      <c r="F57">
        <f>VLOOKUP(B57,'Model allocations'!$A$1:$L$317,9,FALSE)</f>
        <v>18251.512858734946</v>
      </c>
      <c r="G57" s="30">
        <f t="shared" si="7"/>
        <v>0.9</v>
      </c>
      <c r="H57">
        <f t="shared" si="8"/>
        <v>16795.311083241733</v>
      </c>
      <c r="I57">
        <f t="shared" si="0"/>
        <v>0</v>
      </c>
      <c r="J57">
        <f t="shared" si="1"/>
        <v>18251.512858734946</v>
      </c>
      <c r="K57">
        <f t="shared" si="2"/>
        <v>18236.081061126086</v>
      </c>
      <c r="L57">
        <f t="shared" si="9"/>
        <v>18236.081061126086</v>
      </c>
      <c r="M57">
        <f t="shared" si="3"/>
        <v>0</v>
      </c>
      <c r="N57" s="29">
        <f t="shared" si="10"/>
        <v>18236.081061126086</v>
      </c>
      <c r="O57" s="29">
        <f t="shared" si="4"/>
        <v>18231.371497226301</v>
      </c>
      <c r="P57" s="29">
        <f t="shared" si="11"/>
        <v>18231.371497226301</v>
      </c>
      <c r="Q57">
        <f t="shared" si="12"/>
        <v>0</v>
      </c>
      <c r="R57" s="29">
        <f t="shared" si="13"/>
        <v>18231.371497226301</v>
      </c>
      <c r="S57" s="29">
        <f t="shared" si="5"/>
        <v>18231.371497226301</v>
      </c>
      <c r="T57" s="29">
        <f t="shared" si="14"/>
        <v>18231.371497226301</v>
      </c>
      <c r="U57">
        <f t="shared" si="15"/>
        <v>0</v>
      </c>
      <c r="V57" s="29">
        <f t="shared" si="16"/>
        <v>18231.371497226301</v>
      </c>
      <c r="W57" s="29">
        <f t="shared" si="6"/>
        <v>18231.371497226301</v>
      </c>
      <c r="X57" s="29">
        <f t="shared" si="17"/>
        <v>18231.371497226301</v>
      </c>
      <c r="Y57">
        <f t="shared" si="18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allocations'!$A$1:$L$317,4,FALSE)</f>
        <v>0</v>
      </c>
      <c r="E58" s="31">
        <f>VLOOKUP(B58,'Initial adjusted formula count'!$A$1:$P$317,12,FALSE)</f>
        <v>2.6548672566371698E-2</v>
      </c>
      <c r="F58">
        <f>VLOOKUP(B58,'Model allocations'!$A$1:$L$317,9,FALSE)</f>
        <v>0</v>
      </c>
      <c r="G58" s="30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29">
        <f t="shared" si="10"/>
        <v>0</v>
      </c>
      <c r="O58" s="29">
        <f t="shared" si="4"/>
        <v>0</v>
      </c>
      <c r="P58" s="29">
        <f t="shared" si="11"/>
        <v>0</v>
      </c>
      <c r="Q58">
        <f t="shared" si="12"/>
        <v>0</v>
      </c>
      <c r="R58" s="29">
        <f t="shared" si="13"/>
        <v>0</v>
      </c>
      <c r="S58" s="29">
        <f t="shared" si="5"/>
        <v>0</v>
      </c>
      <c r="T58" s="29">
        <f t="shared" si="14"/>
        <v>0</v>
      </c>
      <c r="U58">
        <f t="shared" si="15"/>
        <v>0</v>
      </c>
      <c r="V58" s="29">
        <f t="shared" si="16"/>
        <v>0</v>
      </c>
      <c r="W58" s="29">
        <f t="shared" si="6"/>
        <v>0</v>
      </c>
      <c r="X58" s="29">
        <f t="shared" si="17"/>
        <v>0</v>
      </c>
      <c r="Y58">
        <f t="shared" si="18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allocations'!$A$1:$L$317,4,FALSE)</f>
        <v>14928.254023549607</v>
      </c>
      <c r="E59" s="31">
        <f>VLOOKUP(B59,'Initial adjusted formula count'!$A$1:$P$317,12,FALSE)</f>
        <v>9.4861660079051405E-2</v>
      </c>
      <c r="F59">
        <f>VLOOKUP(B59,'Model allocations'!$A$1:$L$317,9,FALSE)</f>
        <v>12689.015920017166</v>
      </c>
      <c r="G59" s="30">
        <f t="shared" si="7"/>
        <v>0.85</v>
      </c>
      <c r="H59">
        <f t="shared" si="8"/>
        <v>12689.015920017166</v>
      </c>
      <c r="I59">
        <f t="shared" si="0"/>
        <v>0</v>
      </c>
      <c r="J59">
        <f t="shared" si="1"/>
        <v>12689.015920017166</v>
      </c>
      <c r="K59">
        <f t="shared" si="2"/>
        <v>12678.287257300333</v>
      </c>
      <c r="L59">
        <f t="shared" si="9"/>
        <v>12678.287257300333</v>
      </c>
      <c r="M59">
        <f t="shared" si="3"/>
        <v>12689.015920017166</v>
      </c>
      <c r="N59" s="29">
        <f t="shared" si="10"/>
        <v>0</v>
      </c>
      <c r="O59" s="29">
        <f t="shared" si="4"/>
        <v>0</v>
      </c>
      <c r="P59" s="29">
        <f t="shared" si="11"/>
        <v>12689.015920017166</v>
      </c>
      <c r="Q59">
        <f t="shared" si="12"/>
        <v>0</v>
      </c>
      <c r="R59" s="29">
        <f t="shared" si="13"/>
        <v>0</v>
      </c>
      <c r="S59" s="29">
        <f t="shared" si="5"/>
        <v>0</v>
      </c>
      <c r="T59" s="29">
        <f t="shared" si="14"/>
        <v>12689.015920017166</v>
      </c>
      <c r="U59">
        <f t="shared" si="15"/>
        <v>0</v>
      </c>
      <c r="V59" s="29">
        <f t="shared" si="16"/>
        <v>0</v>
      </c>
      <c r="W59" s="29">
        <f t="shared" si="6"/>
        <v>0</v>
      </c>
      <c r="X59" s="29">
        <f t="shared" si="17"/>
        <v>12689.015920017166</v>
      </c>
      <c r="Y59">
        <f t="shared" si="18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allocations'!$A$1:$L$317,4,FALSE)</f>
        <v>16123.689816514952</v>
      </c>
      <c r="E60" s="31">
        <f>VLOOKUP(B60,'Initial adjusted formula count'!$A$1:$P$317,12,FALSE)</f>
        <v>0.13945578231292499</v>
      </c>
      <c r="F60">
        <f>VLOOKUP(B60,'Model allocations'!$A$1:$L$317,9,FALSE)</f>
        <v>13705.13634403771</v>
      </c>
      <c r="G60" s="30">
        <f t="shared" si="7"/>
        <v>0.85</v>
      </c>
      <c r="H60">
        <f t="shared" si="8"/>
        <v>13705.13634403771</v>
      </c>
      <c r="I60">
        <f t="shared" si="0"/>
        <v>0</v>
      </c>
      <c r="J60">
        <f t="shared" si="1"/>
        <v>13705.13634403771</v>
      </c>
      <c r="K60">
        <f t="shared" si="2"/>
        <v>13693.548543513996</v>
      </c>
      <c r="L60">
        <f t="shared" si="9"/>
        <v>13693.548543513996</v>
      </c>
      <c r="M60">
        <f t="shared" si="3"/>
        <v>13705.13634403771</v>
      </c>
      <c r="N60" s="29">
        <f t="shared" si="10"/>
        <v>0</v>
      </c>
      <c r="O60" s="29">
        <f t="shared" si="4"/>
        <v>0</v>
      </c>
      <c r="P60" s="29">
        <f t="shared" si="11"/>
        <v>13705.13634403771</v>
      </c>
      <c r="Q60">
        <f t="shared" si="12"/>
        <v>0</v>
      </c>
      <c r="R60" s="29">
        <f t="shared" si="13"/>
        <v>0</v>
      </c>
      <c r="S60" s="29">
        <f t="shared" si="5"/>
        <v>0</v>
      </c>
      <c r="T60" s="29">
        <f t="shared" si="14"/>
        <v>13705.13634403771</v>
      </c>
      <c r="U60">
        <f t="shared" si="15"/>
        <v>0</v>
      </c>
      <c r="V60" s="29">
        <f t="shared" si="16"/>
        <v>0</v>
      </c>
      <c r="W60" s="29">
        <f t="shared" si="6"/>
        <v>0</v>
      </c>
      <c r="X60" s="29">
        <f t="shared" si="17"/>
        <v>13705.13634403771</v>
      </c>
      <c r="Y60">
        <f t="shared" si="18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allocations'!$A$1:$L$317,4,FALSE)</f>
        <v>18165.70670335554</v>
      </c>
      <c r="E61" s="31">
        <f>VLOOKUP(B61,'Initial adjusted formula count'!$A$1:$P$317,12,FALSE)</f>
        <v>0.17601547388781399</v>
      </c>
      <c r="F61">
        <f>VLOOKUP(B61,'Model allocations'!$A$1:$L$317,9,FALSE)</f>
        <v>21293.431668524096</v>
      </c>
      <c r="G61" s="30">
        <f t="shared" si="7"/>
        <v>0.9</v>
      </c>
      <c r="H61">
        <f t="shared" si="8"/>
        <v>16349.136033019986</v>
      </c>
      <c r="I61">
        <f t="shared" si="0"/>
        <v>0</v>
      </c>
      <c r="J61">
        <f t="shared" si="1"/>
        <v>21293.431668524096</v>
      </c>
      <c r="K61">
        <f t="shared" si="2"/>
        <v>21275.427904647095</v>
      </c>
      <c r="L61">
        <f t="shared" si="9"/>
        <v>21275.427904647095</v>
      </c>
      <c r="M61">
        <f t="shared" si="3"/>
        <v>0</v>
      </c>
      <c r="N61" s="29">
        <f t="shared" si="10"/>
        <v>21275.427904647095</v>
      </c>
      <c r="O61" s="29">
        <f t="shared" si="4"/>
        <v>21269.933413430677</v>
      </c>
      <c r="P61" s="29">
        <f t="shared" si="11"/>
        <v>21269.933413430677</v>
      </c>
      <c r="Q61">
        <f t="shared" si="12"/>
        <v>0</v>
      </c>
      <c r="R61" s="29">
        <f t="shared" si="13"/>
        <v>21269.933413430677</v>
      </c>
      <c r="S61" s="29">
        <f t="shared" si="5"/>
        <v>21269.933413430677</v>
      </c>
      <c r="T61" s="29">
        <f t="shared" si="14"/>
        <v>21269.933413430677</v>
      </c>
      <c r="U61">
        <f t="shared" si="15"/>
        <v>0</v>
      </c>
      <c r="V61" s="29">
        <f t="shared" si="16"/>
        <v>21269.933413430677</v>
      </c>
      <c r="W61" s="29">
        <f t="shared" si="6"/>
        <v>21269.933413430677</v>
      </c>
      <c r="X61" s="29">
        <f t="shared" si="17"/>
        <v>21269.933413430677</v>
      </c>
      <c r="Y61">
        <f t="shared" si="18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allocations'!$A$1:$L$317,4,FALSE)</f>
        <v>0</v>
      </c>
      <c r="E62" s="31">
        <f>VLOOKUP(B62,'Initial adjusted formula count'!$A$1:$P$317,12,FALSE)</f>
        <v>9.8449937159614601E-2</v>
      </c>
      <c r="F62">
        <f>VLOOKUP(B62,'Model allocations'!$A$1:$L$317,9,FALSE)</f>
        <v>0</v>
      </c>
      <c r="G62" s="30">
        <f t="shared" si="7"/>
        <v>0.85</v>
      </c>
      <c r="H62">
        <f t="shared" si="8"/>
        <v>0</v>
      </c>
      <c r="I62">
        <f t="shared" si="0"/>
        <v>0</v>
      </c>
      <c r="J62">
        <f t="shared" si="1"/>
        <v>0</v>
      </c>
      <c r="K62">
        <f t="shared" si="2"/>
        <v>0</v>
      </c>
      <c r="L62">
        <f t="shared" si="9"/>
        <v>0</v>
      </c>
      <c r="M62">
        <f t="shared" si="3"/>
        <v>0</v>
      </c>
      <c r="N62" s="29">
        <f t="shared" si="10"/>
        <v>0</v>
      </c>
      <c r="O62" s="29">
        <f t="shared" si="4"/>
        <v>0</v>
      </c>
      <c r="P62" s="29">
        <f t="shared" si="11"/>
        <v>0</v>
      </c>
      <c r="Q62">
        <f t="shared" si="12"/>
        <v>0</v>
      </c>
      <c r="R62" s="29">
        <f t="shared" si="13"/>
        <v>0</v>
      </c>
      <c r="S62" s="29">
        <f t="shared" si="5"/>
        <v>0</v>
      </c>
      <c r="T62" s="29">
        <f t="shared" si="14"/>
        <v>0</v>
      </c>
      <c r="U62">
        <f t="shared" si="15"/>
        <v>0</v>
      </c>
      <c r="V62" s="29">
        <f t="shared" si="16"/>
        <v>0</v>
      </c>
      <c r="W62" s="29">
        <f t="shared" si="6"/>
        <v>0</v>
      </c>
      <c r="X62" s="29">
        <f t="shared" si="17"/>
        <v>0</v>
      </c>
      <c r="Y62">
        <f t="shared" si="18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allocations'!$A$1:$L$317,4,FALSE)</f>
        <v>0</v>
      </c>
      <c r="E63" s="31">
        <f>VLOOKUP(B63,'Initial adjusted formula count'!$A$1:$P$317,12,FALSE)</f>
        <v>4.4483209768861803E-2</v>
      </c>
      <c r="F63">
        <f>VLOOKUP(B63,'Model allocations'!$A$1:$L$317,9,FALSE)</f>
        <v>0</v>
      </c>
      <c r="G63" s="30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29">
        <f t="shared" si="10"/>
        <v>0</v>
      </c>
      <c r="O63" s="29">
        <f t="shared" si="4"/>
        <v>0</v>
      </c>
      <c r="P63" s="29">
        <f t="shared" si="11"/>
        <v>0</v>
      </c>
      <c r="Q63">
        <f t="shared" si="12"/>
        <v>0</v>
      </c>
      <c r="R63" s="29">
        <f t="shared" si="13"/>
        <v>0</v>
      </c>
      <c r="S63" s="29">
        <f t="shared" si="5"/>
        <v>0</v>
      </c>
      <c r="T63" s="29">
        <f t="shared" si="14"/>
        <v>0</v>
      </c>
      <c r="U63">
        <f t="shared" si="15"/>
        <v>0</v>
      </c>
      <c r="V63" s="29">
        <f t="shared" si="16"/>
        <v>0</v>
      </c>
      <c r="W63" s="29">
        <f t="shared" si="6"/>
        <v>0</v>
      </c>
      <c r="X63" s="29">
        <f t="shared" si="17"/>
        <v>0</v>
      </c>
      <c r="Y63">
        <f t="shared" si="18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allocations'!$A$1:$L$317,4,FALSE)</f>
        <v>1453.183691881286</v>
      </c>
      <c r="E64" s="31">
        <f>VLOOKUP(B64,'Initial adjusted formula count'!$A$1:$P$317,12,FALSE)</f>
        <v>0.08</v>
      </c>
      <c r="F64">
        <f>VLOOKUP(B64,'Model allocations'!$A$1:$L$317,9,FALSE)</f>
        <v>1235.2061380990931</v>
      </c>
      <c r="G64" s="30">
        <f t="shared" si="7"/>
        <v>0.85</v>
      </c>
      <c r="H64">
        <f t="shared" si="8"/>
        <v>1235.2061380990931</v>
      </c>
      <c r="I64">
        <f t="shared" si="0"/>
        <v>0</v>
      </c>
      <c r="J64">
        <f t="shared" si="1"/>
        <v>1235.2061380990931</v>
      </c>
      <c r="K64">
        <f t="shared" si="2"/>
        <v>1234.1617615985861</v>
      </c>
      <c r="L64">
        <f t="shared" si="9"/>
        <v>1234.1617615985861</v>
      </c>
      <c r="M64">
        <f t="shared" si="3"/>
        <v>1235.2061380990931</v>
      </c>
      <c r="N64" s="29">
        <f t="shared" si="10"/>
        <v>0</v>
      </c>
      <c r="O64" s="29">
        <f t="shared" si="4"/>
        <v>0</v>
      </c>
      <c r="P64" s="29">
        <f t="shared" si="11"/>
        <v>1235.2061380990931</v>
      </c>
      <c r="Q64">
        <f t="shared" si="12"/>
        <v>0</v>
      </c>
      <c r="R64" s="29">
        <f t="shared" si="13"/>
        <v>0</v>
      </c>
      <c r="S64" s="29">
        <f t="shared" si="5"/>
        <v>0</v>
      </c>
      <c r="T64" s="29">
        <f t="shared" si="14"/>
        <v>1235.2061380990931</v>
      </c>
      <c r="U64">
        <f t="shared" si="15"/>
        <v>0</v>
      </c>
      <c r="V64" s="29">
        <f t="shared" si="16"/>
        <v>0</v>
      </c>
      <c r="W64" s="29">
        <f t="shared" si="6"/>
        <v>0</v>
      </c>
      <c r="X64" s="29">
        <f t="shared" si="17"/>
        <v>1235.2061380990931</v>
      </c>
      <c r="Y64">
        <f t="shared" si="18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allocations'!$A$1:$L$317,4,FALSE)</f>
        <v>183617.43089372537</v>
      </c>
      <c r="E65" s="31">
        <f>VLOOKUP(B65,'Initial adjusted formula count'!$A$1:$P$317,12,FALSE)</f>
        <v>0.12985359643539099</v>
      </c>
      <c r="F65">
        <f>VLOOKUP(B65,'Model allocations'!$A$1:$L$317,9,FALSE)</f>
        <v>156074.81625966655</v>
      </c>
      <c r="G65" s="30">
        <f t="shared" si="7"/>
        <v>0.85</v>
      </c>
      <c r="H65">
        <f t="shared" si="8"/>
        <v>156074.81625966655</v>
      </c>
      <c r="I65">
        <f t="shared" si="0"/>
        <v>0</v>
      </c>
      <c r="J65">
        <f t="shared" si="1"/>
        <v>156074.81625966655</v>
      </c>
      <c r="K65">
        <f t="shared" si="2"/>
        <v>155942.85377551522</v>
      </c>
      <c r="L65">
        <f t="shared" si="9"/>
        <v>155942.85377551522</v>
      </c>
      <c r="M65">
        <f t="shared" si="3"/>
        <v>156074.81625966655</v>
      </c>
      <c r="N65" s="29">
        <f t="shared" si="10"/>
        <v>0</v>
      </c>
      <c r="O65" s="29">
        <f t="shared" si="4"/>
        <v>0</v>
      </c>
      <c r="P65" s="29">
        <f t="shared" si="11"/>
        <v>156074.81625966655</v>
      </c>
      <c r="Q65">
        <f t="shared" si="12"/>
        <v>0</v>
      </c>
      <c r="R65" s="29">
        <f t="shared" si="13"/>
        <v>0</v>
      </c>
      <c r="S65" s="29">
        <f t="shared" si="5"/>
        <v>0</v>
      </c>
      <c r="T65" s="29">
        <f t="shared" si="14"/>
        <v>156074.81625966655</v>
      </c>
      <c r="U65">
        <f t="shared" si="15"/>
        <v>0</v>
      </c>
      <c r="V65" s="29">
        <f t="shared" si="16"/>
        <v>0</v>
      </c>
      <c r="W65" s="29">
        <f t="shared" si="6"/>
        <v>0</v>
      </c>
      <c r="X65" s="29">
        <f t="shared" si="17"/>
        <v>156074.81625966655</v>
      </c>
      <c r="Y65">
        <f t="shared" si="18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allocations'!$A$1:$L$317,4,FALSE)</f>
        <v>0</v>
      </c>
      <c r="E66" s="31">
        <f>VLOOKUP(B66,'Initial adjusted formula count'!$A$1:$P$317,12,FALSE)</f>
        <v>0.137717818999438</v>
      </c>
      <c r="F66">
        <f>VLOOKUP(B66,'Model allocations'!$A$1:$L$317,9,FALSE)</f>
        <v>0</v>
      </c>
      <c r="G66" s="30">
        <f t="shared" si="7"/>
        <v>0.85</v>
      </c>
      <c r="H66">
        <f t="shared" si="8"/>
        <v>0</v>
      </c>
      <c r="I66">
        <f t="shared" si="0"/>
        <v>0</v>
      </c>
      <c r="J66">
        <f t="shared" si="1"/>
        <v>0</v>
      </c>
      <c r="K66">
        <f t="shared" si="2"/>
        <v>0</v>
      </c>
      <c r="L66">
        <f t="shared" si="9"/>
        <v>0</v>
      </c>
      <c r="M66">
        <f t="shared" si="3"/>
        <v>0</v>
      </c>
      <c r="N66" s="29">
        <f t="shared" si="10"/>
        <v>0</v>
      </c>
      <c r="O66" s="29">
        <f t="shared" si="4"/>
        <v>0</v>
      </c>
      <c r="P66" s="29">
        <f t="shared" si="11"/>
        <v>0</v>
      </c>
      <c r="Q66">
        <f t="shared" si="12"/>
        <v>0</v>
      </c>
      <c r="R66" s="29">
        <f t="shared" si="13"/>
        <v>0</v>
      </c>
      <c r="S66" s="29">
        <f t="shared" si="5"/>
        <v>0</v>
      </c>
      <c r="T66" s="29">
        <f t="shared" si="14"/>
        <v>0</v>
      </c>
      <c r="U66">
        <f t="shared" si="15"/>
        <v>0</v>
      </c>
      <c r="V66" s="29">
        <f t="shared" si="16"/>
        <v>0</v>
      </c>
      <c r="W66" s="29">
        <f t="shared" si="6"/>
        <v>0</v>
      </c>
      <c r="X66" s="29">
        <f t="shared" si="17"/>
        <v>0</v>
      </c>
      <c r="Y66">
        <f t="shared" si="18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allocations'!$A$1:$L$317,4,FALSE)</f>
        <v>0</v>
      </c>
      <c r="E67" s="31">
        <f>VLOOKUP(B67,'Initial adjusted formula count'!$A$1:$P$317,12,FALSE)</f>
        <v>0.14135879774577301</v>
      </c>
      <c r="F67">
        <f>VLOOKUP(B67,'Model allocations'!$A$1:$L$317,9,FALSE)</f>
        <v>0</v>
      </c>
      <c r="G67" s="30">
        <f t="shared" si="7"/>
        <v>0.85</v>
      </c>
      <c r="H67">
        <f t="shared" si="8"/>
        <v>0</v>
      </c>
      <c r="I67">
        <f t="shared" si="0"/>
        <v>0</v>
      </c>
      <c r="J67">
        <f t="shared" si="1"/>
        <v>0</v>
      </c>
      <c r="K67">
        <f t="shared" si="2"/>
        <v>0</v>
      </c>
      <c r="L67">
        <f t="shared" si="9"/>
        <v>0</v>
      </c>
      <c r="M67">
        <f t="shared" si="3"/>
        <v>0</v>
      </c>
      <c r="N67" s="29">
        <f t="shared" si="10"/>
        <v>0</v>
      </c>
      <c r="O67" s="29">
        <f t="shared" si="4"/>
        <v>0</v>
      </c>
      <c r="P67" s="29">
        <f t="shared" si="11"/>
        <v>0</v>
      </c>
      <c r="Q67">
        <f t="shared" si="12"/>
        <v>0</v>
      </c>
      <c r="R67" s="29">
        <f t="shared" si="13"/>
        <v>0</v>
      </c>
      <c r="S67" s="29">
        <f t="shared" si="5"/>
        <v>0</v>
      </c>
      <c r="T67" s="29">
        <f t="shared" si="14"/>
        <v>0</v>
      </c>
      <c r="U67">
        <f t="shared" si="15"/>
        <v>0</v>
      </c>
      <c r="V67" s="29">
        <f t="shared" si="16"/>
        <v>0</v>
      </c>
      <c r="W67" s="29">
        <f t="shared" si="6"/>
        <v>0</v>
      </c>
      <c r="X67" s="29">
        <f t="shared" si="17"/>
        <v>0</v>
      </c>
      <c r="Y67">
        <f t="shared" si="18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allocations'!$A$1:$L$317,4,FALSE)</f>
        <v>0</v>
      </c>
      <c r="E68" s="31">
        <f>VLOOKUP(B68,'Initial adjusted formula count'!$A$1:$P$317,12,FALSE)</f>
        <v>0.13375796178343899</v>
      </c>
      <c r="F68">
        <f>VLOOKUP(B68,'Model allocations'!$A$1:$L$317,9,FALSE)</f>
        <v>0</v>
      </c>
      <c r="G68" s="30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0</v>
      </c>
      <c r="K68">
        <f t="shared" ref="K68:K131" si="21">(J68/$J$3)*($F$3-$I$3)</f>
        <v>0</v>
      </c>
      <c r="L68">
        <f t="shared" si="9"/>
        <v>0</v>
      </c>
      <c r="M68">
        <f t="shared" ref="M68:M131" si="22">IF(L68&lt;H68,H68,0)</f>
        <v>0</v>
      </c>
      <c r="N68" s="29">
        <f t="shared" si="10"/>
        <v>0</v>
      </c>
      <c r="O68" s="29">
        <f t="shared" ref="O68:O131" si="23">((N68/$N$3)*($F$3-$I$3-$M$3))</f>
        <v>0</v>
      </c>
      <c r="P68" s="29">
        <f t="shared" si="11"/>
        <v>0</v>
      </c>
      <c r="Q68">
        <f t="shared" si="12"/>
        <v>0</v>
      </c>
      <c r="R68" s="29">
        <f t="shared" si="13"/>
        <v>0</v>
      </c>
      <c r="S68" s="29">
        <f t="shared" ref="S68:S131" si="24">((R68/$R$3)*($F$3-$I$3-$M$3-$Q$3))</f>
        <v>0</v>
      </c>
      <c r="T68" s="29">
        <f t="shared" si="14"/>
        <v>0</v>
      </c>
      <c r="U68">
        <f t="shared" si="15"/>
        <v>0</v>
      </c>
      <c r="V68" s="29">
        <f t="shared" si="16"/>
        <v>0</v>
      </c>
      <c r="W68" s="29">
        <f t="shared" ref="W68:W131" si="25">((V68/$V$3)*($F$3-$I$3-$M$3-$Q$3-$U$3))</f>
        <v>0</v>
      </c>
      <c r="X68" s="29">
        <f t="shared" si="17"/>
        <v>0</v>
      </c>
      <c r="Y68">
        <f t="shared" si="18"/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allocations'!$A$1:$L$317,4,FALSE)</f>
        <v>0</v>
      </c>
      <c r="E69" s="31">
        <f>VLOOKUP(B69,'Initial adjusted formula count'!$A$1:$P$317,12,FALSE)</f>
        <v>7.2457245724572503E-2</v>
      </c>
      <c r="F69">
        <f>VLOOKUP(B69,'Model allocations'!$A$1:$L$317,9,FALSE)</f>
        <v>0</v>
      </c>
      <c r="G69" s="30">
        <f t="shared" ref="G69:G132" si="26">IF(E69&lt;0.15,0.85,IF(AND(E69&gt;=0.15,E69&lt;0.3),0.9,0.95))</f>
        <v>0.85</v>
      </c>
      <c r="H69">
        <f t="shared" ref="H69:H132" si="27">IF(F69 = 0, 0, D69*G69)</f>
        <v>0</v>
      </c>
      <c r="I69">
        <f t="shared" si="19"/>
        <v>0</v>
      </c>
      <c r="J69">
        <f t="shared" si="20"/>
        <v>0</v>
      </c>
      <c r="K69">
        <f t="shared" si="21"/>
        <v>0</v>
      </c>
      <c r="L69">
        <f t="shared" ref="L69:L132" si="28">I69+K69</f>
        <v>0</v>
      </c>
      <c r="M69">
        <f t="shared" si="22"/>
        <v>0</v>
      </c>
      <c r="N69" s="29">
        <f t="shared" ref="N69:N132" si="29">IF(I69+M69=0,L69,0)</f>
        <v>0</v>
      </c>
      <c r="O69" s="29">
        <f t="shared" si="23"/>
        <v>0</v>
      </c>
      <c r="P69" s="29">
        <f t="shared" ref="P69:P132" si="30">$I69+$M69+O69</f>
        <v>0</v>
      </c>
      <c r="Q69">
        <f t="shared" ref="Q69:Q132" si="31">IF(P69&lt;H69,H69,0)</f>
        <v>0</v>
      </c>
      <c r="R69" s="29">
        <f t="shared" ref="R69:R132" si="32">IF($I69+$M69+$Q69=0,P69,0)</f>
        <v>0</v>
      </c>
      <c r="S69" s="29">
        <f t="shared" si="24"/>
        <v>0</v>
      </c>
      <c r="T69" s="29">
        <f t="shared" ref="T69:T132" si="33">$I69+$M69+$Q69+S69</f>
        <v>0</v>
      </c>
      <c r="U69">
        <f t="shared" ref="U69:U132" si="34">IF(T69&lt;H69,H69,0)</f>
        <v>0</v>
      </c>
      <c r="V69" s="29">
        <f t="shared" ref="V69:V132" si="35">IF($I69+$M69+$Q69+U69=0,T69,0)</f>
        <v>0</v>
      </c>
      <c r="W69" s="29">
        <f t="shared" si="25"/>
        <v>0</v>
      </c>
      <c r="X69" s="29">
        <f t="shared" ref="X69:X132" si="36">$I69+$M69+$Q69+$U69+W69</f>
        <v>0</v>
      </c>
      <c r="Y69">
        <f t="shared" ref="Y69:Y132" si="37">IF(X69&lt;H69,H69,0)</f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allocations'!$A$1:$L$317,4,FALSE)</f>
        <v>0</v>
      </c>
      <c r="E70" s="31">
        <f>VLOOKUP(B70,'Initial adjusted formula count'!$A$1:$P$317,12,FALSE)</f>
        <v>9.6827021494370502E-2</v>
      </c>
      <c r="F70">
        <f>VLOOKUP(B70,'Model allocations'!$A$1:$L$317,9,FALSE)</f>
        <v>0</v>
      </c>
      <c r="G70" s="30">
        <f t="shared" si="26"/>
        <v>0.85</v>
      </c>
      <c r="H70">
        <f t="shared" si="27"/>
        <v>0</v>
      </c>
      <c r="I70">
        <f t="shared" si="19"/>
        <v>0</v>
      </c>
      <c r="J70">
        <f t="shared" si="20"/>
        <v>0</v>
      </c>
      <c r="K70">
        <f t="shared" si="21"/>
        <v>0</v>
      </c>
      <c r="L70">
        <f t="shared" si="28"/>
        <v>0</v>
      </c>
      <c r="M70">
        <f t="shared" si="22"/>
        <v>0</v>
      </c>
      <c r="N70" s="29">
        <f t="shared" si="29"/>
        <v>0</v>
      </c>
      <c r="O70" s="29">
        <f t="shared" si="23"/>
        <v>0</v>
      </c>
      <c r="P70" s="29">
        <f t="shared" si="30"/>
        <v>0</v>
      </c>
      <c r="Q70">
        <f t="shared" si="31"/>
        <v>0</v>
      </c>
      <c r="R70" s="29">
        <f t="shared" si="32"/>
        <v>0</v>
      </c>
      <c r="S70" s="29">
        <f t="shared" si="24"/>
        <v>0</v>
      </c>
      <c r="T70" s="29">
        <f t="shared" si="33"/>
        <v>0</v>
      </c>
      <c r="U70">
        <f t="shared" si="34"/>
        <v>0</v>
      </c>
      <c r="V70" s="29">
        <f t="shared" si="35"/>
        <v>0</v>
      </c>
      <c r="W70" s="29">
        <f t="shared" si="25"/>
        <v>0</v>
      </c>
      <c r="X70" s="29">
        <f t="shared" si="36"/>
        <v>0</v>
      </c>
      <c r="Y70">
        <f t="shared" si="37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allocations'!$A$1:$L$317,4,FALSE)</f>
        <v>0</v>
      </c>
      <c r="E71" s="31">
        <f>VLOOKUP(B71,'Initial adjusted formula count'!$A$1:$P$317,12,FALSE)</f>
        <v>0.12566027244926301</v>
      </c>
      <c r="F71">
        <f>VLOOKUP(B71,'Model allocations'!$A$1:$L$317,9,FALSE)</f>
        <v>0</v>
      </c>
      <c r="G71" s="30">
        <f t="shared" si="26"/>
        <v>0.85</v>
      </c>
      <c r="H71">
        <f t="shared" si="27"/>
        <v>0</v>
      </c>
      <c r="I71">
        <f t="shared" si="19"/>
        <v>0</v>
      </c>
      <c r="J71">
        <f t="shared" si="20"/>
        <v>0</v>
      </c>
      <c r="K71">
        <f t="shared" si="21"/>
        <v>0</v>
      </c>
      <c r="L71">
        <f t="shared" si="28"/>
        <v>0</v>
      </c>
      <c r="M71">
        <f t="shared" si="22"/>
        <v>0</v>
      </c>
      <c r="N71" s="29">
        <f t="shared" si="29"/>
        <v>0</v>
      </c>
      <c r="O71" s="29">
        <f t="shared" si="23"/>
        <v>0</v>
      </c>
      <c r="P71" s="29">
        <f t="shared" si="30"/>
        <v>0</v>
      </c>
      <c r="Q71">
        <f t="shared" si="31"/>
        <v>0</v>
      </c>
      <c r="R71" s="29">
        <f t="shared" si="32"/>
        <v>0</v>
      </c>
      <c r="S71" s="29">
        <f t="shared" si="24"/>
        <v>0</v>
      </c>
      <c r="T71" s="29">
        <f t="shared" si="33"/>
        <v>0</v>
      </c>
      <c r="U71">
        <f t="shared" si="34"/>
        <v>0</v>
      </c>
      <c r="V71" s="29">
        <f t="shared" si="35"/>
        <v>0</v>
      </c>
      <c r="W71" s="29">
        <f t="shared" si="25"/>
        <v>0</v>
      </c>
      <c r="X71" s="29">
        <f t="shared" si="36"/>
        <v>0</v>
      </c>
      <c r="Y71">
        <f t="shared" si="37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allocations'!$A$1:$L$317,4,FALSE)</f>
        <v>74353.725102644399</v>
      </c>
      <c r="E72" s="31">
        <f>VLOOKUP(B72,'Initial adjusted formula count'!$A$1:$P$317,12,FALSE)</f>
        <v>0.15317011927181401</v>
      </c>
      <c r="F72">
        <f>VLOOKUP(B72,'Model allocations'!$A$1:$L$317,9,FALSE)</f>
        <v>66918.352592379961</v>
      </c>
      <c r="G72" s="30">
        <f t="shared" si="26"/>
        <v>0.9</v>
      </c>
      <c r="H72">
        <f t="shared" si="27"/>
        <v>66918.352592379961</v>
      </c>
      <c r="I72">
        <f t="shared" si="19"/>
        <v>0</v>
      </c>
      <c r="J72">
        <f t="shared" si="20"/>
        <v>66918.352592379961</v>
      </c>
      <c r="K72">
        <f t="shared" si="21"/>
        <v>66861.772599175194</v>
      </c>
      <c r="L72">
        <f t="shared" si="28"/>
        <v>66861.772599175194</v>
      </c>
      <c r="M72">
        <f t="shared" si="22"/>
        <v>66918.352592379961</v>
      </c>
      <c r="N72" s="29">
        <f t="shared" si="29"/>
        <v>0</v>
      </c>
      <c r="O72" s="29">
        <f t="shared" si="23"/>
        <v>0</v>
      </c>
      <c r="P72" s="29">
        <f t="shared" si="30"/>
        <v>66918.352592379961</v>
      </c>
      <c r="Q72">
        <f t="shared" si="31"/>
        <v>0</v>
      </c>
      <c r="R72" s="29">
        <f t="shared" si="32"/>
        <v>0</v>
      </c>
      <c r="S72" s="29">
        <f t="shared" si="24"/>
        <v>0</v>
      </c>
      <c r="T72" s="29">
        <f t="shared" si="33"/>
        <v>66918.352592379961</v>
      </c>
      <c r="U72">
        <f t="shared" si="34"/>
        <v>0</v>
      </c>
      <c r="V72" s="29">
        <f t="shared" si="35"/>
        <v>0</v>
      </c>
      <c r="W72" s="29">
        <f t="shared" si="25"/>
        <v>0</v>
      </c>
      <c r="X72" s="29">
        <f t="shared" si="36"/>
        <v>66918.352592379961</v>
      </c>
      <c r="Y72">
        <f t="shared" si="37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allocations'!$A$1:$L$317,4,FALSE)</f>
        <v>4186.1103992758553</v>
      </c>
      <c r="E73" s="31">
        <f>VLOOKUP(B73,'Initial adjusted formula count'!$A$1:$P$317,12,FALSE)</f>
        <v>0.24444444444444399</v>
      </c>
      <c r="F73">
        <f>VLOOKUP(B73,'Model allocations'!$A$1:$L$317,9,FALSE)</f>
        <v>5147.8626011816523</v>
      </c>
      <c r="G73" s="30">
        <f t="shared" si="26"/>
        <v>0.9</v>
      </c>
      <c r="H73">
        <f t="shared" si="27"/>
        <v>3767.49935934827</v>
      </c>
      <c r="I73">
        <f t="shared" si="19"/>
        <v>0</v>
      </c>
      <c r="J73">
        <f t="shared" si="20"/>
        <v>5147.8626011816523</v>
      </c>
      <c r="K73">
        <f t="shared" si="21"/>
        <v>5143.5100428817177</v>
      </c>
      <c r="L73">
        <f t="shared" si="28"/>
        <v>5143.5100428817177</v>
      </c>
      <c r="M73">
        <f t="shared" si="22"/>
        <v>0</v>
      </c>
      <c r="N73" s="29">
        <f t="shared" si="29"/>
        <v>5143.5100428817177</v>
      </c>
      <c r="O73" s="29">
        <f t="shared" si="23"/>
        <v>5142.1817043458805</v>
      </c>
      <c r="P73" s="29">
        <f t="shared" si="30"/>
        <v>5142.1817043458805</v>
      </c>
      <c r="Q73">
        <f t="shared" si="31"/>
        <v>0</v>
      </c>
      <c r="R73" s="29">
        <f t="shared" si="32"/>
        <v>5142.1817043458805</v>
      </c>
      <c r="S73" s="29">
        <f t="shared" si="24"/>
        <v>5142.1817043458805</v>
      </c>
      <c r="T73" s="29">
        <f t="shared" si="33"/>
        <v>5142.1817043458805</v>
      </c>
      <c r="U73">
        <f t="shared" si="34"/>
        <v>0</v>
      </c>
      <c r="V73" s="29">
        <f t="shared" si="35"/>
        <v>5142.1817043458805</v>
      </c>
      <c r="W73" s="29">
        <f t="shared" si="25"/>
        <v>5142.1817043458805</v>
      </c>
      <c r="X73" s="29">
        <f t="shared" si="36"/>
        <v>5142.1817043458805</v>
      </c>
      <c r="Y73">
        <f t="shared" si="37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allocations'!$A$1:$L$317,4,FALSE)</f>
        <v>15868.173040198501</v>
      </c>
      <c r="E74" s="31">
        <f>VLOOKUP(B74,'Initial adjusted formula count'!$A$1:$P$317,12,FALSE)</f>
        <v>0.16870415647921799</v>
      </c>
      <c r="F74">
        <f>VLOOKUP(B74,'Model allocations'!$A$1:$L$317,9,FALSE)</f>
        <v>16145.569067342451</v>
      </c>
      <c r="G74" s="30">
        <f t="shared" si="26"/>
        <v>0.9</v>
      </c>
      <c r="H74">
        <f t="shared" si="27"/>
        <v>14281.355736178652</v>
      </c>
      <c r="I74">
        <f t="shared" si="19"/>
        <v>0</v>
      </c>
      <c r="J74">
        <f t="shared" si="20"/>
        <v>16145.569067342451</v>
      </c>
      <c r="K74">
        <f t="shared" si="21"/>
        <v>16131.917861765383</v>
      </c>
      <c r="L74">
        <f t="shared" si="28"/>
        <v>16131.917861765383</v>
      </c>
      <c r="M74">
        <f t="shared" si="22"/>
        <v>0</v>
      </c>
      <c r="N74" s="29">
        <f t="shared" si="29"/>
        <v>16131.917861765383</v>
      </c>
      <c r="O74" s="29">
        <f t="shared" si="23"/>
        <v>16127.751709084803</v>
      </c>
      <c r="P74" s="29">
        <f t="shared" si="30"/>
        <v>16127.751709084803</v>
      </c>
      <c r="Q74">
        <f t="shared" si="31"/>
        <v>0</v>
      </c>
      <c r="R74" s="29">
        <f t="shared" si="32"/>
        <v>16127.751709084803</v>
      </c>
      <c r="S74" s="29">
        <f t="shared" si="24"/>
        <v>16127.751709084803</v>
      </c>
      <c r="T74" s="29">
        <f t="shared" si="33"/>
        <v>16127.751709084803</v>
      </c>
      <c r="U74">
        <f t="shared" si="34"/>
        <v>0</v>
      </c>
      <c r="V74" s="29">
        <f t="shared" si="35"/>
        <v>16127.751709084803</v>
      </c>
      <c r="W74" s="29">
        <f t="shared" si="25"/>
        <v>16127.751709084803</v>
      </c>
      <c r="X74" s="29">
        <f t="shared" si="36"/>
        <v>16127.751709084803</v>
      </c>
      <c r="Y74">
        <f t="shared" si="37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allocations'!$A$1:$L$317,4,FALSE)</f>
        <v>0</v>
      </c>
      <c r="E75" s="31">
        <f>VLOOKUP(B75,'Initial adjusted formula count'!$A$1:$P$317,12,FALSE)</f>
        <v>6.2553373185311706E-2</v>
      </c>
      <c r="F75">
        <f>VLOOKUP(B75,'Model allocations'!$A$1:$L$317,9,FALSE)</f>
        <v>0</v>
      </c>
      <c r="G75" s="30">
        <f t="shared" si="26"/>
        <v>0.85</v>
      </c>
      <c r="H75">
        <f t="shared" si="27"/>
        <v>0</v>
      </c>
      <c r="I75">
        <f t="shared" si="19"/>
        <v>0</v>
      </c>
      <c r="J75">
        <f t="shared" si="20"/>
        <v>0</v>
      </c>
      <c r="K75">
        <f t="shared" si="21"/>
        <v>0</v>
      </c>
      <c r="L75">
        <f t="shared" si="28"/>
        <v>0</v>
      </c>
      <c r="M75">
        <f t="shared" si="22"/>
        <v>0</v>
      </c>
      <c r="N75" s="29">
        <f t="shared" si="29"/>
        <v>0</v>
      </c>
      <c r="O75" s="29">
        <f t="shared" si="23"/>
        <v>0</v>
      </c>
      <c r="P75" s="29">
        <f t="shared" si="30"/>
        <v>0</v>
      </c>
      <c r="Q75">
        <f t="shared" si="31"/>
        <v>0</v>
      </c>
      <c r="R75" s="29">
        <f t="shared" si="32"/>
        <v>0</v>
      </c>
      <c r="S75" s="29">
        <f t="shared" si="24"/>
        <v>0</v>
      </c>
      <c r="T75" s="29">
        <f t="shared" si="33"/>
        <v>0</v>
      </c>
      <c r="U75">
        <f t="shared" si="34"/>
        <v>0</v>
      </c>
      <c r="V75" s="29">
        <f t="shared" si="35"/>
        <v>0</v>
      </c>
      <c r="W75" s="29">
        <f t="shared" si="25"/>
        <v>0</v>
      </c>
      <c r="X75" s="29">
        <f t="shared" si="36"/>
        <v>0</v>
      </c>
      <c r="Y75">
        <f t="shared" si="37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allocations'!$A$1:$L$317,4,FALSE)</f>
        <v>105410.00662417576</v>
      </c>
      <c r="E76" s="31">
        <f>VLOOKUP(B76,'Initial adjusted formula count'!$A$1:$P$317,12,FALSE)</f>
        <v>0.148211829436039</v>
      </c>
      <c r="F76">
        <f>VLOOKUP(B76,'Model allocations'!$A$1:$L$317,9,FALSE)</f>
        <v>89598.505630549393</v>
      </c>
      <c r="G76" s="30">
        <f t="shared" si="26"/>
        <v>0.85</v>
      </c>
      <c r="H76">
        <f t="shared" si="27"/>
        <v>89598.505630549393</v>
      </c>
      <c r="I76">
        <f t="shared" si="19"/>
        <v>0</v>
      </c>
      <c r="J76">
        <f t="shared" si="20"/>
        <v>89598.505630549393</v>
      </c>
      <c r="K76">
        <f t="shared" si="21"/>
        <v>89522.749389647695</v>
      </c>
      <c r="L76">
        <f t="shared" si="28"/>
        <v>89522.749389647695</v>
      </c>
      <c r="M76">
        <f t="shared" si="22"/>
        <v>89598.505630549393</v>
      </c>
      <c r="N76" s="29">
        <f t="shared" si="29"/>
        <v>0</v>
      </c>
      <c r="O76" s="29">
        <f t="shared" si="23"/>
        <v>0</v>
      </c>
      <c r="P76" s="29">
        <f t="shared" si="30"/>
        <v>89598.505630549393</v>
      </c>
      <c r="Q76">
        <f t="shared" si="31"/>
        <v>0</v>
      </c>
      <c r="R76" s="29">
        <f t="shared" si="32"/>
        <v>0</v>
      </c>
      <c r="S76" s="29">
        <f t="shared" si="24"/>
        <v>0</v>
      </c>
      <c r="T76" s="29">
        <f t="shared" si="33"/>
        <v>89598.505630549393</v>
      </c>
      <c r="U76">
        <f t="shared" si="34"/>
        <v>0</v>
      </c>
      <c r="V76" s="29">
        <f t="shared" si="35"/>
        <v>0</v>
      </c>
      <c r="W76" s="29">
        <f t="shared" si="25"/>
        <v>0</v>
      </c>
      <c r="X76" s="29">
        <f t="shared" si="36"/>
        <v>89598.505630549393</v>
      </c>
      <c r="Y76">
        <f t="shared" si="37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allocations'!$A$1:$L$317,4,FALSE)</f>
        <v>6961.0195847650912</v>
      </c>
      <c r="E77" s="31">
        <f>VLOOKUP(B77,'Initial adjusted formula count'!$A$1:$P$317,12,FALSE)</f>
        <v>0.123076923076923</v>
      </c>
      <c r="F77">
        <f>VLOOKUP(B77,'Model allocations'!$A$1:$L$317,9,FALSE)</f>
        <v>5916.8666470503276</v>
      </c>
      <c r="G77" s="30">
        <f t="shared" si="26"/>
        <v>0.85</v>
      </c>
      <c r="H77">
        <f t="shared" si="27"/>
        <v>5916.8666470503276</v>
      </c>
      <c r="I77">
        <f t="shared" si="19"/>
        <v>0</v>
      </c>
      <c r="J77">
        <f t="shared" si="20"/>
        <v>5916.8666470503276</v>
      </c>
      <c r="K77">
        <f t="shared" si="21"/>
        <v>5911.8638897839792</v>
      </c>
      <c r="L77">
        <f t="shared" si="28"/>
        <v>5911.8638897839792</v>
      </c>
      <c r="M77">
        <f t="shared" si="22"/>
        <v>5916.8666470503276</v>
      </c>
      <c r="N77" s="29">
        <f t="shared" si="29"/>
        <v>0</v>
      </c>
      <c r="O77" s="29">
        <f t="shared" si="23"/>
        <v>0</v>
      </c>
      <c r="P77" s="29">
        <f t="shared" si="30"/>
        <v>5916.8666470503276</v>
      </c>
      <c r="Q77">
        <f t="shared" si="31"/>
        <v>0</v>
      </c>
      <c r="R77" s="29">
        <f t="shared" si="32"/>
        <v>0</v>
      </c>
      <c r="S77" s="29">
        <f t="shared" si="24"/>
        <v>0</v>
      </c>
      <c r="T77" s="29">
        <f t="shared" si="33"/>
        <v>5916.8666470503276</v>
      </c>
      <c r="U77">
        <f t="shared" si="34"/>
        <v>0</v>
      </c>
      <c r="V77" s="29">
        <f t="shared" si="35"/>
        <v>0</v>
      </c>
      <c r="W77" s="29">
        <f t="shared" si="25"/>
        <v>0</v>
      </c>
      <c r="X77" s="29">
        <f t="shared" si="36"/>
        <v>5916.8666470503276</v>
      </c>
      <c r="Y77">
        <f t="shared" si="37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allocations'!$A$1:$L$317,4,FALSE)</f>
        <v>0</v>
      </c>
      <c r="E78" s="31">
        <f>VLOOKUP(B78,'Initial adjusted formula count'!$A$1:$P$317,12,FALSE)</f>
        <v>0.106965607313888</v>
      </c>
      <c r="F78">
        <f>VLOOKUP(B78,'Model allocations'!$A$1:$L$317,9,FALSE)</f>
        <v>0</v>
      </c>
      <c r="G78" s="30">
        <f t="shared" si="26"/>
        <v>0.85</v>
      </c>
      <c r="H78">
        <f t="shared" si="27"/>
        <v>0</v>
      </c>
      <c r="I78">
        <f t="shared" si="19"/>
        <v>0</v>
      </c>
      <c r="J78">
        <f t="shared" si="20"/>
        <v>0</v>
      </c>
      <c r="K78">
        <f t="shared" si="21"/>
        <v>0</v>
      </c>
      <c r="L78">
        <f t="shared" si="28"/>
        <v>0</v>
      </c>
      <c r="M78">
        <f t="shared" si="22"/>
        <v>0</v>
      </c>
      <c r="N78" s="29">
        <f t="shared" si="29"/>
        <v>0</v>
      </c>
      <c r="O78" s="29">
        <f t="shared" si="23"/>
        <v>0</v>
      </c>
      <c r="P78" s="29">
        <f t="shared" si="30"/>
        <v>0</v>
      </c>
      <c r="Q78">
        <f t="shared" si="31"/>
        <v>0</v>
      </c>
      <c r="R78" s="29">
        <f t="shared" si="32"/>
        <v>0</v>
      </c>
      <c r="S78" s="29">
        <f t="shared" si="24"/>
        <v>0</v>
      </c>
      <c r="T78" s="29">
        <f t="shared" si="33"/>
        <v>0</v>
      </c>
      <c r="U78">
        <f t="shared" si="34"/>
        <v>0</v>
      </c>
      <c r="V78" s="29">
        <f t="shared" si="35"/>
        <v>0</v>
      </c>
      <c r="W78" s="29">
        <f t="shared" si="25"/>
        <v>0</v>
      </c>
      <c r="X78" s="29">
        <f t="shared" si="36"/>
        <v>0</v>
      </c>
      <c r="Y78">
        <f t="shared" si="37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allocations'!$A$1:$L$317,4,FALSE)</f>
        <v>0</v>
      </c>
      <c r="E79" s="31">
        <f>VLOOKUP(B79,'Initial adjusted formula count'!$A$1:$P$317,12,FALSE)</f>
        <v>9.8037024621000501E-2</v>
      </c>
      <c r="F79">
        <f>VLOOKUP(B79,'Model allocations'!$A$1:$L$317,9,FALSE)</f>
        <v>0</v>
      </c>
      <c r="G79" s="30">
        <f t="shared" si="26"/>
        <v>0.85</v>
      </c>
      <c r="H79">
        <f t="shared" si="27"/>
        <v>0</v>
      </c>
      <c r="I79">
        <f t="shared" si="19"/>
        <v>0</v>
      </c>
      <c r="J79">
        <f t="shared" si="20"/>
        <v>0</v>
      </c>
      <c r="K79">
        <f t="shared" si="21"/>
        <v>0</v>
      </c>
      <c r="L79">
        <f t="shared" si="28"/>
        <v>0</v>
      </c>
      <c r="M79">
        <f t="shared" si="22"/>
        <v>0</v>
      </c>
      <c r="N79" s="29">
        <f t="shared" si="29"/>
        <v>0</v>
      </c>
      <c r="O79" s="29">
        <f t="shared" si="23"/>
        <v>0</v>
      </c>
      <c r="P79" s="29">
        <f t="shared" si="30"/>
        <v>0</v>
      </c>
      <c r="Q79">
        <f t="shared" si="31"/>
        <v>0</v>
      </c>
      <c r="R79" s="29">
        <f t="shared" si="32"/>
        <v>0</v>
      </c>
      <c r="S79" s="29">
        <f t="shared" si="24"/>
        <v>0</v>
      </c>
      <c r="T79" s="29">
        <f t="shared" si="33"/>
        <v>0</v>
      </c>
      <c r="U79">
        <f t="shared" si="34"/>
        <v>0</v>
      </c>
      <c r="V79" s="29">
        <f t="shared" si="35"/>
        <v>0</v>
      </c>
      <c r="W79" s="29">
        <f t="shared" si="25"/>
        <v>0</v>
      </c>
      <c r="X79" s="29">
        <f t="shared" si="36"/>
        <v>0</v>
      </c>
      <c r="Y79">
        <f t="shared" si="37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allocations'!$A$1:$L$317,4,FALSE)</f>
        <v>3615.2771630109637</v>
      </c>
      <c r="E80" s="31">
        <f>VLOOKUP(B80,'Initial adjusted formula count'!$A$1:$P$317,12,FALSE)</f>
        <v>0.29824561403508798</v>
      </c>
      <c r="F80">
        <f>VLOOKUP(B80,'Model allocations'!$A$1:$L$317,9,FALSE)</f>
        <v>3977.8938281858209</v>
      </c>
      <c r="G80" s="30">
        <f t="shared" si="26"/>
        <v>0.9</v>
      </c>
      <c r="H80">
        <f t="shared" si="27"/>
        <v>3253.7494467098672</v>
      </c>
      <c r="I80">
        <f t="shared" si="19"/>
        <v>0</v>
      </c>
      <c r="J80">
        <f t="shared" si="20"/>
        <v>3977.8938281858209</v>
      </c>
      <c r="K80">
        <f t="shared" si="21"/>
        <v>3974.5304876813266</v>
      </c>
      <c r="L80">
        <f t="shared" si="28"/>
        <v>3974.5304876813266</v>
      </c>
      <c r="M80">
        <f t="shared" si="22"/>
        <v>0</v>
      </c>
      <c r="N80" s="29">
        <f t="shared" si="29"/>
        <v>3974.5304876813266</v>
      </c>
      <c r="O80" s="29">
        <f t="shared" si="23"/>
        <v>3973.5040442672707</v>
      </c>
      <c r="P80" s="29">
        <f t="shared" si="30"/>
        <v>3973.5040442672707</v>
      </c>
      <c r="Q80">
        <f t="shared" si="31"/>
        <v>0</v>
      </c>
      <c r="R80" s="29">
        <f t="shared" si="32"/>
        <v>3973.5040442672707</v>
      </c>
      <c r="S80" s="29">
        <f t="shared" si="24"/>
        <v>3973.5040442672707</v>
      </c>
      <c r="T80" s="29">
        <f t="shared" si="33"/>
        <v>3973.5040442672707</v>
      </c>
      <c r="U80">
        <f t="shared" si="34"/>
        <v>0</v>
      </c>
      <c r="V80" s="29">
        <f t="shared" si="35"/>
        <v>3973.5040442672707</v>
      </c>
      <c r="W80" s="29">
        <f t="shared" si="25"/>
        <v>3973.5040442672707</v>
      </c>
      <c r="X80" s="29">
        <f t="shared" si="36"/>
        <v>3973.5040442672707</v>
      </c>
      <c r="Y80">
        <f t="shared" si="37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allocations'!$A$1:$L$317,4,FALSE)</f>
        <v>964104.85628520336</v>
      </c>
      <c r="E81" s="31">
        <f>VLOOKUP(B81,'Initial adjusted formula count'!$A$1:$P$317,12,FALSE)</f>
        <v>0.17527095226276199</v>
      </c>
      <c r="F81">
        <f>VLOOKUP(B81,'Model allocations'!$A$1:$L$317,9,FALSE)</f>
        <v>991431.53823666624</v>
      </c>
      <c r="G81" s="30">
        <f t="shared" si="26"/>
        <v>0.9</v>
      </c>
      <c r="H81">
        <f t="shared" si="27"/>
        <v>867694.37065668299</v>
      </c>
      <c r="I81">
        <f t="shared" si="19"/>
        <v>0</v>
      </c>
      <c r="J81">
        <f t="shared" si="20"/>
        <v>991431.53823666624</v>
      </c>
      <c r="K81">
        <f t="shared" si="21"/>
        <v>990593.27507681074</v>
      </c>
      <c r="L81">
        <f t="shared" si="28"/>
        <v>990593.27507681074</v>
      </c>
      <c r="M81">
        <f t="shared" si="22"/>
        <v>0</v>
      </c>
      <c r="N81" s="29">
        <f t="shared" si="29"/>
        <v>990593.27507681074</v>
      </c>
      <c r="O81" s="29">
        <f t="shared" si="23"/>
        <v>990337.44915061351</v>
      </c>
      <c r="P81" s="29">
        <f t="shared" si="30"/>
        <v>990337.44915061351</v>
      </c>
      <c r="Q81">
        <f t="shared" si="31"/>
        <v>0</v>
      </c>
      <c r="R81" s="29">
        <f t="shared" si="32"/>
        <v>990337.44915061351</v>
      </c>
      <c r="S81" s="29">
        <f t="shared" si="24"/>
        <v>990337.44915061351</v>
      </c>
      <c r="T81" s="29">
        <f t="shared" si="33"/>
        <v>990337.44915061351</v>
      </c>
      <c r="U81">
        <f t="shared" si="34"/>
        <v>0</v>
      </c>
      <c r="V81" s="29">
        <f t="shared" si="35"/>
        <v>990337.44915061351</v>
      </c>
      <c r="W81" s="29">
        <f t="shared" si="25"/>
        <v>990337.44915061351</v>
      </c>
      <c r="X81" s="29">
        <f t="shared" si="36"/>
        <v>990337.44915061351</v>
      </c>
      <c r="Y81">
        <f t="shared" si="37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allocations'!$A$1:$L$317,4,FALSE)</f>
        <v>185434.09515999569</v>
      </c>
      <c r="E82" s="31">
        <f>VLOOKUP(B82,'Initial adjusted formula count'!$A$1:$P$317,12,FALSE)</f>
        <v>0.12768708582511701</v>
      </c>
      <c r="F82">
        <f>VLOOKUP(B82,'Model allocations'!$A$1:$L$317,9,FALSE)</f>
        <v>157618.98088599634</v>
      </c>
      <c r="G82" s="30">
        <f t="shared" si="26"/>
        <v>0.85</v>
      </c>
      <c r="H82">
        <f t="shared" si="27"/>
        <v>157618.98088599634</v>
      </c>
      <c r="I82">
        <f t="shared" si="19"/>
        <v>0</v>
      </c>
      <c r="J82">
        <f t="shared" si="20"/>
        <v>157618.98088599634</v>
      </c>
      <c r="K82">
        <f t="shared" si="21"/>
        <v>157485.71279851376</v>
      </c>
      <c r="L82">
        <f t="shared" si="28"/>
        <v>157485.71279851376</v>
      </c>
      <c r="M82">
        <f t="shared" si="22"/>
        <v>157618.98088599634</v>
      </c>
      <c r="N82" s="29">
        <f t="shared" si="29"/>
        <v>0</v>
      </c>
      <c r="O82" s="29">
        <f t="shared" si="23"/>
        <v>0</v>
      </c>
      <c r="P82" s="29">
        <f t="shared" si="30"/>
        <v>157618.98088599634</v>
      </c>
      <c r="Q82">
        <f t="shared" si="31"/>
        <v>0</v>
      </c>
      <c r="R82" s="29">
        <f t="shared" si="32"/>
        <v>0</v>
      </c>
      <c r="S82" s="29">
        <f t="shared" si="24"/>
        <v>0</v>
      </c>
      <c r="T82" s="29">
        <f t="shared" si="33"/>
        <v>157618.98088599634</v>
      </c>
      <c r="U82">
        <f t="shared" si="34"/>
        <v>0</v>
      </c>
      <c r="V82" s="29">
        <f t="shared" si="35"/>
        <v>0</v>
      </c>
      <c r="W82" s="29">
        <f t="shared" si="25"/>
        <v>0</v>
      </c>
      <c r="X82" s="29">
        <f t="shared" si="36"/>
        <v>157618.98088599634</v>
      </c>
      <c r="Y82">
        <f t="shared" si="37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allocations'!$A$1:$L$317,4,FALSE)</f>
        <v>0</v>
      </c>
      <c r="E83" s="31">
        <f>VLOOKUP(B83,'Initial adjusted formula count'!$A$1:$P$317,12,FALSE)</f>
        <v>9.6238397655105001E-2</v>
      </c>
      <c r="F83">
        <f>VLOOKUP(B83,'Model allocations'!$A$1:$L$317,9,FALSE)</f>
        <v>0</v>
      </c>
      <c r="G83" s="30">
        <f t="shared" si="26"/>
        <v>0.85</v>
      </c>
      <c r="H83">
        <f t="shared" si="27"/>
        <v>0</v>
      </c>
      <c r="I83">
        <f t="shared" si="19"/>
        <v>0</v>
      </c>
      <c r="J83">
        <f t="shared" si="20"/>
        <v>0</v>
      </c>
      <c r="K83">
        <f t="shared" si="21"/>
        <v>0</v>
      </c>
      <c r="L83">
        <f t="shared" si="28"/>
        <v>0</v>
      </c>
      <c r="M83">
        <f t="shared" si="22"/>
        <v>0</v>
      </c>
      <c r="N83" s="29">
        <f t="shared" si="29"/>
        <v>0</v>
      </c>
      <c r="O83" s="29">
        <f t="shared" si="23"/>
        <v>0</v>
      </c>
      <c r="P83" s="29">
        <f t="shared" si="30"/>
        <v>0</v>
      </c>
      <c r="Q83">
        <f t="shared" si="31"/>
        <v>0</v>
      </c>
      <c r="R83" s="29">
        <f t="shared" si="32"/>
        <v>0</v>
      </c>
      <c r="S83" s="29">
        <f t="shared" si="24"/>
        <v>0</v>
      </c>
      <c r="T83" s="29">
        <f t="shared" si="33"/>
        <v>0</v>
      </c>
      <c r="U83">
        <f t="shared" si="34"/>
        <v>0</v>
      </c>
      <c r="V83" s="29">
        <f t="shared" si="35"/>
        <v>0</v>
      </c>
      <c r="W83" s="29">
        <f t="shared" si="25"/>
        <v>0</v>
      </c>
      <c r="X83" s="29">
        <f t="shared" si="36"/>
        <v>0</v>
      </c>
      <c r="Y83">
        <f t="shared" si="37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allocations'!$A$1:$L$317,4,FALSE)</f>
        <v>31332.816286980466</v>
      </c>
      <c r="E84" s="31">
        <f>VLOOKUP(B84,'Initial adjusted formula count'!$A$1:$P$317,12,FALSE)</f>
        <v>0.13260869565217401</v>
      </c>
      <c r="F84">
        <f>VLOOKUP(B84,'Model allocations'!$A$1:$L$317,9,FALSE)</f>
        <v>26632.893843933394</v>
      </c>
      <c r="G84" s="30">
        <f t="shared" si="26"/>
        <v>0.85</v>
      </c>
      <c r="H84">
        <f t="shared" si="27"/>
        <v>26632.893843933394</v>
      </c>
      <c r="I84">
        <f t="shared" si="19"/>
        <v>0</v>
      </c>
      <c r="J84">
        <f t="shared" si="20"/>
        <v>26632.893843933394</v>
      </c>
      <c r="K84">
        <f t="shared" si="21"/>
        <v>26610.375522810162</v>
      </c>
      <c r="L84">
        <f t="shared" si="28"/>
        <v>26610.375522810162</v>
      </c>
      <c r="M84">
        <f t="shared" si="22"/>
        <v>26632.893843933394</v>
      </c>
      <c r="N84" s="29">
        <f t="shared" si="29"/>
        <v>0</v>
      </c>
      <c r="O84" s="29">
        <f t="shared" si="23"/>
        <v>0</v>
      </c>
      <c r="P84" s="29">
        <f t="shared" si="30"/>
        <v>26632.893843933394</v>
      </c>
      <c r="Q84">
        <f t="shared" si="31"/>
        <v>0</v>
      </c>
      <c r="R84" s="29">
        <f t="shared" si="32"/>
        <v>0</v>
      </c>
      <c r="S84" s="29">
        <f t="shared" si="24"/>
        <v>0</v>
      </c>
      <c r="T84" s="29">
        <f t="shared" si="33"/>
        <v>26632.893843933394</v>
      </c>
      <c r="U84">
        <f t="shared" si="34"/>
        <v>0</v>
      </c>
      <c r="V84" s="29">
        <f t="shared" si="35"/>
        <v>0</v>
      </c>
      <c r="W84" s="29">
        <f t="shared" si="25"/>
        <v>0</v>
      </c>
      <c r="X84" s="29">
        <f t="shared" si="36"/>
        <v>26632.893843933394</v>
      </c>
      <c r="Y84">
        <f t="shared" si="37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allocations'!$A$1:$L$317,4,FALSE)</f>
        <v>208730.02119749374</v>
      </c>
      <c r="E85" s="31">
        <f>VLOOKUP(B85,'Initial adjusted formula count'!$A$1:$P$317,12,FALSE)</f>
        <v>0.14967880085653101</v>
      </c>
      <c r="F85">
        <f>VLOOKUP(B85,'Model allocations'!$A$1:$L$317,9,FALSE)</f>
        <v>177420.51801786968</v>
      </c>
      <c r="G85" s="30">
        <f t="shared" si="26"/>
        <v>0.85</v>
      </c>
      <c r="H85">
        <f t="shared" si="27"/>
        <v>177420.51801786968</v>
      </c>
      <c r="I85">
        <f t="shared" si="19"/>
        <v>0</v>
      </c>
      <c r="J85">
        <f t="shared" si="20"/>
        <v>177420.51801786968</v>
      </c>
      <c r="K85">
        <f t="shared" si="21"/>
        <v>177270.50757506955</v>
      </c>
      <c r="L85">
        <f t="shared" si="28"/>
        <v>177270.50757506955</v>
      </c>
      <c r="M85">
        <f t="shared" si="22"/>
        <v>177420.51801786968</v>
      </c>
      <c r="N85" s="29">
        <f t="shared" si="29"/>
        <v>0</v>
      </c>
      <c r="O85" s="29">
        <f t="shared" si="23"/>
        <v>0</v>
      </c>
      <c r="P85" s="29">
        <f t="shared" si="30"/>
        <v>177420.51801786968</v>
      </c>
      <c r="Q85">
        <f t="shared" si="31"/>
        <v>0</v>
      </c>
      <c r="R85" s="29">
        <f t="shared" si="32"/>
        <v>0</v>
      </c>
      <c r="S85" s="29">
        <f t="shared" si="24"/>
        <v>0</v>
      </c>
      <c r="T85" s="29">
        <f t="shared" si="33"/>
        <v>177420.51801786968</v>
      </c>
      <c r="U85">
        <f t="shared" si="34"/>
        <v>0</v>
      </c>
      <c r="V85" s="29">
        <f t="shared" si="35"/>
        <v>0</v>
      </c>
      <c r="W85" s="29">
        <f t="shared" si="25"/>
        <v>0</v>
      </c>
      <c r="X85" s="29">
        <f t="shared" si="36"/>
        <v>177420.51801786968</v>
      </c>
      <c r="Y85">
        <f t="shared" si="37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allocations'!$A$1:$L$317,4,FALSE)</f>
        <v>0</v>
      </c>
      <c r="E86" s="31">
        <f>VLOOKUP(B86,'Initial adjusted formula count'!$A$1:$P$317,12,FALSE)</f>
        <v>3.6963036963037002E-2</v>
      </c>
      <c r="F86">
        <f>VLOOKUP(B86,'Model allocations'!$A$1:$L$317,9,FALSE)</f>
        <v>0</v>
      </c>
      <c r="G86" s="30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29">
        <f t="shared" si="29"/>
        <v>0</v>
      </c>
      <c r="O86" s="29">
        <f t="shared" si="23"/>
        <v>0</v>
      </c>
      <c r="P86" s="29">
        <f t="shared" si="30"/>
        <v>0</v>
      </c>
      <c r="Q86">
        <f t="shared" si="31"/>
        <v>0</v>
      </c>
      <c r="R86" s="29">
        <f t="shared" si="32"/>
        <v>0</v>
      </c>
      <c r="S86" s="29">
        <f t="shared" si="24"/>
        <v>0</v>
      </c>
      <c r="T86" s="29">
        <f t="shared" si="33"/>
        <v>0</v>
      </c>
      <c r="U86">
        <f t="shared" si="34"/>
        <v>0</v>
      </c>
      <c r="V86" s="29">
        <f t="shared" si="35"/>
        <v>0</v>
      </c>
      <c r="W86" s="29">
        <f t="shared" si="25"/>
        <v>0</v>
      </c>
      <c r="X86" s="29">
        <f t="shared" si="36"/>
        <v>0</v>
      </c>
      <c r="Y86">
        <f t="shared" si="37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allocations'!$A$1:$L$317,4,FALSE)</f>
        <v>7934.0865200992503</v>
      </c>
      <c r="E87" s="31">
        <f>VLOOKUP(B87,'Initial adjusted formula count'!$A$1:$P$317,12,FALSE)</f>
        <v>0.25</v>
      </c>
      <c r="F87">
        <f>VLOOKUP(B87,'Model allocations'!$A$1:$L$317,9,FALSE)</f>
        <v>7721.7939017724757</v>
      </c>
      <c r="G87" s="30">
        <f t="shared" si="26"/>
        <v>0.9</v>
      </c>
      <c r="H87">
        <f t="shared" si="27"/>
        <v>7140.6778680893258</v>
      </c>
      <c r="I87">
        <f t="shared" si="19"/>
        <v>0</v>
      </c>
      <c r="J87">
        <f t="shared" si="20"/>
        <v>7721.7939017724757</v>
      </c>
      <c r="K87">
        <f t="shared" si="21"/>
        <v>7715.2650643225734</v>
      </c>
      <c r="L87">
        <f t="shared" si="28"/>
        <v>7715.2650643225734</v>
      </c>
      <c r="M87">
        <f t="shared" si="22"/>
        <v>0</v>
      </c>
      <c r="N87" s="29">
        <f t="shared" si="29"/>
        <v>7715.2650643225734</v>
      </c>
      <c r="O87" s="29">
        <f t="shared" si="23"/>
        <v>7713.2725565188184</v>
      </c>
      <c r="P87" s="29">
        <f t="shared" si="30"/>
        <v>7713.2725565188184</v>
      </c>
      <c r="Q87">
        <f t="shared" si="31"/>
        <v>0</v>
      </c>
      <c r="R87" s="29">
        <f t="shared" si="32"/>
        <v>7713.2725565188184</v>
      </c>
      <c r="S87" s="29">
        <f t="shared" si="24"/>
        <v>7713.2725565188184</v>
      </c>
      <c r="T87" s="29">
        <f t="shared" si="33"/>
        <v>7713.2725565188184</v>
      </c>
      <c r="U87">
        <f t="shared" si="34"/>
        <v>0</v>
      </c>
      <c r="V87" s="29">
        <f t="shared" si="35"/>
        <v>7713.2725565188184</v>
      </c>
      <c r="W87" s="29">
        <f t="shared" si="25"/>
        <v>7713.2725565188184</v>
      </c>
      <c r="X87" s="29">
        <f t="shared" si="36"/>
        <v>7713.2725565188184</v>
      </c>
      <c r="Y87">
        <f t="shared" si="37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allocations'!$A$1:$L$317,4,FALSE)</f>
        <v>3047.0142868761773</v>
      </c>
      <c r="E88" s="31">
        <f>VLOOKUP(B88,'Initial adjusted formula count'!$A$1:$P$317,12,FALSE)</f>
        <v>0.14516129032258099</v>
      </c>
      <c r="F88">
        <f>VLOOKUP(B88,'Model allocations'!$A$1:$L$317,9,FALSE)</f>
        <v>2589.9621438447507</v>
      </c>
      <c r="G88" s="30">
        <f t="shared" si="26"/>
        <v>0.85</v>
      </c>
      <c r="H88">
        <f t="shared" si="27"/>
        <v>2589.9621438447507</v>
      </c>
      <c r="I88">
        <f t="shared" si="19"/>
        <v>0</v>
      </c>
      <c r="J88">
        <f t="shared" si="20"/>
        <v>2589.9621438447507</v>
      </c>
      <c r="K88">
        <f t="shared" si="21"/>
        <v>2587.7723104907832</v>
      </c>
      <c r="L88">
        <f t="shared" si="28"/>
        <v>2587.7723104907832</v>
      </c>
      <c r="M88">
        <f t="shared" si="22"/>
        <v>2589.9621438447507</v>
      </c>
      <c r="N88" s="29">
        <f t="shared" si="29"/>
        <v>0</v>
      </c>
      <c r="O88" s="29">
        <f t="shared" si="23"/>
        <v>0</v>
      </c>
      <c r="P88" s="29">
        <f t="shared" si="30"/>
        <v>2589.9621438447507</v>
      </c>
      <c r="Q88">
        <f t="shared" si="31"/>
        <v>0</v>
      </c>
      <c r="R88" s="29">
        <f t="shared" si="32"/>
        <v>0</v>
      </c>
      <c r="S88" s="29">
        <f t="shared" si="24"/>
        <v>0</v>
      </c>
      <c r="T88" s="29">
        <f t="shared" si="33"/>
        <v>2589.9621438447507</v>
      </c>
      <c r="U88">
        <f t="shared" si="34"/>
        <v>0</v>
      </c>
      <c r="V88" s="29">
        <f t="shared" si="35"/>
        <v>0</v>
      </c>
      <c r="W88" s="29">
        <f t="shared" si="25"/>
        <v>0</v>
      </c>
      <c r="X88" s="29">
        <f t="shared" si="36"/>
        <v>2589.9621438447507</v>
      </c>
      <c r="Y88">
        <f t="shared" si="37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allocations'!$A$1:$L$317,4,FALSE)</f>
        <v>49871.400983481006</v>
      </c>
      <c r="E89" s="31">
        <f>VLOOKUP(B89,'Initial adjusted formula count'!$A$1:$P$317,12,FALSE)</f>
        <v>0.15348837209302299</v>
      </c>
      <c r="F89">
        <f>VLOOKUP(B89,'Model allocations'!$A$1:$L$317,9,FALSE)</f>
        <v>44884.260885132906</v>
      </c>
      <c r="G89" s="30">
        <f t="shared" si="26"/>
        <v>0.9</v>
      </c>
      <c r="H89">
        <f t="shared" si="27"/>
        <v>44884.260885132906</v>
      </c>
      <c r="I89">
        <f t="shared" si="19"/>
        <v>0</v>
      </c>
      <c r="J89">
        <f t="shared" si="20"/>
        <v>44884.260885132906</v>
      </c>
      <c r="K89">
        <f t="shared" si="21"/>
        <v>44846.310889690685</v>
      </c>
      <c r="L89">
        <f t="shared" si="28"/>
        <v>44846.310889690685</v>
      </c>
      <c r="M89">
        <f t="shared" si="22"/>
        <v>44884.260885132906</v>
      </c>
      <c r="N89" s="29">
        <f t="shared" si="29"/>
        <v>0</v>
      </c>
      <c r="O89" s="29">
        <f t="shared" si="23"/>
        <v>0</v>
      </c>
      <c r="P89" s="29">
        <f t="shared" si="30"/>
        <v>44884.260885132906</v>
      </c>
      <c r="Q89">
        <f t="shared" si="31"/>
        <v>0</v>
      </c>
      <c r="R89" s="29">
        <f t="shared" si="32"/>
        <v>0</v>
      </c>
      <c r="S89" s="29">
        <f t="shared" si="24"/>
        <v>0</v>
      </c>
      <c r="T89" s="29">
        <f t="shared" si="33"/>
        <v>44884.260885132906</v>
      </c>
      <c r="U89">
        <f t="shared" si="34"/>
        <v>0</v>
      </c>
      <c r="V89" s="29">
        <f t="shared" si="35"/>
        <v>0</v>
      </c>
      <c r="W89" s="29">
        <f t="shared" si="25"/>
        <v>0</v>
      </c>
      <c r="X89" s="29">
        <f t="shared" si="36"/>
        <v>44884.260885132906</v>
      </c>
      <c r="Y89">
        <f t="shared" si="37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allocations'!$A$1:$L$317,4,FALSE)</f>
        <v>25615.765050606151</v>
      </c>
      <c r="E90" s="31">
        <f>VLOOKUP(B90,'Initial adjusted formula count'!$A$1:$P$317,12,FALSE)</f>
        <v>0.183035714285714</v>
      </c>
      <c r="F90">
        <f>VLOOKUP(B90,'Model allocations'!$A$1:$L$317,9,FALSE)</f>
        <v>28781.231815697403</v>
      </c>
      <c r="G90" s="30">
        <f t="shared" si="26"/>
        <v>0.9</v>
      </c>
      <c r="H90">
        <f t="shared" si="27"/>
        <v>23054.188545545538</v>
      </c>
      <c r="I90">
        <f t="shared" si="19"/>
        <v>0</v>
      </c>
      <c r="J90">
        <f t="shared" si="20"/>
        <v>28781.231815697403</v>
      </c>
      <c r="K90">
        <f t="shared" si="21"/>
        <v>28756.897057929589</v>
      </c>
      <c r="L90">
        <f t="shared" si="28"/>
        <v>28756.897057929589</v>
      </c>
      <c r="M90">
        <f t="shared" si="22"/>
        <v>0</v>
      </c>
      <c r="N90" s="29">
        <f t="shared" si="29"/>
        <v>28756.897057929589</v>
      </c>
      <c r="O90" s="29">
        <f t="shared" si="23"/>
        <v>28749.470437933775</v>
      </c>
      <c r="P90" s="29">
        <f t="shared" si="30"/>
        <v>28749.470437933775</v>
      </c>
      <c r="Q90">
        <f t="shared" si="31"/>
        <v>0</v>
      </c>
      <c r="R90" s="29">
        <f t="shared" si="32"/>
        <v>28749.470437933775</v>
      </c>
      <c r="S90" s="29">
        <f t="shared" si="24"/>
        <v>28749.470437933775</v>
      </c>
      <c r="T90" s="29">
        <f t="shared" si="33"/>
        <v>28749.470437933775</v>
      </c>
      <c r="U90">
        <f t="shared" si="34"/>
        <v>0</v>
      </c>
      <c r="V90" s="29">
        <f t="shared" si="35"/>
        <v>28749.470437933775</v>
      </c>
      <c r="W90" s="29">
        <f t="shared" si="25"/>
        <v>28749.470437933775</v>
      </c>
      <c r="X90" s="29">
        <f t="shared" si="36"/>
        <v>28749.470437933775</v>
      </c>
      <c r="Y90">
        <f t="shared" si="37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allocations'!$A$1:$L$317,4,FALSE)</f>
        <v>151427.7084407513</v>
      </c>
      <c r="E91" s="31">
        <f>VLOOKUP(B91,'Initial adjusted formula count'!$A$1:$P$317,12,FALSE)</f>
        <v>0.220407070166042</v>
      </c>
      <c r="F91">
        <f>VLOOKUP(B91,'Model allocations'!$A$1:$L$317,9,FALSE)</f>
        <v>192576.86003511361</v>
      </c>
      <c r="G91" s="30">
        <f t="shared" si="26"/>
        <v>0.9</v>
      </c>
      <c r="H91">
        <f t="shared" si="27"/>
        <v>136284.93759667617</v>
      </c>
      <c r="I91">
        <f t="shared" si="19"/>
        <v>0</v>
      </c>
      <c r="J91">
        <f t="shared" si="20"/>
        <v>192576.86003511361</v>
      </c>
      <c r="K91">
        <f t="shared" si="21"/>
        <v>192414.03478598423</v>
      </c>
      <c r="L91">
        <f t="shared" si="28"/>
        <v>192414.03478598423</v>
      </c>
      <c r="M91">
        <f t="shared" si="22"/>
        <v>0</v>
      </c>
      <c r="N91" s="29">
        <f t="shared" si="29"/>
        <v>192414.03478598423</v>
      </c>
      <c r="O91" s="29">
        <f t="shared" si="23"/>
        <v>192364.34284893906</v>
      </c>
      <c r="P91" s="29">
        <f t="shared" si="30"/>
        <v>192364.34284893906</v>
      </c>
      <c r="Q91">
        <f t="shared" si="31"/>
        <v>0</v>
      </c>
      <c r="R91" s="29">
        <f t="shared" si="32"/>
        <v>192364.34284893906</v>
      </c>
      <c r="S91" s="29">
        <f t="shared" si="24"/>
        <v>192364.34284893906</v>
      </c>
      <c r="T91" s="29">
        <f t="shared" si="33"/>
        <v>192364.34284893906</v>
      </c>
      <c r="U91">
        <f t="shared" si="34"/>
        <v>0</v>
      </c>
      <c r="V91" s="29">
        <f t="shared" si="35"/>
        <v>192364.34284893906</v>
      </c>
      <c r="W91" s="29">
        <f t="shared" si="25"/>
        <v>192364.34284893906</v>
      </c>
      <c r="X91" s="29">
        <f t="shared" si="36"/>
        <v>192364.34284893906</v>
      </c>
      <c r="Y91">
        <f t="shared" si="37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allocations'!$A$1:$L$317,4,FALSE)</f>
        <v>84101.31711305202</v>
      </c>
      <c r="E92" s="31">
        <f>VLOOKUP(B92,'Initial adjusted formula count'!$A$1:$P$317,12,FALSE)</f>
        <v>0.16005040957781999</v>
      </c>
      <c r="F92">
        <f>VLOOKUP(B92,'Model allocations'!$A$1:$L$317,9,FALSE)</f>
        <v>75691.185401746814</v>
      </c>
      <c r="G92" s="30">
        <f t="shared" si="26"/>
        <v>0.9</v>
      </c>
      <c r="H92">
        <f t="shared" si="27"/>
        <v>75691.185401746814</v>
      </c>
      <c r="I92">
        <f t="shared" si="19"/>
        <v>0</v>
      </c>
      <c r="J92">
        <f t="shared" si="20"/>
        <v>75691.185401746814</v>
      </c>
      <c r="K92">
        <f t="shared" si="21"/>
        <v>75627.187909432891</v>
      </c>
      <c r="L92">
        <f t="shared" si="28"/>
        <v>75627.187909432891</v>
      </c>
      <c r="M92">
        <f t="shared" si="22"/>
        <v>75691.185401746814</v>
      </c>
      <c r="N92" s="29">
        <f t="shared" si="29"/>
        <v>0</v>
      </c>
      <c r="O92" s="29">
        <f t="shared" si="23"/>
        <v>0</v>
      </c>
      <c r="P92" s="29">
        <f t="shared" si="30"/>
        <v>75691.185401746814</v>
      </c>
      <c r="Q92">
        <f t="shared" si="31"/>
        <v>0</v>
      </c>
      <c r="R92" s="29">
        <f t="shared" si="32"/>
        <v>0</v>
      </c>
      <c r="S92" s="29">
        <f t="shared" si="24"/>
        <v>0</v>
      </c>
      <c r="T92" s="29">
        <f t="shared" si="33"/>
        <v>75691.185401746814</v>
      </c>
      <c r="U92">
        <f t="shared" si="34"/>
        <v>0</v>
      </c>
      <c r="V92" s="29">
        <f t="shared" si="35"/>
        <v>0</v>
      </c>
      <c r="W92" s="29">
        <f t="shared" si="25"/>
        <v>0</v>
      </c>
      <c r="X92" s="29">
        <f t="shared" si="36"/>
        <v>75691.185401746814</v>
      </c>
      <c r="Y92">
        <f t="shared" si="37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allocations'!$A$1:$L$317,4,FALSE)</f>
        <v>0</v>
      </c>
      <c r="E93" s="31">
        <f>VLOOKUP(B93,'Initial adjusted formula count'!$A$1:$P$317,12,FALSE)</f>
        <v>6.4916637105356501E-2</v>
      </c>
      <c r="F93">
        <f>VLOOKUP(B93,'Model allocations'!$A$1:$L$317,9,FALSE)</f>
        <v>0</v>
      </c>
      <c r="G93" s="30">
        <f t="shared" si="26"/>
        <v>0.85</v>
      </c>
      <c r="H93">
        <f t="shared" si="27"/>
        <v>0</v>
      </c>
      <c r="I93">
        <f t="shared" si="19"/>
        <v>0</v>
      </c>
      <c r="J93">
        <f t="shared" si="20"/>
        <v>0</v>
      </c>
      <c r="K93">
        <f t="shared" si="21"/>
        <v>0</v>
      </c>
      <c r="L93">
        <f t="shared" si="28"/>
        <v>0</v>
      </c>
      <c r="M93">
        <f t="shared" si="22"/>
        <v>0</v>
      </c>
      <c r="N93" s="29">
        <f t="shared" si="29"/>
        <v>0</v>
      </c>
      <c r="O93" s="29">
        <f t="shared" si="23"/>
        <v>0</v>
      </c>
      <c r="P93" s="29">
        <f t="shared" si="30"/>
        <v>0</v>
      </c>
      <c r="Q93">
        <f t="shared" si="31"/>
        <v>0</v>
      </c>
      <c r="R93" s="29">
        <f t="shared" si="32"/>
        <v>0</v>
      </c>
      <c r="S93" s="29">
        <f t="shared" si="24"/>
        <v>0</v>
      </c>
      <c r="T93" s="29">
        <f t="shared" si="33"/>
        <v>0</v>
      </c>
      <c r="U93">
        <f t="shared" si="34"/>
        <v>0</v>
      </c>
      <c r="V93" s="29">
        <f t="shared" si="35"/>
        <v>0</v>
      </c>
      <c r="W93" s="29">
        <f t="shared" si="25"/>
        <v>0</v>
      </c>
      <c r="X93" s="29">
        <f t="shared" si="36"/>
        <v>0</v>
      </c>
      <c r="Y93">
        <f t="shared" si="37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allocations'!$A$1:$L$317,4,FALSE)</f>
        <v>6737.4880259950523</v>
      </c>
      <c r="E94" s="31">
        <f>VLOOKUP(B94,'Initial adjusted formula count'!$A$1:$P$317,12,FALSE)</f>
        <v>0.10233918128654999</v>
      </c>
      <c r="F94">
        <f>VLOOKUP(B94,'Model allocations'!$A$1:$L$317,9,FALSE)</f>
        <v>5726.8648220957939</v>
      </c>
      <c r="G94" s="30">
        <f t="shared" si="26"/>
        <v>0.85</v>
      </c>
      <c r="H94">
        <f t="shared" si="27"/>
        <v>5726.8648220957939</v>
      </c>
      <c r="I94">
        <f t="shared" si="19"/>
        <v>0</v>
      </c>
      <c r="J94">
        <f t="shared" si="20"/>
        <v>5726.8648220957939</v>
      </c>
      <c r="K94">
        <f t="shared" si="21"/>
        <v>5722.0227128661709</v>
      </c>
      <c r="L94">
        <f t="shared" si="28"/>
        <v>5722.0227128661709</v>
      </c>
      <c r="M94">
        <f t="shared" si="22"/>
        <v>5726.8648220957939</v>
      </c>
      <c r="N94" s="29">
        <f t="shared" si="29"/>
        <v>0</v>
      </c>
      <c r="O94" s="29">
        <f t="shared" si="23"/>
        <v>0</v>
      </c>
      <c r="P94" s="29">
        <f t="shared" si="30"/>
        <v>5726.8648220957939</v>
      </c>
      <c r="Q94">
        <f t="shared" si="31"/>
        <v>0</v>
      </c>
      <c r="R94" s="29">
        <f t="shared" si="32"/>
        <v>0</v>
      </c>
      <c r="S94" s="29">
        <f t="shared" si="24"/>
        <v>0</v>
      </c>
      <c r="T94" s="29">
        <f t="shared" si="33"/>
        <v>5726.8648220957939</v>
      </c>
      <c r="U94">
        <f t="shared" si="34"/>
        <v>0</v>
      </c>
      <c r="V94" s="29">
        <f t="shared" si="35"/>
        <v>0</v>
      </c>
      <c r="W94" s="29">
        <f t="shared" si="25"/>
        <v>0</v>
      </c>
      <c r="X94" s="29">
        <f t="shared" si="36"/>
        <v>5726.8648220957939</v>
      </c>
      <c r="Y94">
        <f t="shared" si="37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allocations'!$A$1:$L$317,4,FALSE)</f>
        <v>9747.5920104076504</v>
      </c>
      <c r="E95" s="31">
        <f>VLOOKUP(B95,'Initial adjusted formula count'!$A$1:$P$317,12,FALSE)</f>
        <v>0.19148936170212799</v>
      </c>
      <c r="F95">
        <f>VLOOKUP(B95,'Model allocations'!$A$1:$L$317,9,FALSE)</f>
        <v>8772.8328093668861</v>
      </c>
      <c r="G95" s="30">
        <f t="shared" si="26"/>
        <v>0.9</v>
      </c>
      <c r="H95">
        <f t="shared" si="27"/>
        <v>8772.8328093668861</v>
      </c>
      <c r="I95">
        <f t="shared" si="19"/>
        <v>0</v>
      </c>
      <c r="J95">
        <f t="shared" si="20"/>
        <v>8772.8328093668861</v>
      </c>
      <c r="K95">
        <f t="shared" si="21"/>
        <v>8765.4153102577257</v>
      </c>
      <c r="L95">
        <f t="shared" si="28"/>
        <v>8765.4153102577257</v>
      </c>
      <c r="M95">
        <f t="shared" si="22"/>
        <v>8772.8328093668861</v>
      </c>
      <c r="N95" s="29">
        <f t="shared" si="29"/>
        <v>0</v>
      </c>
      <c r="O95" s="29">
        <f t="shared" si="23"/>
        <v>0</v>
      </c>
      <c r="P95" s="29">
        <f t="shared" si="30"/>
        <v>8772.8328093668861</v>
      </c>
      <c r="Q95">
        <f t="shared" si="31"/>
        <v>0</v>
      </c>
      <c r="R95" s="29">
        <f t="shared" si="32"/>
        <v>0</v>
      </c>
      <c r="S95" s="29">
        <f t="shared" si="24"/>
        <v>0</v>
      </c>
      <c r="T95" s="29">
        <f t="shared" si="33"/>
        <v>8772.8328093668861</v>
      </c>
      <c r="U95">
        <f t="shared" si="34"/>
        <v>0</v>
      </c>
      <c r="V95" s="29">
        <f t="shared" si="35"/>
        <v>0</v>
      </c>
      <c r="W95" s="29">
        <f t="shared" si="25"/>
        <v>0</v>
      </c>
      <c r="X95" s="29">
        <f t="shared" si="36"/>
        <v>8772.8328093668861</v>
      </c>
      <c r="Y95">
        <f t="shared" si="37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allocations'!$A$1:$L$317,4,FALSE)</f>
        <v>0</v>
      </c>
      <c r="E96" s="31">
        <f>VLOOKUP(B96,'Initial adjusted formula count'!$A$1:$P$317,12,FALSE)</f>
        <v>5.8252427184466E-2</v>
      </c>
      <c r="F96">
        <f>VLOOKUP(B96,'Model allocations'!$A$1:$L$317,9,FALSE)</f>
        <v>0</v>
      </c>
      <c r="G96" s="30">
        <f t="shared" si="26"/>
        <v>0.85</v>
      </c>
      <c r="H96">
        <f t="shared" si="27"/>
        <v>0</v>
      </c>
      <c r="I96">
        <f t="shared" si="19"/>
        <v>0</v>
      </c>
      <c r="J96">
        <f t="shared" si="20"/>
        <v>0</v>
      </c>
      <c r="K96">
        <f t="shared" si="21"/>
        <v>0</v>
      </c>
      <c r="L96">
        <f t="shared" si="28"/>
        <v>0</v>
      </c>
      <c r="M96">
        <f t="shared" si="22"/>
        <v>0</v>
      </c>
      <c r="N96" s="29">
        <f t="shared" si="29"/>
        <v>0</v>
      </c>
      <c r="O96" s="29">
        <f t="shared" si="23"/>
        <v>0</v>
      </c>
      <c r="P96" s="29">
        <f t="shared" si="30"/>
        <v>0</v>
      </c>
      <c r="Q96">
        <f t="shared" si="31"/>
        <v>0</v>
      </c>
      <c r="R96" s="29">
        <f t="shared" si="32"/>
        <v>0</v>
      </c>
      <c r="S96" s="29">
        <f t="shared" si="24"/>
        <v>0</v>
      </c>
      <c r="T96" s="29">
        <f t="shared" si="33"/>
        <v>0</v>
      </c>
      <c r="U96">
        <f t="shared" si="34"/>
        <v>0</v>
      </c>
      <c r="V96" s="29">
        <f t="shared" si="35"/>
        <v>0</v>
      </c>
      <c r="W96" s="29">
        <f t="shared" si="25"/>
        <v>0</v>
      </c>
      <c r="X96" s="29">
        <f t="shared" si="36"/>
        <v>0</v>
      </c>
      <c r="Y96">
        <f t="shared" si="37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allocations'!$A$1:$L$317,4,FALSE)</f>
        <v>0</v>
      </c>
      <c r="E97" s="31">
        <f>VLOOKUP(B97,'Initial adjusted formula count'!$A$1:$P$317,12,FALSE)</f>
        <v>5.2338530066815103E-2</v>
      </c>
      <c r="F97">
        <f>VLOOKUP(B97,'Model allocations'!$A$1:$L$317,9,FALSE)</f>
        <v>0</v>
      </c>
      <c r="G97" s="30">
        <f t="shared" si="26"/>
        <v>0.85</v>
      </c>
      <c r="H97">
        <f t="shared" si="27"/>
        <v>0</v>
      </c>
      <c r="I97">
        <f t="shared" si="19"/>
        <v>0</v>
      </c>
      <c r="J97">
        <f t="shared" si="20"/>
        <v>0</v>
      </c>
      <c r="K97">
        <f t="shared" si="21"/>
        <v>0</v>
      </c>
      <c r="L97">
        <f t="shared" si="28"/>
        <v>0</v>
      </c>
      <c r="M97">
        <f t="shared" si="22"/>
        <v>0</v>
      </c>
      <c r="N97" s="29">
        <f t="shared" si="29"/>
        <v>0</v>
      </c>
      <c r="O97" s="29">
        <f t="shared" si="23"/>
        <v>0</v>
      </c>
      <c r="P97" s="29">
        <f t="shared" si="30"/>
        <v>0</v>
      </c>
      <c r="Q97">
        <f t="shared" si="31"/>
        <v>0</v>
      </c>
      <c r="R97" s="29">
        <f t="shared" si="32"/>
        <v>0</v>
      </c>
      <c r="S97" s="29">
        <f t="shared" si="24"/>
        <v>0</v>
      </c>
      <c r="T97" s="29">
        <f t="shared" si="33"/>
        <v>0</v>
      </c>
      <c r="U97">
        <f t="shared" si="34"/>
        <v>0</v>
      </c>
      <c r="V97" s="29">
        <f t="shared" si="35"/>
        <v>0</v>
      </c>
      <c r="W97" s="29">
        <f t="shared" si="25"/>
        <v>0</v>
      </c>
      <c r="X97" s="29">
        <f t="shared" si="36"/>
        <v>0</v>
      </c>
      <c r="Y97">
        <f t="shared" si="37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allocations'!$A$1:$L$317,4,FALSE)</f>
        <v>5431.1376224050373</v>
      </c>
      <c r="E98" s="31">
        <f>VLOOKUP(B98,'Initial adjusted formula count'!$A$1:$P$317,12,FALSE)</f>
        <v>0.17241379310344801</v>
      </c>
      <c r="F98">
        <f>VLOOKUP(B98,'Model allocations'!$A$1:$L$317,9,FALSE)</f>
        <v>5849.8438649791478</v>
      </c>
      <c r="G98" s="30">
        <f t="shared" si="26"/>
        <v>0.9</v>
      </c>
      <c r="H98">
        <f t="shared" si="27"/>
        <v>4888.0238601645333</v>
      </c>
      <c r="I98">
        <f t="shared" si="19"/>
        <v>0</v>
      </c>
      <c r="J98">
        <f t="shared" si="20"/>
        <v>5849.8438649791478</v>
      </c>
      <c r="K98">
        <f t="shared" si="21"/>
        <v>5844.8977760019498</v>
      </c>
      <c r="L98">
        <f t="shared" si="28"/>
        <v>5844.8977760019498</v>
      </c>
      <c r="M98">
        <f t="shared" si="22"/>
        <v>0</v>
      </c>
      <c r="N98" s="29">
        <f t="shared" si="29"/>
        <v>5844.8977760019498</v>
      </c>
      <c r="O98" s="29">
        <f t="shared" si="23"/>
        <v>5843.3883003930432</v>
      </c>
      <c r="P98" s="29">
        <f t="shared" si="30"/>
        <v>5843.3883003930432</v>
      </c>
      <c r="Q98">
        <f t="shared" si="31"/>
        <v>0</v>
      </c>
      <c r="R98" s="29">
        <f t="shared" si="32"/>
        <v>5843.3883003930432</v>
      </c>
      <c r="S98" s="29">
        <f t="shared" si="24"/>
        <v>5843.3883003930432</v>
      </c>
      <c r="T98" s="29">
        <f t="shared" si="33"/>
        <v>5843.3883003930432</v>
      </c>
      <c r="U98">
        <f t="shared" si="34"/>
        <v>0</v>
      </c>
      <c r="V98" s="29">
        <f t="shared" si="35"/>
        <v>5843.3883003930432</v>
      </c>
      <c r="W98" s="29">
        <f t="shared" si="25"/>
        <v>5843.3883003930432</v>
      </c>
      <c r="X98" s="29">
        <f t="shared" si="36"/>
        <v>5843.3883003930432</v>
      </c>
      <c r="Y98">
        <f t="shared" si="37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allocations'!$A$1:$L$317,4,FALSE)</f>
        <v>53271.723777809246</v>
      </c>
      <c r="E99" s="31">
        <f>VLOOKUP(B99,'Initial adjusted formula count'!$A$1:$P$317,12,FALSE)</f>
        <v>0.11242138364779899</v>
      </c>
      <c r="F99">
        <f>VLOOKUP(B99,'Model allocations'!$A$1:$L$317,9,FALSE)</f>
        <v>45280.96521113786</v>
      </c>
      <c r="G99" s="30">
        <f t="shared" si="26"/>
        <v>0.85</v>
      </c>
      <c r="H99">
        <f t="shared" si="27"/>
        <v>45280.96521113786</v>
      </c>
      <c r="I99">
        <f t="shared" si="19"/>
        <v>0</v>
      </c>
      <c r="J99">
        <f t="shared" si="20"/>
        <v>45280.96521113786</v>
      </c>
      <c r="K99">
        <f t="shared" si="21"/>
        <v>45242.679799069265</v>
      </c>
      <c r="L99">
        <f t="shared" si="28"/>
        <v>45242.679799069265</v>
      </c>
      <c r="M99">
        <f t="shared" si="22"/>
        <v>45280.96521113786</v>
      </c>
      <c r="N99" s="29">
        <f t="shared" si="29"/>
        <v>0</v>
      </c>
      <c r="O99" s="29">
        <f t="shared" si="23"/>
        <v>0</v>
      </c>
      <c r="P99" s="29">
        <f t="shared" si="30"/>
        <v>45280.96521113786</v>
      </c>
      <c r="Q99">
        <f t="shared" si="31"/>
        <v>0</v>
      </c>
      <c r="R99" s="29">
        <f t="shared" si="32"/>
        <v>0</v>
      </c>
      <c r="S99" s="29">
        <f t="shared" si="24"/>
        <v>0</v>
      </c>
      <c r="T99" s="29">
        <f t="shared" si="33"/>
        <v>45280.96521113786</v>
      </c>
      <c r="U99">
        <f t="shared" si="34"/>
        <v>0</v>
      </c>
      <c r="V99" s="29">
        <f t="shared" si="35"/>
        <v>0</v>
      </c>
      <c r="W99" s="29">
        <f t="shared" si="25"/>
        <v>0</v>
      </c>
      <c r="X99" s="29">
        <f t="shared" si="36"/>
        <v>45280.96521113786</v>
      </c>
      <c r="Y99">
        <f t="shared" si="37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allocations'!$A$1:$L$317,4,FALSE)</f>
        <v>684250.34118658223</v>
      </c>
      <c r="E100" s="31">
        <f>VLOOKUP(B100,'Initial adjusted formula count'!$A$1:$P$317,12,FALSE)</f>
        <v>0.16867413714330101</v>
      </c>
      <c r="F100">
        <f>VLOOKUP(B100,'Model allocations'!$A$1:$L$317,9,FALSE)</f>
        <v>775503.63696048188</v>
      </c>
      <c r="G100" s="30">
        <f t="shared" si="26"/>
        <v>0.9</v>
      </c>
      <c r="H100">
        <f t="shared" si="27"/>
        <v>615825.30706792406</v>
      </c>
      <c r="I100">
        <f t="shared" si="19"/>
        <v>0</v>
      </c>
      <c r="J100">
        <f t="shared" si="20"/>
        <v>775503.63696048188</v>
      </c>
      <c r="K100">
        <f t="shared" si="21"/>
        <v>774847.94253870239</v>
      </c>
      <c r="L100">
        <f t="shared" si="28"/>
        <v>774847.94253870239</v>
      </c>
      <c r="M100">
        <f t="shared" si="22"/>
        <v>0</v>
      </c>
      <c r="N100" s="29">
        <f t="shared" si="29"/>
        <v>774847.94253870239</v>
      </c>
      <c r="O100" s="29">
        <f t="shared" si="23"/>
        <v>774647.83397997369</v>
      </c>
      <c r="P100" s="29">
        <f t="shared" si="30"/>
        <v>774647.83397997369</v>
      </c>
      <c r="Q100">
        <f t="shared" si="31"/>
        <v>0</v>
      </c>
      <c r="R100" s="29">
        <f t="shared" si="32"/>
        <v>774647.83397997369</v>
      </c>
      <c r="S100" s="29">
        <f t="shared" si="24"/>
        <v>774647.83397997369</v>
      </c>
      <c r="T100" s="29">
        <f t="shared" si="33"/>
        <v>774647.83397997369</v>
      </c>
      <c r="U100">
        <f t="shared" si="34"/>
        <v>0</v>
      </c>
      <c r="V100" s="29">
        <f t="shared" si="35"/>
        <v>774647.83397997369</v>
      </c>
      <c r="W100" s="29">
        <f t="shared" si="25"/>
        <v>774647.83397997369</v>
      </c>
      <c r="X100" s="29">
        <f t="shared" si="36"/>
        <v>774647.83397997369</v>
      </c>
      <c r="Y100">
        <f t="shared" si="37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allocations'!$A$1:$L$317,4,FALSE)</f>
        <v>0</v>
      </c>
      <c r="E101" s="31">
        <f>VLOOKUP(B101,'Initial adjusted formula count'!$A$1:$P$317,12,FALSE)</f>
        <v>5.0320219579139999E-2</v>
      </c>
      <c r="F101">
        <f>VLOOKUP(B101,'Model allocations'!$A$1:$L$317,9,FALSE)</f>
        <v>0</v>
      </c>
      <c r="G101" s="30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8"/>
        <v>0</v>
      </c>
      <c r="M101">
        <f t="shared" si="22"/>
        <v>0</v>
      </c>
      <c r="N101" s="29">
        <f t="shared" si="29"/>
        <v>0</v>
      </c>
      <c r="O101" s="29">
        <f t="shared" si="23"/>
        <v>0</v>
      </c>
      <c r="P101" s="29">
        <f t="shared" si="30"/>
        <v>0</v>
      </c>
      <c r="Q101">
        <f t="shared" si="31"/>
        <v>0</v>
      </c>
      <c r="R101" s="29">
        <f t="shared" si="32"/>
        <v>0</v>
      </c>
      <c r="S101" s="29">
        <f t="shared" si="24"/>
        <v>0</v>
      </c>
      <c r="T101" s="29">
        <f t="shared" si="33"/>
        <v>0</v>
      </c>
      <c r="U101">
        <f t="shared" si="34"/>
        <v>0</v>
      </c>
      <c r="V101" s="29">
        <f t="shared" si="35"/>
        <v>0</v>
      </c>
      <c r="W101" s="29">
        <f t="shared" si="25"/>
        <v>0</v>
      </c>
      <c r="X101" s="29">
        <f t="shared" si="36"/>
        <v>0</v>
      </c>
      <c r="Y101">
        <f t="shared" si="37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allocations'!$A$1:$L$317,4,FALSE)</f>
        <v>26749.205982048908</v>
      </c>
      <c r="E102" s="31">
        <f>VLOOKUP(B102,'Initial adjusted formula count'!$A$1:$P$317,12,FALSE)</f>
        <v>0.19602272727272699</v>
      </c>
      <c r="F102">
        <f>VLOOKUP(B102,'Model allocations'!$A$1:$L$317,9,FALSE)</f>
        <v>32291.138134684901</v>
      </c>
      <c r="G102" s="30">
        <f t="shared" si="26"/>
        <v>0.9</v>
      </c>
      <c r="H102">
        <f t="shared" si="27"/>
        <v>24074.285383844017</v>
      </c>
      <c r="I102">
        <f t="shared" si="19"/>
        <v>0</v>
      </c>
      <c r="J102">
        <f t="shared" si="20"/>
        <v>32291.138134684901</v>
      </c>
      <c r="K102">
        <f t="shared" si="21"/>
        <v>32263.835723530767</v>
      </c>
      <c r="L102">
        <f t="shared" si="28"/>
        <v>32263.835723530767</v>
      </c>
      <c r="M102">
        <f t="shared" si="22"/>
        <v>0</v>
      </c>
      <c r="N102" s="29">
        <f t="shared" si="29"/>
        <v>32263.835723530767</v>
      </c>
      <c r="O102" s="29">
        <f t="shared" si="23"/>
        <v>32255.503418169606</v>
      </c>
      <c r="P102" s="29">
        <f t="shared" si="30"/>
        <v>32255.503418169606</v>
      </c>
      <c r="Q102">
        <f t="shared" si="31"/>
        <v>0</v>
      </c>
      <c r="R102" s="29">
        <f t="shared" si="32"/>
        <v>32255.503418169606</v>
      </c>
      <c r="S102" s="29">
        <f t="shared" si="24"/>
        <v>32255.503418169606</v>
      </c>
      <c r="T102" s="29">
        <f t="shared" si="33"/>
        <v>32255.503418169606</v>
      </c>
      <c r="U102">
        <f t="shared" si="34"/>
        <v>0</v>
      </c>
      <c r="V102" s="29">
        <f t="shared" si="35"/>
        <v>32255.503418169606</v>
      </c>
      <c r="W102" s="29">
        <f t="shared" si="25"/>
        <v>32255.503418169606</v>
      </c>
      <c r="X102" s="29">
        <f t="shared" si="36"/>
        <v>32255.503418169606</v>
      </c>
      <c r="Y102">
        <f t="shared" si="37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allocations'!$A$1:$L$317,4,FALSE)</f>
        <v>113344.093144275</v>
      </c>
      <c r="E103" s="31">
        <f>VLOOKUP(B103,'Initial adjusted formula count'!$A$1:$P$317,12,FALSE)</f>
        <v>0.215815485996705</v>
      </c>
      <c r="F103">
        <f>VLOOKUP(B103,'Model allocations'!$A$1:$L$317,9,FALSE)</f>
        <v>102009.6838298475</v>
      </c>
      <c r="G103" s="30">
        <f t="shared" si="26"/>
        <v>0.9</v>
      </c>
      <c r="H103">
        <f t="shared" si="27"/>
        <v>102009.6838298475</v>
      </c>
      <c r="I103">
        <f t="shared" si="19"/>
        <v>0</v>
      </c>
      <c r="J103">
        <f t="shared" si="20"/>
        <v>102009.6838298475</v>
      </c>
      <c r="K103">
        <f t="shared" si="21"/>
        <v>101923.4338402061</v>
      </c>
      <c r="L103">
        <f t="shared" si="28"/>
        <v>101923.4338402061</v>
      </c>
      <c r="M103">
        <f t="shared" si="22"/>
        <v>102009.6838298475</v>
      </c>
      <c r="N103" s="29">
        <f t="shared" si="29"/>
        <v>0</v>
      </c>
      <c r="O103" s="29">
        <f t="shared" si="23"/>
        <v>0</v>
      </c>
      <c r="P103" s="29">
        <f t="shared" si="30"/>
        <v>102009.6838298475</v>
      </c>
      <c r="Q103">
        <f t="shared" si="31"/>
        <v>0</v>
      </c>
      <c r="R103" s="29">
        <f t="shared" si="32"/>
        <v>0</v>
      </c>
      <c r="S103" s="29">
        <f t="shared" si="24"/>
        <v>0</v>
      </c>
      <c r="T103" s="29">
        <f t="shared" si="33"/>
        <v>102009.6838298475</v>
      </c>
      <c r="U103">
        <f t="shared" si="34"/>
        <v>0</v>
      </c>
      <c r="V103" s="29">
        <f t="shared" si="35"/>
        <v>0</v>
      </c>
      <c r="W103" s="29">
        <f t="shared" si="25"/>
        <v>0</v>
      </c>
      <c r="X103" s="29">
        <f t="shared" si="36"/>
        <v>102009.6838298475</v>
      </c>
      <c r="Y103">
        <f t="shared" si="37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allocations'!$A$1:$L$317,4,FALSE)</f>
        <v>0</v>
      </c>
      <c r="E104" s="31">
        <f>VLOOKUP(B104,'Initial adjusted formula count'!$A$1:$P$317,12,FALSE)</f>
        <v>0.14673417211557899</v>
      </c>
      <c r="F104">
        <f>VLOOKUP(B104,'Model allocations'!$A$1:$L$317,9,FALSE)</f>
        <v>0</v>
      </c>
      <c r="G104" s="30">
        <f t="shared" si="26"/>
        <v>0.85</v>
      </c>
      <c r="H104">
        <f t="shared" si="27"/>
        <v>0</v>
      </c>
      <c r="I104">
        <f t="shared" si="19"/>
        <v>0</v>
      </c>
      <c r="J104">
        <f t="shared" si="20"/>
        <v>0</v>
      </c>
      <c r="K104">
        <f t="shared" si="21"/>
        <v>0</v>
      </c>
      <c r="L104">
        <f t="shared" si="28"/>
        <v>0</v>
      </c>
      <c r="M104">
        <f t="shared" si="22"/>
        <v>0</v>
      </c>
      <c r="N104" s="29">
        <f t="shared" si="29"/>
        <v>0</v>
      </c>
      <c r="O104" s="29">
        <f t="shared" si="23"/>
        <v>0</v>
      </c>
      <c r="P104" s="29">
        <f t="shared" si="30"/>
        <v>0</v>
      </c>
      <c r="Q104">
        <f t="shared" si="31"/>
        <v>0</v>
      </c>
      <c r="R104" s="29">
        <f t="shared" si="32"/>
        <v>0</v>
      </c>
      <c r="S104" s="29">
        <f t="shared" si="24"/>
        <v>0</v>
      </c>
      <c r="T104" s="29">
        <f t="shared" si="33"/>
        <v>0</v>
      </c>
      <c r="U104">
        <f t="shared" si="34"/>
        <v>0</v>
      </c>
      <c r="V104" s="29">
        <f t="shared" si="35"/>
        <v>0</v>
      </c>
      <c r="W104" s="29">
        <f t="shared" si="25"/>
        <v>0</v>
      </c>
      <c r="X104" s="29">
        <f t="shared" si="36"/>
        <v>0</v>
      </c>
      <c r="Y104">
        <f t="shared" si="37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allocations'!$A$1:$L$317,4,FALSE)</f>
        <v>16865.763689402575</v>
      </c>
      <c r="E105" s="31">
        <f>VLOOKUP(B105,'Initial adjusted formula count'!$A$1:$P$317,12,FALSE)</f>
        <v>0.20059580587053799</v>
      </c>
      <c r="F105">
        <f>VLOOKUP(B105,'Model allocations'!$A$1:$L$317,9,FALSE)</f>
        <v>19156.241634533319</v>
      </c>
      <c r="G105" s="30">
        <f t="shared" si="26"/>
        <v>0.9</v>
      </c>
      <c r="H105">
        <f t="shared" si="27"/>
        <v>15179.187320462317</v>
      </c>
      <c r="I105">
        <f t="shared" si="19"/>
        <v>0</v>
      </c>
      <c r="J105">
        <f t="shared" si="20"/>
        <v>19156.241634533319</v>
      </c>
      <c r="K105">
        <f t="shared" si="21"/>
        <v>19140.044881631871</v>
      </c>
      <c r="L105">
        <f t="shared" si="28"/>
        <v>19140.044881631871</v>
      </c>
      <c r="M105">
        <f t="shared" si="22"/>
        <v>0</v>
      </c>
      <c r="N105" s="29">
        <f t="shared" si="29"/>
        <v>19140.044881631871</v>
      </c>
      <c r="O105" s="29">
        <f t="shared" si="23"/>
        <v>19135.101864318411</v>
      </c>
      <c r="P105" s="29">
        <f t="shared" si="30"/>
        <v>19135.101864318411</v>
      </c>
      <c r="Q105">
        <f t="shared" si="31"/>
        <v>0</v>
      </c>
      <c r="R105" s="29">
        <f t="shared" si="32"/>
        <v>19135.101864318411</v>
      </c>
      <c r="S105" s="29">
        <f t="shared" si="24"/>
        <v>19135.101864318411</v>
      </c>
      <c r="T105" s="29">
        <f t="shared" si="33"/>
        <v>19135.101864318411</v>
      </c>
      <c r="U105">
        <f t="shared" si="34"/>
        <v>0</v>
      </c>
      <c r="V105" s="29">
        <f t="shared" si="35"/>
        <v>19135.101864318411</v>
      </c>
      <c r="W105" s="29">
        <f t="shared" si="25"/>
        <v>19135.101864318411</v>
      </c>
      <c r="X105" s="29">
        <f t="shared" si="36"/>
        <v>19135.101864318411</v>
      </c>
      <c r="Y105">
        <f t="shared" si="37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allocations'!$A$1:$L$317,4,FALSE)</f>
        <v>12700.742778300097</v>
      </c>
      <c r="E106" s="31">
        <f>VLOOKUP(B106,'Initial adjusted formula count'!$A$1:$P$317,12,FALSE)</f>
        <v>0.18899764894447399</v>
      </c>
      <c r="F106">
        <f>VLOOKUP(B106,'Model allocations'!$A$1:$L$317,9,FALSE)</f>
        <v>14097.174852712933</v>
      </c>
      <c r="G106" s="30">
        <f t="shared" si="26"/>
        <v>0.9</v>
      </c>
      <c r="H106">
        <f t="shared" si="27"/>
        <v>11430.668500470087</v>
      </c>
      <c r="I106">
        <f t="shared" si="19"/>
        <v>0</v>
      </c>
      <c r="J106">
        <f t="shared" si="20"/>
        <v>14097.174852712933</v>
      </c>
      <c r="K106">
        <f t="shared" si="21"/>
        <v>14085.25558054807</v>
      </c>
      <c r="L106">
        <f t="shared" si="28"/>
        <v>14085.25558054807</v>
      </c>
      <c r="M106">
        <f t="shared" si="22"/>
        <v>0</v>
      </c>
      <c r="N106" s="29">
        <f t="shared" si="29"/>
        <v>14085.25558054807</v>
      </c>
      <c r="O106" s="29">
        <f t="shared" si="23"/>
        <v>14081.617989171991</v>
      </c>
      <c r="P106" s="29">
        <f t="shared" si="30"/>
        <v>14081.617989171991</v>
      </c>
      <c r="Q106">
        <f t="shared" si="31"/>
        <v>0</v>
      </c>
      <c r="R106" s="29">
        <f t="shared" si="32"/>
        <v>14081.617989171991</v>
      </c>
      <c r="S106" s="29">
        <f t="shared" si="24"/>
        <v>14081.617989171991</v>
      </c>
      <c r="T106" s="29">
        <f t="shared" si="33"/>
        <v>14081.617989171991</v>
      </c>
      <c r="U106">
        <f t="shared" si="34"/>
        <v>0</v>
      </c>
      <c r="V106" s="29">
        <f t="shared" si="35"/>
        <v>14081.617989171991</v>
      </c>
      <c r="W106" s="29">
        <f t="shared" si="25"/>
        <v>14081.617989171991</v>
      </c>
      <c r="X106" s="29">
        <f t="shared" si="36"/>
        <v>14081.617989171991</v>
      </c>
      <c r="Y106">
        <f t="shared" si="37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allocations'!$A$1:$L$317,4,FALSE)</f>
        <v>10200.968382984745</v>
      </c>
      <c r="E107" s="31">
        <f>VLOOKUP(B107,'Initial adjusted formula count'!$A$1:$P$317,12,FALSE)</f>
        <v>0.29797979797979801</v>
      </c>
      <c r="F107">
        <f>VLOOKUP(B107,'Model allocations'!$A$1:$L$317,9,FALSE)</f>
        <v>13805.63152135079</v>
      </c>
      <c r="G107" s="30">
        <f t="shared" si="26"/>
        <v>0.9</v>
      </c>
      <c r="H107">
        <f t="shared" si="27"/>
        <v>9180.8715446862716</v>
      </c>
      <c r="I107">
        <f t="shared" si="19"/>
        <v>0</v>
      </c>
      <c r="J107">
        <f t="shared" si="20"/>
        <v>13805.63152135079</v>
      </c>
      <c r="K107">
        <f t="shared" si="21"/>
        <v>13793.958751364602</v>
      </c>
      <c r="L107">
        <f t="shared" si="28"/>
        <v>13793.958751364602</v>
      </c>
      <c r="M107">
        <f t="shared" si="22"/>
        <v>0</v>
      </c>
      <c r="N107" s="29">
        <f t="shared" si="29"/>
        <v>13793.958751364602</v>
      </c>
      <c r="O107" s="29">
        <f t="shared" si="23"/>
        <v>13790.396388927584</v>
      </c>
      <c r="P107" s="29">
        <f t="shared" si="30"/>
        <v>13790.396388927584</v>
      </c>
      <c r="Q107">
        <f t="shared" si="31"/>
        <v>0</v>
      </c>
      <c r="R107" s="29">
        <f t="shared" si="32"/>
        <v>13790.396388927584</v>
      </c>
      <c r="S107" s="29">
        <f t="shared" si="24"/>
        <v>13790.396388927584</v>
      </c>
      <c r="T107" s="29">
        <f t="shared" si="33"/>
        <v>13790.396388927584</v>
      </c>
      <c r="U107">
        <f t="shared" si="34"/>
        <v>0</v>
      </c>
      <c r="V107" s="29">
        <f t="shared" si="35"/>
        <v>13790.396388927584</v>
      </c>
      <c r="W107" s="29">
        <f t="shared" si="25"/>
        <v>13790.396388927584</v>
      </c>
      <c r="X107" s="29">
        <f t="shared" si="36"/>
        <v>13790.396388927584</v>
      </c>
      <c r="Y107">
        <f t="shared" si="37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allocations'!$A$1:$L$317,4,FALSE)</f>
        <v>2283.3329450595575</v>
      </c>
      <c r="E108" s="31">
        <f>VLOOKUP(B108,'Initial adjusted formula count'!$A$1:$P$317,12,FALSE)</f>
        <v>9.2592592592592601E-2</v>
      </c>
      <c r="F108">
        <f>VLOOKUP(B108,'Model allocations'!$A$1:$L$317,9,FALSE)</f>
        <v>1940.8330033006239</v>
      </c>
      <c r="G108" s="30">
        <f t="shared" si="26"/>
        <v>0.85</v>
      </c>
      <c r="H108">
        <f t="shared" si="27"/>
        <v>1940.8330033006239</v>
      </c>
      <c r="I108">
        <f t="shared" si="19"/>
        <v>0</v>
      </c>
      <c r="J108">
        <f t="shared" si="20"/>
        <v>1940.8330033006239</v>
      </c>
      <c r="K108">
        <f t="shared" si="21"/>
        <v>1939.1920137382053</v>
      </c>
      <c r="L108">
        <f t="shared" si="28"/>
        <v>1939.1920137382053</v>
      </c>
      <c r="M108">
        <f t="shared" si="22"/>
        <v>1940.8330033006239</v>
      </c>
      <c r="N108" s="29">
        <f t="shared" si="29"/>
        <v>0</v>
      </c>
      <c r="O108" s="29">
        <f t="shared" si="23"/>
        <v>0</v>
      </c>
      <c r="P108" s="29">
        <f t="shared" si="30"/>
        <v>1940.8330033006239</v>
      </c>
      <c r="Q108">
        <f t="shared" si="31"/>
        <v>0</v>
      </c>
      <c r="R108" s="29">
        <f t="shared" si="32"/>
        <v>0</v>
      </c>
      <c r="S108" s="29">
        <f t="shared" si="24"/>
        <v>0</v>
      </c>
      <c r="T108" s="29">
        <f t="shared" si="33"/>
        <v>1940.8330033006239</v>
      </c>
      <c r="U108">
        <f t="shared" si="34"/>
        <v>0</v>
      </c>
      <c r="V108" s="29">
        <f t="shared" si="35"/>
        <v>0</v>
      </c>
      <c r="W108" s="29">
        <f t="shared" si="25"/>
        <v>0</v>
      </c>
      <c r="X108" s="29">
        <f t="shared" si="36"/>
        <v>1940.8330033006239</v>
      </c>
      <c r="Y108">
        <f t="shared" si="37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allocations'!$A$1:$L$317,4,FALSE)</f>
        <v>0</v>
      </c>
      <c r="E109" s="31">
        <f>VLOOKUP(B109,'Initial adjusted formula count'!$A$1:$P$317,12,FALSE)</f>
        <v>4.09308032779701E-2</v>
      </c>
      <c r="F109">
        <f>VLOOKUP(B109,'Model allocations'!$A$1:$L$317,9,FALSE)</f>
        <v>0</v>
      </c>
      <c r="G109" s="30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29">
        <f t="shared" si="29"/>
        <v>0</v>
      </c>
      <c r="O109" s="29">
        <f t="shared" si="23"/>
        <v>0</v>
      </c>
      <c r="P109" s="29">
        <f t="shared" si="30"/>
        <v>0</v>
      </c>
      <c r="Q109">
        <f t="shared" si="31"/>
        <v>0</v>
      </c>
      <c r="R109" s="29">
        <f t="shared" si="32"/>
        <v>0</v>
      </c>
      <c r="S109" s="29">
        <f t="shared" si="24"/>
        <v>0</v>
      </c>
      <c r="T109" s="29">
        <f t="shared" si="33"/>
        <v>0</v>
      </c>
      <c r="U109">
        <f t="shared" si="34"/>
        <v>0</v>
      </c>
      <c r="V109" s="29">
        <f t="shared" si="35"/>
        <v>0</v>
      </c>
      <c r="W109" s="29">
        <f t="shared" si="25"/>
        <v>0</v>
      </c>
      <c r="X109" s="29">
        <f t="shared" si="36"/>
        <v>0</v>
      </c>
      <c r="Y109">
        <f t="shared" si="37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allocations'!$A$1:$L$317,4,FALSE)</f>
        <v>4987.140098348098</v>
      </c>
      <c r="E110" s="31">
        <f>VLOOKUP(B110,'Initial adjusted formula count'!$A$1:$P$317,12,FALSE)</f>
        <v>8.3333333333333301E-2</v>
      </c>
      <c r="F110">
        <f>VLOOKUP(B110,'Model allocations'!$A$1:$L$317,9,FALSE)</f>
        <v>4239.0690835958831</v>
      </c>
      <c r="G110" s="30">
        <f t="shared" si="26"/>
        <v>0.85</v>
      </c>
      <c r="H110">
        <f t="shared" si="27"/>
        <v>4239.0690835958831</v>
      </c>
      <c r="I110">
        <f t="shared" si="19"/>
        <v>0</v>
      </c>
      <c r="J110">
        <f t="shared" si="20"/>
        <v>4239.0690835958831</v>
      </c>
      <c r="K110">
        <f t="shared" si="21"/>
        <v>4235.4849173596731</v>
      </c>
      <c r="L110">
        <f t="shared" si="28"/>
        <v>4235.4849173596731</v>
      </c>
      <c r="M110">
        <f t="shared" si="22"/>
        <v>4239.0690835958831</v>
      </c>
      <c r="N110" s="29">
        <f t="shared" si="29"/>
        <v>0</v>
      </c>
      <c r="O110" s="29">
        <f t="shared" si="23"/>
        <v>0</v>
      </c>
      <c r="P110" s="29">
        <f t="shared" si="30"/>
        <v>4239.0690835958831</v>
      </c>
      <c r="Q110">
        <f t="shared" si="31"/>
        <v>0</v>
      </c>
      <c r="R110" s="29">
        <f t="shared" si="32"/>
        <v>0</v>
      </c>
      <c r="S110" s="29">
        <f t="shared" si="24"/>
        <v>0</v>
      </c>
      <c r="T110" s="29">
        <f t="shared" si="33"/>
        <v>4239.0690835958831</v>
      </c>
      <c r="U110">
        <f t="shared" si="34"/>
        <v>0</v>
      </c>
      <c r="V110" s="29">
        <f t="shared" si="35"/>
        <v>0</v>
      </c>
      <c r="W110" s="29">
        <f t="shared" si="25"/>
        <v>0</v>
      </c>
      <c r="X110" s="29">
        <f t="shared" si="36"/>
        <v>4239.0690835958831</v>
      </c>
      <c r="Y110">
        <f t="shared" si="37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allocations'!$A$1:$L$317,4,FALSE)</f>
        <v>0</v>
      </c>
      <c r="E111" s="31">
        <f>VLOOKUP(B111,'Initial adjusted formula count'!$A$1:$P$317,12,FALSE)</f>
        <v>7.5691411935953398E-2</v>
      </c>
      <c r="F111">
        <f>VLOOKUP(B111,'Model allocations'!$A$1:$L$317,9,FALSE)</f>
        <v>0</v>
      </c>
      <c r="G111" s="30">
        <f t="shared" si="26"/>
        <v>0.85</v>
      </c>
      <c r="H111">
        <f t="shared" si="27"/>
        <v>0</v>
      </c>
      <c r="I111">
        <f t="shared" si="19"/>
        <v>0</v>
      </c>
      <c r="J111">
        <f t="shared" si="20"/>
        <v>0</v>
      </c>
      <c r="K111">
        <f t="shared" si="21"/>
        <v>0</v>
      </c>
      <c r="L111">
        <f t="shared" si="28"/>
        <v>0</v>
      </c>
      <c r="M111">
        <f t="shared" si="22"/>
        <v>0</v>
      </c>
      <c r="N111" s="29">
        <f t="shared" si="29"/>
        <v>0</v>
      </c>
      <c r="O111" s="29">
        <f t="shared" si="23"/>
        <v>0</v>
      </c>
      <c r="P111" s="29">
        <f t="shared" si="30"/>
        <v>0</v>
      </c>
      <c r="Q111">
        <f t="shared" si="31"/>
        <v>0</v>
      </c>
      <c r="R111" s="29">
        <f t="shared" si="32"/>
        <v>0</v>
      </c>
      <c r="S111" s="29">
        <f t="shared" si="24"/>
        <v>0</v>
      </c>
      <c r="T111" s="29">
        <f t="shared" si="33"/>
        <v>0</v>
      </c>
      <c r="U111">
        <f t="shared" si="34"/>
        <v>0</v>
      </c>
      <c r="V111" s="29">
        <f t="shared" si="35"/>
        <v>0</v>
      </c>
      <c r="W111" s="29">
        <f t="shared" si="25"/>
        <v>0</v>
      </c>
      <c r="X111" s="29">
        <f t="shared" si="36"/>
        <v>0</v>
      </c>
      <c r="Y111">
        <f t="shared" si="37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allocations'!$A$1:$L$317,4,FALSE)</f>
        <v>7027.3337749450511</v>
      </c>
      <c r="E112" s="31">
        <f>VLOOKUP(B112,'Initial adjusted formula count'!$A$1:$P$317,12,FALSE)</f>
        <v>0.23148148148148101</v>
      </c>
      <c r="F112">
        <f>VLOOKUP(B112,'Model allocations'!$A$1:$L$317,9,FALSE)</f>
        <v>6324.6003974505466</v>
      </c>
      <c r="G112" s="30">
        <f t="shared" si="26"/>
        <v>0.9</v>
      </c>
      <c r="H112">
        <f t="shared" si="27"/>
        <v>6324.6003974505466</v>
      </c>
      <c r="I112">
        <f t="shared" si="19"/>
        <v>0</v>
      </c>
      <c r="J112">
        <f t="shared" si="20"/>
        <v>6324.6003974505466</v>
      </c>
      <c r="K112">
        <f t="shared" si="21"/>
        <v>6319.25289809278</v>
      </c>
      <c r="L112">
        <f t="shared" si="28"/>
        <v>6319.25289809278</v>
      </c>
      <c r="M112">
        <f t="shared" si="22"/>
        <v>6324.6003974505466</v>
      </c>
      <c r="N112" s="29">
        <f t="shared" si="29"/>
        <v>0</v>
      </c>
      <c r="O112" s="29">
        <f t="shared" si="23"/>
        <v>0</v>
      </c>
      <c r="P112" s="29">
        <f t="shared" si="30"/>
        <v>6324.6003974505466</v>
      </c>
      <c r="Q112">
        <f t="shared" si="31"/>
        <v>0</v>
      </c>
      <c r="R112" s="29">
        <f t="shared" si="32"/>
        <v>0</v>
      </c>
      <c r="S112" s="29">
        <f t="shared" si="24"/>
        <v>0</v>
      </c>
      <c r="T112" s="29">
        <f t="shared" si="33"/>
        <v>6324.6003974505466</v>
      </c>
      <c r="U112">
        <f t="shared" si="34"/>
        <v>0</v>
      </c>
      <c r="V112" s="29">
        <f t="shared" si="35"/>
        <v>0</v>
      </c>
      <c r="W112" s="29">
        <f t="shared" si="25"/>
        <v>0</v>
      </c>
      <c r="X112" s="29">
        <f t="shared" si="36"/>
        <v>6324.6003974505466</v>
      </c>
      <c r="Y112">
        <f t="shared" si="37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allocations'!$A$1:$L$317,4,FALSE)</f>
        <v>210366.63687577451</v>
      </c>
      <c r="E113" s="31">
        <f>VLOOKUP(B113,'Initial adjusted formula count'!$A$1:$P$317,12,FALSE)</f>
        <v>0.16432432432432401</v>
      </c>
      <c r="F113">
        <f>VLOOKUP(B113,'Model allocations'!$A$1:$L$317,9,FALSE)</f>
        <v>213402.30419443932</v>
      </c>
      <c r="G113" s="30">
        <f t="shared" si="26"/>
        <v>0.9</v>
      </c>
      <c r="H113">
        <f t="shared" si="27"/>
        <v>189329.97318819707</v>
      </c>
      <c r="I113">
        <f t="shared" si="19"/>
        <v>0</v>
      </c>
      <c r="J113">
        <f t="shared" si="20"/>
        <v>213402.30419443932</v>
      </c>
      <c r="K113">
        <f t="shared" si="21"/>
        <v>213221.87086855114</v>
      </c>
      <c r="L113">
        <f t="shared" si="28"/>
        <v>213221.87086855114</v>
      </c>
      <c r="M113">
        <f t="shared" si="22"/>
        <v>0</v>
      </c>
      <c r="N113" s="29">
        <f t="shared" si="29"/>
        <v>213221.87086855114</v>
      </c>
      <c r="O113" s="29">
        <f t="shared" si="23"/>
        <v>213166.80519833829</v>
      </c>
      <c r="P113" s="29">
        <f t="shared" si="30"/>
        <v>213166.80519833829</v>
      </c>
      <c r="Q113">
        <f t="shared" si="31"/>
        <v>0</v>
      </c>
      <c r="R113" s="29">
        <f t="shared" si="32"/>
        <v>213166.80519833829</v>
      </c>
      <c r="S113" s="29">
        <f t="shared" si="24"/>
        <v>213166.80519833829</v>
      </c>
      <c r="T113" s="29">
        <f t="shared" si="33"/>
        <v>213166.80519833829</v>
      </c>
      <c r="U113">
        <f t="shared" si="34"/>
        <v>0</v>
      </c>
      <c r="V113" s="29">
        <f t="shared" si="35"/>
        <v>213166.80519833829</v>
      </c>
      <c r="W113" s="29">
        <f t="shared" si="25"/>
        <v>213166.80519833829</v>
      </c>
      <c r="X113" s="29">
        <f t="shared" si="36"/>
        <v>213166.80519833829</v>
      </c>
      <c r="Y113">
        <f t="shared" si="37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allocations'!$A$1:$L$317,4,FALSE)</f>
        <v>464490.35096860031</v>
      </c>
      <c r="E114" s="31">
        <f>VLOOKUP(B114,'Initial adjusted formula count'!$A$1:$P$317,12,FALSE)</f>
        <v>0.14553515493229199</v>
      </c>
      <c r="F114">
        <f>VLOOKUP(B114,'Model allocations'!$A$1:$L$317,9,FALSE)</f>
        <v>394816.79832331027</v>
      </c>
      <c r="G114" s="30">
        <f t="shared" si="26"/>
        <v>0.85</v>
      </c>
      <c r="H114">
        <f t="shared" si="27"/>
        <v>394816.79832331027</v>
      </c>
      <c r="I114">
        <f t="shared" si="19"/>
        <v>0</v>
      </c>
      <c r="J114">
        <f t="shared" si="20"/>
        <v>394816.79832331027</v>
      </c>
      <c r="K114">
        <f t="shared" si="21"/>
        <v>394482.97761642095</v>
      </c>
      <c r="L114">
        <f t="shared" si="28"/>
        <v>394482.97761642095</v>
      </c>
      <c r="M114">
        <f t="shared" si="22"/>
        <v>394816.79832331027</v>
      </c>
      <c r="N114" s="29">
        <f t="shared" si="29"/>
        <v>0</v>
      </c>
      <c r="O114" s="29">
        <f t="shared" si="23"/>
        <v>0</v>
      </c>
      <c r="P114" s="29">
        <f t="shared" si="30"/>
        <v>394816.79832331027</v>
      </c>
      <c r="Q114">
        <f t="shared" si="31"/>
        <v>0</v>
      </c>
      <c r="R114" s="29">
        <f t="shared" si="32"/>
        <v>0</v>
      </c>
      <c r="S114" s="29">
        <f t="shared" si="24"/>
        <v>0</v>
      </c>
      <c r="T114" s="29">
        <f t="shared" si="33"/>
        <v>394816.79832331027</v>
      </c>
      <c r="U114">
        <f t="shared" si="34"/>
        <v>0</v>
      </c>
      <c r="V114" s="29">
        <f t="shared" si="35"/>
        <v>0</v>
      </c>
      <c r="W114" s="29">
        <f t="shared" si="25"/>
        <v>0</v>
      </c>
      <c r="X114" s="29">
        <f t="shared" si="36"/>
        <v>394816.79832331027</v>
      </c>
      <c r="Y114">
        <f t="shared" si="37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allocations'!$A$1:$L$317,4,FALSE)</f>
        <v>0</v>
      </c>
      <c r="E115" s="31">
        <f>VLOOKUP(B115,'Initial adjusted formula count'!$A$1:$P$317,12,FALSE)</f>
        <v>0.14707249070632</v>
      </c>
      <c r="F115">
        <f>VLOOKUP(B115,'Model allocations'!$A$1:$L$317,9,FALSE)</f>
        <v>0</v>
      </c>
      <c r="G115" s="30">
        <f t="shared" si="26"/>
        <v>0.85</v>
      </c>
      <c r="H115">
        <f t="shared" si="27"/>
        <v>0</v>
      </c>
      <c r="I115">
        <f t="shared" si="19"/>
        <v>0</v>
      </c>
      <c r="J115">
        <f t="shared" si="20"/>
        <v>0</v>
      </c>
      <c r="K115">
        <f t="shared" si="21"/>
        <v>0</v>
      </c>
      <c r="L115">
        <f t="shared" si="28"/>
        <v>0</v>
      </c>
      <c r="M115">
        <f t="shared" si="22"/>
        <v>0</v>
      </c>
      <c r="N115" s="29">
        <f t="shared" si="29"/>
        <v>0</v>
      </c>
      <c r="O115" s="29">
        <f t="shared" si="23"/>
        <v>0</v>
      </c>
      <c r="P115" s="29">
        <f t="shared" si="30"/>
        <v>0</v>
      </c>
      <c r="Q115">
        <f t="shared" si="31"/>
        <v>0</v>
      </c>
      <c r="R115" s="29">
        <f t="shared" si="32"/>
        <v>0</v>
      </c>
      <c r="S115" s="29">
        <f t="shared" si="24"/>
        <v>0</v>
      </c>
      <c r="T115" s="29">
        <f t="shared" si="33"/>
        <v>0</v>
      </c>
      <c r="U115">
        <f t="shared" si="34"/>
        <v>0</v>
      </c>
      <c r="V115" s="29">
        <f t="shared" si="35"/>
        <v>0</v>
      </c>
      <c r="W115" s="29">
        <f t="shared" si="25"/>
        <v>0</v>
      </c>
      <c r="X115" s="29">
        <f t="shared" si="36"/>
        <v>0</v>
      </c>
      <c r="Y115">
        <f t="shared" si="37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allocations'!$A$1:$L$317,4,FALSE)</f>
        <v>33776.539756993938</v>
      </c>
      <c r="E116" s="31">
        <f>VLOOKUP(B116,'Initial adjusted formula count'!$A$1:$P$317,12,FALSE)</f>
        <v>0.15733896515311499</v>
      </c>
      <c r="F116">
        <f>VLOOKUP(B116,'Model allocations'!$A$1:$L$317,9,FALSE)</f>
        <v>34865.06943527572</v>
      </c>
      <c r="G116" s="30">
        <f t="shared" si="26"/>
        <v>0.9</v>
      </c>
      <c r="H116">
        <f t="shared" si="27"/>
        <v>30398.885781294546</v>
      </c>
      <c r="I116">
        <f t="shared" si="19"/>
        <v>0</v>
      </c>
      <c r="J116">
        <f t="shared" si="20"/>
        <v>34865.06943527572</v>
      </c>
      <c r="K116">
        <f t="shared" si="21"/>
        <v>34835.590744971618</v>
      </c>
      <c r="L116">
        <f t="shared" si="28"/>
        <v>34835.590744971618</v>
      </c>
      <c r="M116">
        <f t="shared" si="22"/>
        <v>0</v>
      </c>
      <c r="N116" s="29">
        <f t="shared" si="29"/>
        <v>34835.590744971618</v>
      </c>
      <c r="O116" s="29">
        <f t="shared" si="23"/>
        <v>34826.594270342539</v>
      </c>
      <c r="P116" s="29">
        <f t="shared" si="30"/>
        <v>34826.594270342539</v>
      </c>
      <c r="Q116">
        <f t="shared" si="31"/>
        <v>0</v>
      </c>
      <c r="R116" s="29">
        <f t="shared" si="32"/>
        <v>34826.594270342539</v>
      </c>
      <c r="S116" s="29">
        <f t="shared" si="24"/>
        <v>34826.594270342539</v>
      </c>
      <c r="T116" s="29">
        <f t="shared" si="33"/>
        <v>34826.594270342539</v>
      </c>
      <c r="U116">
        <f t="shared" si="34"/>
        <v>0</v>
      </c>
      <c r="V116" s="29">
        <f t="shared" si="35"/>
        <v>34826.594270342539</v>
      </c>
      <c r="W116" s="29">
        <f t="shared" si="25"/>
        <v>34826.594270342539</v>
      </c>
      <c r="X116" s="29">
        <f t="shared" si="36"/>
        <v>34826.594270342539</v>
      </c>
      <c r="Y116">
        <f t="shared" si="37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allocations'!$A$1:$L$317,4,FALSE)</f>
        <v>49281.224125934845</v>
      </c>
      <c r="E117" s="31">
        <f>VLOOKUP(B117,'Initial adjusted formula count'!$A$1:$P$317,12,FALSE)</f>
        <v>0.11085844229675999</v>
      </c>
      <c r="F117">
        <f>VLOOKUP(B117,'Model allocations'!$A$1:$L$317,9,FALSE)</f>
        <v>41889.040507044614</v>
      </c>
      <c r="G117" s="30">
        <f t="shared" si="26"/>
        <v>0.85</v>
      </c>
      <c r="H117">
        <f t="shared" si="27"/>
        <v>41889.040507044614</v>
      </c>
      <c r="I117">
        <f t="shared" si="19"/>
        <v>0</v>
      </c>
      <c r="J117">
        <f t="shared" si="20"/>
        <v>41889.040507044614</v>
      </c>
      <c r="K117">
        <f t="shared" si="21"/>
        <v>41853.622993979414</v>
      </c>
      <c r="L117">
        <f t="shared" si="28"/>
        <v>41853.622993979414</v>
      </c>
      <c r="M117">
        <f t="shared" si="22"/>
        <v>41889.040507044614</v>
      </c>
      <c r="N117" s="29">
        <f t="shared" si="29"/>
        <v>0</v>
      </c>
      <c r="O117" s="29">
        <f t="shared" si="23"/>
        <v>0</v>
      </c>
      <c r="P117" s="29">
        <f t="shared" si="30"/>
        <v>41889.040507044614</v>
      </c>
      <c r="Q117">
        <f t="shared" si="31"/>
        <v>0</v>
      </c>
      <c r="R117" s="29">
        <f t="shared" si="32"/>
        <v>0</v>
      </c>
      <c r="S117" s="29">
        <f t="shared" si="24"/>
        <v>0</v>
      </c>
      <c r="T117" s="29">
        <f t="shared" si="33"/>
        <v>41889.040507044614</v>
      </c>
      <c r="U117">
        <f t="shared" si="34"/>
        <v>0</v>
      </c>
      <c r="V117" s="29">
        <f t="shared" si="35"/>
        <v>0</v>
      </c>
      <c r="W117" s="29">
        <f t="shared" si="25"/>
        <v>0</v>
      </c>
      <c r="X117" s="29">
        <f t="shared" si="36"/>
        <v>41889.040507044614</v>
      </c>
      <c r="Y117">
        <f t="shared" si="37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allocations'!$A$1:$L$317,4,FALSE)</f>
        <v>0</v>
      </c>
      <c r="E118" s="31">
        <f>VLOOKUP(B118,'Initial adjusted formula count'!$A$1:$P$317,12,FALSE)</f>
        <v>9.3708165997322596E-2</v>
      </c>
      <c r="F118">
        <f>VLOOKUP(B118,'Model allocations'!$A$1:$L$317,9,FALSE)</f>
        <v>0</v>
      </c>
      <c r="G118" s="30">
        <f t="shared" si="26"/>
        <v>0.85</v>
      </c>
      <c r="H118">
        <f t="shared" si="27"/>
        <v>0</v>
      </c>
      <c r="I118">
        <f t="shared" si="19"/>
        <v>0</v>
      </c>
      <c r="J118">
        <f t="shared" si="20"/>
        <v>0</v>
      </c>
      <c r="K118">
        <f t="shared" si="21"/>
        <v>0</v>
      </c>
      <c r="L118">
        <f t="shared" si="28"/>
        <v>0</v>
      </c>
      <c r="M118">
        <f t="shared" si="22"/>
        <v>0</v>
      </c>
      <c r="N118" s="29">
        <f t="shared" si="29"/>
        <v>0</v>
      </c>
      <c r="O118" s="29">
        <f t="shared" si="23"/>
        <v>0</v>
      </c>
      <c r="P118" s="29">
        <f t="shared" si="30"/>
        <v>0</v>
      </c>
      <c r="Q118">
        <f t="shared" si="31"/>
        <v>0</v>
      </c>
      <c r="R118" s="29">
        <f t="shared" si="32"/>
        <v>0</v>
      </c>
      <c r="S118" s="29">
        <f t="shared" si="24"/>
        <v>0</v>
      </c>
      <c r="T118" s="29">
        <f t="shared" si="33"/>
        <v>0</v>
      </c>
      <c r="U118">
        <f t="shared" si="34"/>
        <v>0</v>
      </c>
      <c r="V118" s="29">
        <f t="shared" si="35"/>
        <v>0</v>
      </c>
      <c r="W118" s="29">
        <f t="shared" si="25"/>
        <v>0</v>
      </c>
      <c r="X118" s="29">
        <f t="shared" si="36"/>
        <v>0</v>
      </c>
      <c r="Y118">
        <f t="shared" si="37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allocations'!$A$1:$L$317,4,FALSE)</f>
        <v>3173.6346080397011</v>
      </c>
      <c r="E119" s="31">
        <f>VLOOKUP(B119,'Initial adjusted formula count'!$A$1:$P$317,12,FALSE)</f>
        <v>6.0975609756097601E-2</v>
      </c>
      <c r="F119">
        <f>VLOOKUP(B119,'Model allocations'!$A$1:$L$317,9,FALSE)</f>
        <v>2697.5894168337459</v>
      </c>
      <c r="G119" s="30">
        <f t="shared" si="26"/>
        <v>0.85</v>
      </c>
      <c r="H119">
        <f t="shared" si="27"/>
        <v>2697.5894168337459</v>
      </c>
      <c r="I119">
        <f t="shared" si="19"/>
        <v>0</v>
      </c>
      <c r="J119">
        <f t="shared" si="20"/>
        <v>2697.5894168337459</v>
      </c>
      <c r="K119">
        <f t="shared" si="21"/>
        <v>2695.3085837743397</v>
      </c>
      <c r="L119">
        <f t="shared" si="28"/>
        <v>2695.3085837743397</v>
      </c>
      <c r="M119">
        <f t="shared" si="22"/>
        <v>2697.5894168337459</v>
      </c>
      <c r="N119" s="29">
        <f t="shared" si="29"/>
        <v>0</v>
      </c>
      <c r="O119" s="29">
        <f t="shared" si="23"/>
        <v>0</v>
      </c>
      <c r="P119" s="29">
        <f t="shared" si="30"/>
        <v>2697.5894168337459</v>
      </c>
      <c r="Q119">
        <f t="shared" si="31"/>
        <v>0</v>
      </c>
      <c r="R119" s="29">
        <f t="shared" si="32"/>
        <v>0</v>
      </c>
      <c r="S119" s="29">
        <f t="shared" si="24"/>
        <v>0</v>
      </c>
      <c r="T119" s="29">
        <f t="shared" si="33"/>
        <v>2697.5894168337459</v>
      </c>
      <c r="U119">
        <f t="shared" si="34"/>
        <v>0</v>
      </c>
      <c r="V119" s="29">
        <f t="shared" si="35"/>
        <v>0</v>
      </c>
      <c r="W119" s="29">
        <f t="shared" si="25"/>
        <v>0</v>
      </c>
      <c r="X119" s="29">
        <f t="shared" si="36"/>
        <v>2697.5894168337459</v>
      </c>
      <c r="Y119">
        <f t="shared" si="37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allocations'!$A$1:$L$317,4,FALSE)</f>
        <v>0</v>
      </c>
      <c r="E120" s="31">
        <f>VLOOKUP(B120,'Initial adjusted formula count'!$A$1:$P$317,12,FALSE)</f>
        <v>5.5641421947449803E-2</v>
      </c>
      <c r="F120">
        <f>VLOOKUP(B120,'Model allocations'!$A$1:$L$317,9,FALSE)</f>
        <v>0</v>
      </c>
      <c r="G120" s="30">
        <f t="shared" si="26"/>
        <v>0.85</v>
      </c>
      <c r="H120">
        <f t="shared" si="27"/>
        <v>0</v>
      </c>
      <c r="I120">
        <f t="shared" si="19"/>
        <v>0</v>
      </c>
      <c r="J120">
        <f t="shared" si="20"/>
        <v>0</v>
      </c>
      <c r="K120">
        <f t="shared" si="21"/>
        <v>0</v>
      </c>
      <c r="L120">
        <f t="shared" si="28"/>
        <v>0</v>
      </c>
      <c r="M120">
        <f t="shared" si="22"/>
        <v>0</v>
      </c>
      <c r="N120" s="29">
        <f t="shared" si="29"/>
        <v>0</v>
      </c>
      <c r="O120" s="29">
        <f t="shared" si="23"/>
        <v>0</v>
      </c>
      <c r="P120" s="29">
        <f t="shared" si="30"/>
        <v>0</v>
      </c>
      <c r="Q120">
        <f t="shared" si="31"/>
        <v>0</v>
      </c>
      <c r="R120" s="29">
        <f t="shared" si="32"/>
        <v>0</v>
      </c>
      <c r="S120" s="29">
        <f t="shared" si="24"/>
        <v>0</v>
      </c>
      <c r="T120" s="29">
        <f t="shared" si="33"/>
        <v>0</v>
      </c>
      <c r="U120">
        <f t="shared" si="34"/>
        <v>0</v>
      </c>
      <c r="V120" s="29">
        <f t="shared" si="35"/>
        <v>0</v>
      </c>
      <c r="W120" s="29">
        <f t="shared" si="25"/>
        <v>0</v>
      </c>
      <c r="X120" s="29">
        <f t="shared" si="36"/>
        <v>0</v>
      </c>
      <c r="Y120">
        <f t="shared" si="37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allocations'!$A$1:$L$317,4,FALSE)</f>
        <v>26090.059831377272</v>
      </c>
      <c r="E121" s="31">
        <f>VLOOKUP(B121,'Initial adjusted formula count'!$A$1:$P$317,12,FALSE)</f>
        <v>0.100682593856655</v>
      </c>
      <c r="F121">
        <f>VLOOKUP(B121,'Model allocations'!$A$1:$L$317,9,FALSE)</f>
        <v>22176.550856670681</v>
      </c>
      <c r="G121" s="30">
        <f t="shared" si="26"/>
        <v>0.85</v>
      </c>
      <c r="H121">
        <f t="shared" si="27"/>
        <v>22176.550856670681</v>
      </c>
      <c r="I121">
        <f t="shared" si="19"/>
        <v>0</v>
      </c>
      <c r="J121">
        <f t="shared" si="20"/>
        <v>22176.550856670681</v>
      </c>
      <c r="K121">
        <f t="shared" si="21"/>
        <v>22157.800408577335</v>
      </c>
      <c r="L121">
        <f t="shared" si="28"/>
        <v>22157.800408577335</v>
      </c>
      <c r="M121">
        <f t="shared" si="22"/>
        <v>22176.550856670681</v>
      </c>
      <c r="N121" s="29">
        <f t="shared" si="29"/>
        <v>0</v>
      </c>
      <c r="O121" s="29">
        <f t="shared" si="23"/>
        <v>0</v>
      </c>
      <c r="P121" s="29">
        <f t="shared" si="30"/>
        <v>22176.550856670681</v>
      </c>
      <c r="Q121">
        <f t="shared" si="31"/>
        <v>0</v>
      </c>
      <c r="R121" s="29">
        <f t="shared" si="32"/>
        <v>0</v>
      </c>
      <c r="S121" s="29">
        <f t="shared" si="24"/>
        <v>0</v>
      </c>
      <c r="T121" s="29">
        <f t="shared" si="33"/>
        <v>22176.550856670681</v>
      </c>
      <c r="U121">
        <f t="shared" si="34"/>
        <v>0</v>
      </c>
      <c r="V121" s="29">
        <f t="shared" si="35"/>
        <v>0</v>
      </c>
      <c r="W121" s="29">
        <f t="shared" si="25"/>
        <v>0</v>
      </c>
      <c r="X121" s="29">
        <f t="shared" si="36"/>
        <v>22176.550856670681</v>
      </c>
      <c r="Y121">
        <f t="shared" si="37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allocations'!$A$1:$L$317,4,FALSE)</f>
        <v>4146.9903909238847</v>
      </c>
      <c r="E122" s="31">
        <f>VLOOKUP(B122,'Initial adjusted formula count'!$A$1:$P$317,12,FALSE)</f>
        <v>0.18888888888888899</v>
      </c>
      <c r="F122">
        <f>VLOOKUP(B122,'Model allocations'!$A$1:$L$317,9,FALSE)</f>
        <v>3977.8938281858209</v>
      </c>
      <c r="G122" s="30">
        <f t="shared" si="26"/>
        <v>0.9</v>
      </c>
      <c r="H122">
        <f t="shared" si="27"/>
        <v>3732.2913518314963</v>
      </c>
      <c r="I122">
        <f t="shared" si="19"/>
        <v>0</v>
      </c>
      <c r="J122">
        <f t="shared" si="20"/>
        <v>3977.8938281858209</v>
      </c>
      <c r="K122">
        <f t="shared" si="21"/>
        <v>3974.5304876813266</v>
      </c>
      <c r="L122">
        <f t="shared" si="28"/>
        <v>3974.5304876813266</v>
      </c>
      <c r="M122">
        <f t="shared" si="22"/>
        <v>0</v>
      </c>
      <c r="N122" s="29">
        <f t="shared" si="29"/>
        <v>3974.5304876813266</v>
      </c>
      <c r="O122" s="29">
        <f t="shared" si="23"/>
        <v>3973.5040442672707</v>
      </c>
      <c r="P122" s="29">
        <f t="shared" si="30"/>
        <v>3973.5040442672707</v>
      </c>
      <c r="Q122">
        <f t="shared" si="31"/>
        <v>0</v>
      </c>
      <c r="R122" s="29">
        <f t="shared" si="32"/>
        <v>3973.5040442672707</v>
      </c>
      <c r="S122" s="29">
        <f t="shared" si="24"/>
        <v>3973.5040442672707</v>
      </c>
      <c r="T122" s="29">
        <f t="shared" si="33"/>
        <v>3973.5040442672707</v>
      </c>
      <c r="U122">
        <f t="shared" si="34"/>
        <v>0</v>
      </c>
      <c r="V122" s="29">
        <f t="shared" si="35"/>
        <v>3973.5040442672707</v>
      </c>
      <c r="W122" s="29">
        <f t="shared" si="25"/>
        <v>3973.5040442672707</v>
      </c>
      <c r="X122" s="29">
        <f t="shared" si="36"/>
        <v>3973.5040442672707</v>
      </c>
      <c r="Y122">
        <f t="shared" si="37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allocations'!$A$1:$L$317,4,FALSE)</f>
        <v>0</v>
      </c>
      <c r="E123" s="31">
        <f>VLOOKUP(B123,'Initial adjusted formula count'!$A$1:$P$317,12,FALSE)</f>
        <v>0.134136546184739</v>
      </c>
      <c r="F123">
        <f>VLOOKUP(B123,'Model allocations'!$A$1:$L$317,9,FALSE)</f>
        <v>0</v>
      </c>
      <c r="G123" s="30">
        <f t="shared" si="26"/>
        <v>0.85</v>
      </c>
      <c r="H123">
        <f t="shared" si="27"/>
        <v>0</v>
      </c>
      <c r="I123">
        <f t="shared" si="19"/>
        <v>0</v>
      </c>
      <c r="J123">
        <f t="shared" si="20"/>
        <v>0</v>
      </c>
      <c r="K123">
        <f t="shared" si="21"/>
        <v>0</v>
      </c>
      <c r="L123">
        <f t="shared" si="28"/>
        <v>0</v>
      </c>
      <c r="M123">
        <f t="shared" si="22"/>
        <v>0</v>
      </c>
      <c r="N123" s="29">
        <f t="shared" si="29"/>
        <v>0</v>
      </c>
      <c r="O123" s="29">
        <f t="shared" si="23"/>
        <v>0</v>
      </c>
      <c r="P123" s="29">
        <f t="shared" si="30"/>
        <v>0</v>
      </c>
      <c r="Q123">
        <f t="shared" si="31"/>
        <v>0</v>
      </c>
      <c r="R123" s="29">
        <f t="shared" si="32"/>
        <v>0</v>
      </c>
      <c r="S123" s="29">
        <f t="shared" si="24"/>
        <v>0</v>
      </c>
      <c r="T123" s="29">
        <f t="shared" si="33"/>
        <v>0</v>
      </c>
      <c r="U123">
        <f t="shared" si="34"/>
        <v>0</v>
      </c>
      <c r="V123" s="29">
        <f t="shared" si="35"/>
        <v>0</v>
      </c>
      <c r="W123" s="29">
        <f t="shared" si="25"/>
        <v>0</v>
      </c>
      <c r="X123" s="29">
        <f t="shared" si="36"/>
        <v>0</v>
      </c>
      <c r="Y123">
        <f t="shared" si="37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allocations'!$A$1:$L$317,4,FALSE)</f>
        <v>0</v>
      </c>
      <c r="E124" s="31">
        <f>VLOOKUP(B124,'Initial adjusted formula count'!$A$1:$P$317,12,FALSE)</f>
        <v>6.6008517228029404E-2</v>
      </c>
      <c r="F124">
        <f>VLOOKUP(B124,'Model allocations'!$A$1:$L$317,9,FALSE)</f>
        <v>0</v>
      </c>
      <c r="G124" s="30">
        <f t="shared" si="26"/>
        <v>0.85</v>
      </c>
      <c r="H124">
        <f t="shared" si="27"/>
        <v>0</v>
      </c>
      <c r="I124">
        <f t="shared" si="19"/>
        <v>0</v>
      </c>
      <c r="J124">
        <f t="shared" si="20"/>
        <v>0</v>
      </c>
      <c r="K124">
        <f t="shared" si="21"/>
        <v>0</v>
      </c>
      <c r="L124">
        <f t="shared" si="28"/>
        <v>0</v>
      </c>
      <c r="M124">
        <f t="shared" si="22"/>
        <v>0</v>
      </c>
      <c r="N124" s="29">
        <f t="shared" si="29"/>
        <v>0</v>
      </c>
      <c r="O124" s="29">
        <f t="shared" si="23"/>
        <v>0</v>
      </c>
      <c r="P124" s="29">
        <f t="shared" si="30"/>
        <v>0</v>
      </c>
      <c r="Q124">
        <f t="shared" si="31"/>
        <v>0</v>
      </c>
      <c r="R124" s="29">
        <f t="shared" si="32"/>
        <v>0</v>
      </c>
      <c r="S124" s="29">
        <f t="shared" si="24"/>
        <v>0</v>
      </c>
      <c r="T124" s="29">
        <f t="shared" si="33"/>
        <v>0</v>
      </c>
      <c r="U124">
        <f t="shared" si="34"/>
        <v>0</v>
      </c>
      <c r="V124" s="29">
        <f t="shared" si="35"/>
        <v>0</v>
      </c>
      <c r="W124" s="29">
        <f t="shared" si="25"/>
        <v>0</v>
      </c>
      <c r="X124" s="29">
        <f t="shared" si="36"/>
        <v>0</v>
      </c>
      <c r="Y124">
        <f t="shared" si="37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allocations'!$A$1:$L$317,4,FALSE)</f>
        <v>0</v>
      </c>
      <c r="E125" s="31">
        <f>VLOOKUP(B125,'Initial adjusted formula count'!$A$1:$P$317,12,FALSE)</f>
        <v>4.0982919124430403E-2</v>
      </c>
      <c r="F125">
        <f>VLOOKUP(B125,'Model allocations'!$A$1:$L$317,9,FALSE)</f>
        <v>0</v>
      </c>
      <c r="G125" s="30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29">
        <f t="shared" si="29"/>
        <v>0</v>
      </c>
      <c r="O125" s="29">
        <f t="shared" si="23"/>
        <v>0</v>
      </c>
      <c r="P125" s="29">
        <f t="shared" si="30"/>
        <v>0</v>
      </c>
      <c r="Q125">
        <f t="shared" si="31"/>
        <v>0</v>
      </c>
      <c r="R125" s="29">
        <f t="shared" si="32"/>
        <v>0</v>
      </c>
      <c r="S125" s="29">
        <f t="shared" si="24"/>
        <v>0</v>
      </c>
      <c r="T125" s="29">
        <f t="shared" si="33"/>
        <v>0</v>
      </c>
      <c r="U125">
        <f t="shared" si="34"/>
        <v>0</v>
      </c>
      <c r="V125" s="29">
        <f t="shared" si="35"/>
        <v>0</v>
      </c>
      <c r="W125" s="29">
        <f t="shared" si="25"/>
        <v>0</v>
      </c>
      <c r="X125" s="29">
        <f t="shared" si="36"/>
        <v>0</v>
      </c>
      <c r="Y125">
        <f t="shared" si="37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allocations'!$A$1:$L$317,4,FALSE)</f>
        <v>0</v>
      </c>
      <c r="E126" s="31">
        <f>VLOOKUP(B126,'Initial adjusted formula count'!$A$1:$P$317,12,FALSE)</f>
        <v>0.12734785875281701</v>
      </c>
      <c r="F126">
        <f>VLOOKUP(B126,'Model allocations'!$A$1:$L$317,9,FALSE)</f>
        <v>0</v>
      </c>
      <c r="G126" s="30">
        <f t="shared" si="26"/>
        <v>0.85</v>
      </c>
      <c r="H126">
        <f t="shared" si="27"/>
        <v>0</v>
      </c>
      <c r="I126">
        <f t="shared" si="19"/>
        <v>0</v>
      </c>
      <c r="J126">
        <f t="shared" si="20"/>
        <v>0</v>
      </c>
      <c r="K126">
        <f t="shared" si="21"/>
        <v>0</v>
      </c>
      <c r="L126">
        <f t="shared" si="28"/>
        <v>0</v>
      </c>
      <c r="M126">
        <f t="shared" si="22"/>
        <v>0</v>
      </c>
      <c r="N126" s="29">
        <f t="shared" si="29"/>
        <v>0</v>
      </c>
      <c r="O126" s="29">
        <f t="shared" si="23"/>
        <v>0</v>
      </c>
      <c r="P126" s="29">
        <f t="shared" si="30"/>
        <v>0</v>
      </c>
      <c r="Q126">
        <f t="shared" si="31"/>
        <v>0</v>
      </c>
      <c r="R126" s="29">
        <f t="shared" si="32"/>
        <v>0</v>
      </c>
      <c r="S126" s="29">
        <f t="shared" si="24"/>
        <v>0</v>
      </c>
      <c r="T126" s="29">
        <f t="shared" si="33"/>
        <v>0</v>
      </c>
      <c r="U126">
        <f t="shared" si="34"/>
        <v>0</v>
      </c>
      <c r="V126" s="29">
        <f t="shared" si="35"/>
        <v>0</v>
      </c>
      <c r="W126" s="29">
        <f t="shared" si="25"/>
        <v>0</v>
      </c>
      <c r="X126" s="29">
        <f t="shared" si="36"/>
        <v>0</v>
      </c>
      <c r="Y126">
        <f t="shared" si="37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allocations'!$A$1:$L$317,4,FALSE)</f>
        <v>0</v>
      </c>
      <c r="E127" s="31">
        <f>VLOOKUP(B127,'Initial adjusted formula count'!$A$1:$P$317,12,FALSE)</f>
        <v>0.35714285714285698</v>
      </c>
      <c r="F127">
        <f>VLOOKUP(B127,'Model allocations'!$A$1:$L$317,9,FALSE)</f>
        <v>2339.9375459916596</v>
      </c>
      <c r="G127" s="30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2339.9375459916596</v>
      </c>
      <c r="K127">
        <f t="shared" si="21"/>
        <v>2337.9591104007804</v>
      </c>
      <c r="L127">
        <f t="shared" si="28"/>
        <v>2337.9591104007804</v>
      </c>
      <c r="M127">
        <f t="shared" si="22"/>
        <v>0</v>
      </c>
      <c r="N127" s="29">
        <f t="shared" si="29"/>
        <v>2337.9591104007804</v>
      </c>
      <c r="O127" s="29">
        <f t="shared" si="23"/>
        <v>2337.3553201572181</v>
      </c>
      <c r="P127" s="29">
        <f t="shared" si="30"/>
        <v>2337.3553201572181</v>
      </c>
      <c r="Q127">
        <f t="shared" si="31"/>
        <v>0</v>
      </c>
      <c r="R127" s="29">
        <f t="shared" si="32"/>
        <v>2337.3553201572181</v>
      </c>
      <c r="S127" s="29">
        <f t="shared" si="24"/>
        <v>2337.3553201572181</v>
      </c>
      <c r="T127" s="29">
        <f t="shared" si="33"/>
        <v>2337.3553201572181</v>
      </c>
      <c r="U127">
        <f t="shared" si="34"/>
        <v>0</v>
      </c>
      <c r="V127" s="29">
        <f t="shared" si="35"/>
        <v>2337.3553201572181</v>
      </c>
      <c r="W127" s="29">
        <f t="shared" si="25"/>
        <v>2337.3553201572181</v>
      </c>
      <c r="X127" s="29">
        <f t="shared" si="36"/>
        <v>2337.3553201572181</v>
      </c>
      <c r="Y127">
        <f t="shared" si="37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allocations'!$A$1:$L$317,4,FALSE)</f>
        <v>0</v>
      </c>
      <c r="E128" s="31">
        <f>VLOOKUP(B128,'Initial adjusted formula count'!$A$1:$P$317,12,FALSE)</f>
        <v>4.20168067226891E-2</v>
      </c>
      <c r="F128">
        <f>VLOOKUP(B128,'Model allocations'!$A$1:$L$317,9,FALSE)</f>
        <v>0</v>
      </c>
      <c r="G128" s="30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29">
        <f t="shared" si="29"/>
        <v>0</v>
      </c>
      <c r="O128" s="29">
        <f t="shared" si="23"/>
        <v>0</v>
      </c>
      <c r="P128" s="29">
        <f t="shared" si="30"/>
        <v>0</v>
      </c>
      <c r="Q128">
        <f t="shared" si="31"/>
        <v>0</v>
      </c>
      <c r="R128" s="29">
        <f t="shared" si="32"/>
        <v>0</v>
      </c>
      <c r="S128" s="29">
        <f t="shared" si="24"/>
        <v>0</v>
      </c>
      <c r="T128" s="29">
        <f t="shared" si="33"/>
        <v>0</v>
      </c>
      <c r="U128">
        <f t="shared" si="34"/>
        <v>0</v>
      </c>
      <c r="V128" s="29">
        <f t="shared" si="35"/>
        <v>0</v>
      </c>
      <c r="W128" s="29">
        <f t="shared" si="25"/>
        <v>0</v>
      </c>
      <c r="X128" s="29">
        <f t="shared" si="36"/>
        <v>0</v>
      </c>
      <c r="Y128">
        <f t="shared" si="37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allocations'!$A$1:$L$317,4,FALSE)</f>
        <v>18361.743089372536</v>
      </c>
      <c r="E129" s="31">
        <f>VLOOKUP(B129,'Initial adjusted formula count'!$A$1:$P$317,12,FALSE)</f>
        <v>0.16611295681063101</v>
      </c>
      <c r="F129">
        <f>VLOOKUP(B129,'Model allocations'!$A$1:$L$317,9,FALSE)</f>
        <v>16525.568780435282</v>
      </c>
      <c r="G129" s="30">
        <f t="shared" si="26"/>
        <v>0.9</v>
      </c>
      <c r="H129">
        <f t="shared" si="27"/>
        <v>16525.568780435282</v>
      </c>
      <c r="I129">
        <f t="shared" si="19"/>
        <v>0</v>
      </c>
      <c r="J129">
        <f t="shared" si="20"/>
        <v>16525.568780435282</v>
      </c>
      <c r="K129">
        <f t="shared" si="21"/>
        <v>16511.596282113373</v>
      </c>
      <c r="L129">
        <f t="shared" si="28"/>
        <v>16511.596282113373</v>
      </c>
      <c r="M129">
        <f t="shared" si="22"/>
        <v>16525.568780435282</v>
      </c>
      <c r="N129" s="29">
        <f t="shared" si="29"/>
        <v>0</v>
      </c>
      <c r="O129" s="29">
        <f t="shared" si="23"/>
        <v>0</v>
      </c>
      <c r="P129" s="29">
        <f t="shared" si="30"/>
        <v>16525.568780435282</v>
      </c>
      <c r="Q129">
        <f t="shared" si="31"/>
        <v>0</v>
      </c>
      <c r="R129" s="29">
        <f t="shared" si="32"/>
        <v>0</v>
      </c>
      <c r="S129" s="29">
        <f t="shared" si="24"/>
        <v>0</v>
      </c>
      <c r="T129" s="29">
        <f t="shared" si="33"/>
        <v>16525.568780435282</v>
      </c>
      <c r="U129">
        <f t="shared" si="34"/>
        <v>0</v>
      </c>
      <c r="V129" s="29">
        <f t="shared" si="35"/>
        <v>0</v>
      </c>
      <c r="W129" s="29">
        <f t="shared" si="25"/>
        <v>0</v>
      </c>
      <c r="X129" s="29">
        <f t="shared" si="36"/>
        <v>16525.568780435282</v>
      </c>
      <c r="Y129">
        <f t="shared" si="37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allocations'!$A$1:$L$317,4,FALSE)</f>
        <v>306709.11604840821</v>
      </c>
      <c r="E130" s="31">
        <f>VLOOKUP(B130,'Initial adjusted formula count'!$A$1:$P$317,12,FALSE)</f>
        <v>0.18699631197923799</v>
      </c>
      <c r="F130">
        <f>VLOOKUP(B130,'Model allocations'!$A$1:$L$317,9,FALSE)</f>
        <v>320337.45004625822</v>
      </c>
      <c r="G130" s="30">
        <f t="shared" si="26"/>
        <v>0.9</v>
      </c>
      <c r="H130">
        <f t="shared" si="27"/>
        <v>276038.20444356737</v>
      </c>
      <c r="I130">
        <f t="shared" si="19"/>
        <v>0</v>
      </c>
      <c r="J130">
        <f t="shared" si="20"/>
        <v>320337.45004625822</v>
      </c>
      <c r="K130">
        <f t="shared" si="21"/>
        <v>320066.60221386683</v>
      </c>
      <c r="L130">
        <f t="shared" si="28"/>
        <v>320066.60221386683</v>
      </c>
      <c r="M130">
        <f t="shared" si="22"/>
        <v>0</v>
      </c>
      <c r="N130" s="29">
        <f t="shared" si="29"/>
        <v>320066.60221386683</v>
      </c>
      <c r="O130" s="29">
        <f t="shared" si="23"/>
        <v>319983.94332952314</v>
      </c>
      <c r="P130" s="29">
        <f t="shared" si="30"/>
        <v>319983.94332952314</v>
      </c>
      <c r="Q130">
        <f t="shared" si="31"/>
        <v>0</v>
      </c>
      <c r="R130" s="29">
        <f t="shared" si="32"/>
        <v>319983.94332952314</v>
      </c>
      <c r="S130" s="29">
        <f t="shared" si="24"/>
        <v>319983.94332952314</v>
      </c>
      <c r="T130" s="29">
        <f t="shared" si="33"/>
        <v>319983.94332952314</v>
      </c>
      <c r="U130">
        <f t="shared" si="34"/>
        <v>0</v>
      </c>
      <c r="V130" s="29">
        <f t="shared" si="35"/>
        <v>319983.94332952314</v>
      </c>
      <c r="W130" s="29">
        <f t="shared" si="25"/>
        <v>319983.94332952314</v>
      </c>
      <c r="X130" s="29">
        <f t="shared" si="36"/>
        <v>319983.94332952314</v>
      </c>
      <c r="Y130">
        <f t="shared" si="37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allocations'!$A$1:$L$317,4,FALSE)</f>
        <v>12921.226618447352</v>
      </c>
      <c r="E131" s="31">
        <f>VLOOKUP(B131,'Initial adjusted formula count'!$A$1:$P$317,12,FALSE)</f>
        <v>0.22957198443579799</v>
      </c>
      <c r="F131">
        <f>VLOOKUP(B131,'Model allocations'!$A$1:$L$317,9,FALSE)</f>
        <v>13805.63152135079</v>
      </c>
      <c r="G131" s="30">
        <f t="shared" si="26"/>
        <v>0.9</v>
      </c>
      <c r="H131">
        <f t="shared" si="27"/>
        <v>11629.103956602617</v>
      </c>
      <c r="I131">
        <f t="shared" si="19"/>
        <v>0</v>
      </c>
      <c r="J131">
        <f t="shared" si="20"/>
        <v>13805.63152135079</v>
      </c>
      <c r="K131">
        <f t="shared" si="21"/>
        <v>13793.958751364602</v>
      </c>
      <c r="L131">
        <f t="shared" si="28"/>
        <v>13793.958751364602</v>
      </c>
      <c r="M131">
        <f t="shared" si="22"/>
        <v>0</v>
      </c>
      <c r="N131" s="29">
        <f t="shared" si="29"/>
        <v>13793.958751364602</v>
      </c>
      <c r="O131" s="29">
        <f t="shared" si="23"/>
        <v>13790.396388927584</v>
      </c>
      <c r="P131" s="29">
        <f t="shared" si="30"/>
        <v>13790.396388927584</v>
      </c>
      <c r="Q131">
        <f t="shared" si="31"/>
        <v>0</v>
      </c>
      <c r="R131" s="29">
        <f t="shared" si="32"/>
        <v>13790.396388927584</v>
      </c>
      <c r="S131" s="29">
        <f t="shared" si="24"/>
        <v>13790.396388927584</v>
      </c>
      <c r="T131" s="29">
        <f t="shared" si="33"/>
        <v>13790.396388927584</v>
      </c>
      <c r="U131">
        <f t="shared" si="34"/>
        <v>0</v>
      </c>
      <c r="V131" s="29">
        <f t="shared" si="35"/>
        <v>13790.396388927584</v>
      </c>
      <c r="W131" s="29">
        <f t="shared" si="25"/>
        <v>13790.396388927584</v>
      </c>
      <c r="X131" s="29">
        <f t="shared" si="36"/>
        <v>13790.396388927584</v>
      </c>
      <c r="Y131">
        <f t="shared" si="37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allocations'!$A$1:$L$317,4,FALSE)</f>
        <v>10854.988396996381</v>
      </c>
      <c r="E132" s="31">
        <f>VLOOKUP(B132,'Initial adjusted formula count'!$A$1:$P$317,12,FALSE)</f>
        <v>0.17142857142857101</v>
      </c>
      <c r="F132">
        <f>VLOOKUP(B132,'Model allocations'!$A$1:$L$317,9,FALSE)</f>
        <v>11231.700220759967</v>
      </c>
      <c r="G132" s="30">
        <f t="shared" si="26"/>
        <v>0.9</v>
      </c>
      <c r="H132">
        <f t="shared" si="27"/>
        <v>9769.4895572967434</v>
      </c>
      <c r="I132">
        <f t="shared" ref="I132:I195" si="38">IF(F132&lt;H132,H132,0)</f>
        <v>0</v>
      </c>
      <c r="J132">
        <f t="shared" ref="J132:J195" si="39">IF(I132=0,F132,0)</f>
        <v>11231.700220759967</v>
      </c>
      <c r="K132">
        <f t="shared" ref="K132:K195" si="40">(J132/$J$3)*($F$3-$I$3)</f>
        <v>11222.203729923747</v>
      </c>
      <c r="L132">
        <f t="shared" si="28"/>
        <v>11222.203729923747</v>
      </c>
      <c r="M132">
        <f t="shared" ref="M132:M195" si="41">IF(L132&lt;H132,H132,0)</f>
        <v>0</v>
      </c>
      <c r="N132" s="29">
        <f t="shared" si="29"/>
        <v>11222.203729923747</v>
      </c>
      <c r="O132" s="29">
        <f t="shared" ref="O132:O195" si="42">((N132/$N$3)*($F$3-$I$3-$M$3))</f>
        <v>11219.305536754648</v>
      </c>
      <c r="P132" s="29">
        <f t="shared" si="30"/>
        <v>11219.305536754648</v>
      </c>
      <c r="Q132">
        <f t="shared" si="31"/>
        <v>0</v>
      </c>
      <c r="R132" s="29">
        <f t="shared" si="32"/>
        <v>11219.305536754648</v>
      </c>
      <c r="S132" s="29">
        <f t="shared" ref="S132:S195" si="43">((R132/$R$3)*($F$3-$I$3-$M$3-$Q$3))</f>
        <v>11219.305536754648</v>
      </c>
      <c r="T132" s="29">
        <f t="shared" si="33"/>
        <v>11219.305536754648</v>
      </c>
      <c r="U132">
        <f t="shared" si="34"/>
        <v>0</v>
      </c>
      <c r="V132" s="29">
        <f t="shared" si="35"/>
        <v>11219.305536754648</v>
      </c>
      <c r="W132" s="29">
        <f t="shared" ref="W132:W195" si="44">((V132/$V$3)*($F$3-$I$3-$M$3-$Q$3-$U$3))</f>
        <v>11219.305536754648</v>
      </c>
      <c r="X132" s="29">
        <f t="shared" si="36"/>
        <v>11219.305536754648</v>
      </c>
      <c r="Y132">
        <f t="shared" si="37"/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allocations'!$A$1:$L$317,4,FALSE)</f>
        <v>1985.2836676261206</v>
      </c>
      <c r="E133" s="31">
        <f>VLOOKUP(B133,'Initial adjusted formula count'!$A$1:$P$317,12,FALSE)</f>
        <v>0.20320371091916001</v>
      </c>
      <c r="F133">
        <f>VLOOKUP(B133,'Model allocations'!$A$1:$L$317,9,FALSE)</f>
        <v>1876.7063571462231</v>
      </c>
      <c r="G133" s="30">
        <f t="shared" ref="G133:G196" si="45">IF(E133&lt;0.15,0.85,IF(AND(E133&gt;=0.15,E133&lt;0.3),0.9,0.95))</f>
        <v>0.9</v>
      </c>
      <c r="H133">
        <f t="shared" ref="H133:H196" si="46">IF(F133 = 0, 0, D133*G133)</f>
        <v>1786.7553008635086</v>
      </c>
      <c r="I133">
        <f t="shared" si="38"/>
        <v>0</v>
      </c>
      <c r="J133">
        <f t="shared" si="39"/>
        <v>1876.7063571462231</v>
      </c>
      <c r="K133">
        <f t="shared" si="40"/>
        <v>1875.1195871672687</v>
      </c>
      <c r="L133">
        <f t="shared" ref="L133:L196" si="47">I133+K133</f>
        <v>1875.1195871672687</v>
      </c>
      <c r="M133">
        <f t="shared" si="41"/>
        <v>0</v>
      </c>
      <c r="N133" s="29">
        <f t="shared" ref="N133:N196" si="48">IF(I133+M133=0,L133,0)</f>
        <v>1875.1195871672687</v>
      </c>
      <c r="O133" s="29">
        <f t="shared" si="42"/>
        <v>1874.6353276662333</v>
      </c>
      <c r="P133" s="29">
        <f t="shared" ref="P133:P196" si="49">$I133+$M133+O133</f>
        <v>1874.6353276662333</v>
      </c>
      <c r="Q133">
        <f t="shared" ref="Q133:Q196" si="50">IF(P133&lt;H133,H133,0)</f>
        <v>0</v>
      </c>
      <c r="R133" s="29">
        <f t="shared" ref="R133:R196" si="51">IF($I133+$M133+$Q133=0,P133,0)</f>
        <v>1874.6353276662333</v>
      </c>
      <c r="S133" s="29">
        <f t="shared" si="43"/>
        <v>1874.6353276662333</v>
      </c>
      <c r="T133" s="29">
        <f t="shared" ref="T133:T196" si="52">$I133+$M133+$Q133+S133</f>
        <v>1874.6353276662333</v>
      </c>
      <c r="U133">
        <f t="shared" ref="U133:U196" si="53">IF(T133&lt;H133,H133,0)</f>
        <v>0</v>
      </c>
      <c r="V133" s="29">
        <f t="shared" ref="V133:V196" si="54">IF($I133+$M133+$Q133+U133=0,T133,0)</f>
        <v>1874.6353276662333</v>
      </c>
      <c r="W133" s="29">
        <f t="shared" si="44"/>
        <v>1874.6353276662333</v>
      </c>
      <c r="X133" s="29">
        <f t="shared" ref="X133:X196" si="55">$I133+$M133+$Q133+$U133+W133</f>
        <v>1874.6353276662333</v>
      </c>
      <c r="Y133">
        <f t="shared" ref="Y133:Y196" si="56">IF(X133&lt;H133,H133,0)</f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allocations'!$A$1:$L$317,4,FALSE)</f>
        <v>18190.999866069473</v>
      </c>
      <c r="E134" s="31">
        <f>VLOOKUP(B134,'Initial adjusted formula count'!$A$1:$P$317,12,FALSE)</f>
        <v>0.21531100478468901</v>
      </c>
      <c r="F134">
        <f>VLOOKUP(B134,'Model allocations'!$A$1:$L$317,9,FALSE)</f>
        <v>21059.437913924936</v>
      </c>
      <c r="G134" s="30">
        <f t="shared" si="45"/>
        <v>0.9</v>
      </c>
      <c r="H134">
        <f t="shared" si="46"/>
        <v>16371.899879462526</v>
      </c>
      <c r="I134">
        <f t="shared" si="38"/>
        <v>0</v>
      </c>
      <c r="J134">
        <f t="shared" si="39"/>
        <v>21059.437913924936</v>
      </c>
      <c r="K134">
        <f t="shared" si="40"/>
        <v>21041.631993607025</v>
      </c>
      <c r="L134">
        <f t="shared" si="47"/>
        <v>21041.631993607025</v>
      </c>
      <c r="M134">
        <f t="shared" si="41"/>
        <v>0</v>
      </c>
      <c r="N134" s="29">
        <f t="shared" si="48"/>
        <v>21041.631993607025</v>
      </c>
      <c r="O134" s="29">
        <f t="shared" si="42"/>
        <v>21036.197881414966</v>
      </c>
      <c r="P134" s="29">
        <f t="shared" si="49"/>
        <v>21036.197881414966</v>
      </c>
      <c r="Q134">
        <f t="shared" si="50"/>
        <v>0</v>
      </c>
      <c r="R134" s="29">
        <f t="shared" si="51"/>
        <v>21036.197881414966</v>
      </c>
      <c r="S134" s="29">
        <f t="shared" si="43"/>
        <v>21036.197881414966</v>
      </c>
      <c r="T134" s="29">
        <f t="shared" si="52"/>
        <v>21036.197881414966</v>
      </c>
      <c r="U134">
        <f t="shared" si="53"/>
        <v>0</v>
      </c>
      <c r="V134" s="29">
        <f t="shared" si="54"/>
        <v>21036.197881414966</v>
      </c>
      <c r="W134" s="29">
        <f t="shared" si="44"/>
        <v>21036.197881414966</v>
      </c>
      <c r="X134" s="29">
        <f t="shared" si="55"/>
        <v>21036.197881414966</v>
      </c>
      <c r="Y134">
        <f t="shared" si="56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allocations'!$A$1:$L$317,4,FALSE)</f>
        <v>0</v>
      </c>
      <c r="E135" s="31">
        <f>VLOOKUP(B135,'Initial adjusted formula count'!$A$1:$P$317,12,FALSE)</f>
        <v>8.0220032088012802E-2</v>
      </c>
      <c r="F135">
        <f>VLOOKUP(B135,'Model allocations'!$A$1:$L$317,9,FALSE)</f>
        <v>0</v>
      </c>
      <c r="G135" s="30">
        <f t="shared" si="45"/>
        <v>0.85</v>
      </c>
      <c r="H135">
        <f t="shared" si="46"/>
        <v>0</v>
      </c>
      <c r="I135">
        <f t="shared" si="38"/>
        <v>0</v>
      </c>
      <c r="J135">
        <f t="shared" si="39"/>
        <v>0</v>
      </c>
      <c r="K135">
        <f t="shared" si="40"/>
        <v>0</v>
      </c>
      <c r="L135">
        <f t="shared" si="47"/>
        <v>0</v>
      </c>
      <c r="M135">
        <f t="shared" si="41"/>
        <v>0</v>
      </c>
      <c r="N135" s="29">
        <f t="shared" si="48"/>
        <v>0</v>
      </c>
      <c r="O135" s="29">
        <f t="shared" si="42"/>
        <v>0</v>
      </c>
      <c r="P135" s="29">
        <f t="shared" si="49"/>
        <v>0</v>
      </c>
      <c r="Q135">
        <f t="shared" si="50"/>
        <v>0</v>
      </c>
      <c r="R135" s="29">
        <f t="shared" si="51"/>
        <v>0</v>
      </c>
      <c r="S135" s="29">
        <f t="shared" si="43"/>
        <v>0</v>
      </c>
      <c r="T135" s="29">
        <f t="shared" si="52"/>
        <v>0</v>
      </c>
      <c r="U135">
        <f t="shared" si="53"/>
        <v>0</v>
      </c>
      <c r="V135" s="29">
        <f t="shared" si="54"/>
        <v>0</v>
      </c>
      <c r="W135" s="29">
        <f t="shared" si="44"/>
        <v>0</v>
      </c>
      <c r="X135" s="29">
        <f t="shared" si="55"/>
        <v>0</v>
      </c>
      <c r="Y135">
        <f t="shared" si="56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allocations'!$A$1:$L$317,4,FALSE)</f>
        <v>43297.443581113053</v>
      </c>
      <c r="E136" s="31">
        <f>VLOOKUP(B136,'Initial adjusted formula count'!$A$1:$P$317,12,FALSE)</f>
        <v>0.15584415584415601</v>
      </c>
      <c r="F136">
        <f>VLOOKUP(B136,'Model allocations'!$A$1:$L$317,9,FALSE)</f>
        <v>38967.699223001749</v>
      </c>
      <c r="G136" s="30">
        <f t="shared" si="45"/>
        <v>0.9</v>
      </c>
      <c r="H136">
        <f t="shared" si="46"/>
        <v>38967.699223001749</v>
      </c>
      <c r="I136">
        <f t="shared" si="38"/>
        <v>0</v>
      </c>
      <c r="J136">
        <f t="shared" si="39"/>
        <v>38967.699223001749</v>
      </c>
      <c r="K136">
        <f t="shared" si="40"/>
        <v>38934.751726958733</v>
      </c>
      <c r="L136">
        <f t="shared" si="47"/>
        <v>38934.751726958733</v>
      </c>
      <c r="M136">
        <f t="shared" si="41"/>
        <v>38967.699223001749</v>
      </c>
      <c r="N136" s="29">
        <f t="shared" si="48"/>
        <v>0</v>
      </c>
      <c r="O136" s="29">
        <f t="shared" si="42"/>
        <v>0</v>
      </c>
      <c r="P136" s="29">
        <f t="shared" si="49"/>
        <v>38967.699223001749</v>
      </c>
      <c r="Q136">
        <f t="shared" si="50"/>
        <v>0</v>
      </c>
      <c r="R136" s="29">
        <f t="shared" si="51"/>
        <v>0</v>
      </c>
      <c r="S136" s="29">
        <f t="shared" si="43"/>
        <v>0</v>
      </c>
      <c r="T136" s="29">
        <f t="shared" si="52"/>
        <v>38967.699223001749</v>
      </c>
      <c r="U136">
        <f t="shared" si="53"/>
        <v>0</v>
      </c>
      <c r="V136" s="29">
        <f t="shared" si="54"/>
        <v>0</v>
      </c>
      <c r="W136" s="29">
        <f t="shared" si="44"/>
        <v>0</v>
      </c>
      <c r="X136" s="29">
        <f t="shared" si="55"/>
        <v>38967.699223001749</v>
      </c>
      <c r="Y136">
        <f t="shared" si="56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allocations'!$A$1:$L$317,4,FALSE)</f>
        <v>5141.8366091035523</v>
      </c>
      <c r="E137" s="31">
        <f>VLOOKUP(B137,'Initial adjusted formula count'!$A$1:$P$317,12,FALSE)</f>
        <v>0.127906976744186</v>
      </c>
      <c r="F137">
        <f>VLOOKUP(B137,'Model allocations'!$A$1:$L$317,9,FALSE)</f>
        <v>4370.5611177380197</v>
      </c>
      <c r="G137" s="30">
        <f t="shared" si="45"/>
        <v>0.85</v>
      </c>
      <c r="H137">
        <f t="shared" si="46"/>
        <v>4370.5611177380197</v>
      </c>
      <c r="I137">
        <f t="shared" si="38"/>
        <v>0</v>
      </c>
      <c r="J137">
        <f t="shared" si="39"/>
        <v>4370.5611177380197</v>
      </c>
      <c r="K137">
        <f t="shared" si="40"/>
        <v>4366.8657739532</v>
      </c>
      <c r="L137">
        <f t="shared" si="47"/>
        <v>4366.8657739532</v>
      </c>
      <c r="M137">
        <f t="shared" si="41"/>
        <v>4370.5611177380197</v>
      </c>
      <c r="N137" s="29">
        <f t="shared" si="48"/>
        <v>0</v>
      </c>
      <c r="O137" s="29">
        <f t="shared" si="42"/>
        <v>0</v>
      </c>
      <c r="P137" s="29">
        <f t="shared" si="49"/>
        <v>4370.5611177380197</v>
      </c>
      <c r="Q137">
        <f t="shared" si="50"/>
        <v>0</v>
      </c>
      <c r="R137" s="29">
        <f t="shared" si="51"/>
        <v>0</v>
      </c>
      <c r="S137" s="29">
        <f t="shared" si="43"/>
        <v>0</v>
      </c>
      <c r="T137" s="29">
        <f t="shared" si="52"/>
        <v>4370.5611177380197</v>
      </c>
      <c r="U137">
        <f t="shared" si="53"/>
        <v>0</v>
      </c>
      <c r="V137" s="29">
        <f t="shared" si="54"/>
        <v>0</v>
      </c>
      <c r="W137" s="29">
        <f t="shared" si="44"/>
        <v>0</v>
      </c>
      <c r="X137" s="29">
        <f t="shared" si="55"/>
        <v>4370.5611177380197</v>
      </c>
      <c r="Y137">
        <f t="shared" si="56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allocations'!$A$1:$L$317,4,FALSE)</f>
        <v>27202.582354626004</v>
      </c>
      <c r="E138" s="31">
        <f>VLOOKUP(B138,'Initial adjusted formula count'!$A$1:$P$317,12,FALSE)</f>
        <v>0.167752442996743</v>
      </c>
      <c r="F138">
        <f>VLOOKUP(B138,'Model allocations'!$A$1:$L$317,9,FALSE)</f>
        <v>24482.324119163404</v>
      </c>
      <c r="G138" s="30">
        <f t="shared" si="45"/>
        <v>0.9</v>
      </c>
      <c r="H138">
        <f t="shared" si="46"/>
        <v>24482.324119163404</v>
      </c>
      <c r="I138">
        <f t="shared" si="38"/>
        <v>0</v>
      </c>
      <c r="J138">
        <f t="shared" si="39"/>
        <v>24482.324119163404</v>
      </c>
      <c r="K138">
        <f t="shared" si="40"/>
        <v>24461.624121649467</v>
      </c>
      <c r="L138">
        <f t="shared" si="47"/>
        <v>24461.624121649467</v>
      </c>
      <c r="M138">
        <f t="shared" si="41"/>
        <v>24482.324119163404</v>
      </c>
      <c r="N138" s="29">
        <f t="shared" si="48"/>
        <v>0</v>
      </c>
      <c r="O138" s="29">
        <f t="shared" si="42"/>
        <v>0</v>
      </c>
      <c r="P138" s="29">
        <f t="shared" si="49"/>
        <v>24482.324119163404</v>
      </c>
      <c r="Q138">
        <f t="shared" si="50"/>
        <v>0</v>
      </c>
      <c r="R138" s="29">
        <f t="shared" si="51"/>
        <v>0</v>
      </c>
      <c r="S138" s="29">
        <f t="shared" si="43"/>
        <v>0</v>
      </c>
      <c r="T138" s="29">
        <f t="shared" si="52"/>
        <v>24482.324119163404</v>
      </c>
      <c r="U138">
        <f t="shared" si="53"/>
        <v>0</v>
      </c>
      <c r="V138" s="29">
        <f t="shared" si="54"/>
        <v>0</v>
      </c>
      <c r="W138" s="29">
        <f t="shared" si="44"/>
        <v>0</v>
      </c>
      <c r="X138" s="29">
        <f t="shared" si="55"/>
        <v>24482.324119163404</v>
      </c>
      <c r="Y138">
        <f t="shared" si="56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allocations'!$A$1:$L$317,4,FALSE)</f>
        <v>10506.870612298748</v>
      </c>
      <c r="E139" s="31">
        <f>VLOOKUP(B139,'Initial adjusted formula count'!$A$1:$P$317,12,FALSE)</f>
        <v>0.120192307692308</v>
      </c>
      <c r="F139">
        <f>VLOOKUP(B139,'Model allocations'!$A$1:$L$317,9,FALSE)</f>
        <v>8930.8400204539357</v>
      </c>
      <c r="G139" s="30">
        <f t="shared" si="45"/>
        <v>0.85</v>
      </c>
      <c r="H139">
        <f t="shared" si="46"/>
        <v>8930.8400204539357</v>
      </c>
      <c r="I139">
        <f t="shared" si="38"/>
        <v>0</v>
      </c>
      <c r="J139">
        <f t="shared" si="39"/>
        <v>8930.8400204539357</v>
      </c>
      <c r="K139">
        <f t="shared" si="40"/>
        <v>8923.2889250056051</v>
      </c>
      <c r="L139">
        <f t="shared" si="47"/>
        <v>8923.2889250056051</v>
      </c>
      <c r="M139">
        <f t="shared" si="41"/>
        <v>8930.8400204539357</v>
      </c>
      <c r="N139" s="29">
        <f t="shared" si="48"/>
        <v>0</v>
      </c>
      <c r="O139" s="29">
        <f t="shared" si="42"/>
        <v>0</v>
      </c>
      <c r="P139" s="29">
        <f t="shared" si="49"/>
        <v>8930.8400204539357</v>
      </c>
      <c r="Q139">
        <f t="shared" si="50"/>
        <v>0</v>
      </c>
      <c r="R139" s="29">
        <f t="shared" si="51"/>
        <v>0</v>
      </c>
      <c r="S139" s="29">
        <f t="shared" si="43"/>
        <v>0</v>
      </c>
      <c r="T139" s="29">
        <f t="shared" si="52"/>
        <v>8930.8400204539357</v>
      </c>
      <c r="U139">
        <f t="shared" si="53"/>
        <v>0</v>
      </c>
      <c r="V139" s="29">
        <f t="shared" si="54"/>
        <v>0</v>
      </c>
      <c r="W139" s="29">
        <f t="shared" si="44"/>
        <v>0</v>
      </c>
      <c r="X139" s="29">
        <f t="shared" si="55"/>
        <v>8930.8400204539357</v>
      </c>
      <c r="Y139">
        <f t="shared" si="56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allocations'!$A$1:$L$317,4,FALSE)</f>
        <v>33096.47519812829</v>
      </c>
      <c r="E140" s="31">
        <f>VLOOKUP(B140,'Initial adjusted formula count'!$A$1:$P$317,12,FALSE)</f>
        <v>0.18012422360248401</v>
      </c>
      <c r="F140">
        <f>VLOOKUP(B140,'Model allocations'!$A$1:$L$317,9,FALSE)</f>
        <v>29786.827678315462</v>
      </c>
      <c r="G140" s="30">
        <f t="shared" si="45"/>
        <v>0.9</v>
      </c>
      <c r="H140">
        <f t="shared" si="46"/>
        <v>29786.827678315462</v>
      </c>
      <c r="I140">
        <f t="shared" si="38"/>
        <v>0</v>
      </c>
      <c r="J140">
        <f t="shared" si="39"/>
        <v>29786.827678315462</v>
      </c>
      <c r="K140">
        <f t="shared" si="40"/>
        <v>29761.64268134017</v>
      </c>
      <c r="L140">
        <f t="shared" si="47"/>
        <v>29761.64268134017</v>
      </c>
      <c r="M140">
        <f t="shared" si="41"/>
        <v>29786.827678315462</v>
      </c>
      <c r="N140" s="29">
        <f t="shared" si="48"/>
        <v>0</v>
      </c>
      <c r="O140" s="29">
        <f t="shared" si="42"/>
        <v>0</v>
      </c>
      <c r="P140" s="29">
        <f t="shared" si="49"/>
        <v>29786.827678315462</v>
      </c>
      <c r="Q140">
        <f t="shared" si="50"/>
        <v>0</v>
      </c>
      <c r="R140" s="29">
        <f t="shared" si="51"/>
        <v>0</v>
      </c>
      <c r="S140" s="29">
        <f t="shared" si="43"/>
        <v>0</v>
      </c>
      <c r="T140" s="29">
        <f t="shared" si="52"/>
        <v>29786.827678315462</v>
      </c>
      <c r="U140">
        <f t="shared" si="53"/>
        <v>0</v>
      </c>
      <c r="V140" s="29">
        <f t="shared" si="54"/>
        <v>0</v>
      </c>
      <c r="W140" s="29">
        <f t="shared" si="44"/>
        <v>0</v>
      </c>
      <c r="X140" s="29">
        <f t="shared" si="55"/>
        <v>29786.827678315462</v>
      </c>
      <c r="Y140">
        <f t="shared" si="56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allocations'!$A$1:$L$317,4,FALSE)</f>
        <v>0</v>
      </c>
      <c r="E141" s="31">
        <f>VLOOKUP(B141,'Initial adjusted formula count'!$A$1:$P$317,12,FALSE)</f>
        <v>0.114197530864198</v>
      </c>
      <c r="F141">
        <f>VLOOKUP(B141,'Model allocations'!$A$1:$L$317,9,FALSE)</f>
        <v>0</v>
      </c>
      <c r="G141" s="30">
        <f t="shared" si="45"/>
        <v>0.85</v>
      </c>
      <c r="H141">
        <f t="shared" si="46"/>
        <v>0</v>
      </c>
      <c r="I141">
        <f t="shared" si="38"/>
        <v>0</v>
      </c>
      <c r="J141">
        <f t="shared" si="39"/>
        <v>0</v>
      </c>
      <c r="K141">
        <f t="shared" si="40"/>
        <v>0</v>
      </c>
      <c r="L141">
        <f t="shared" si="47"/>
        <v>0</v>
      </c>
      <c r="M141">
        <f t="shared" si="41"/>
        <v>0</v>
      </c>
      <c r="N141" s="29">
        <f t="shared" si="48"/>
        <v>0</v>
      </c>
      <c r="O141" s="29">
        <f t="shared" si="42"/>
        <v>0</v>
      </c>
      <c r="P141" s="29">
        <f t="shared" si="49"/>
        <v>0</v>
      </c>
      <c r="Q141">
        <f t="shared" si="50"/>
        <v>0</v>
      </c>
      <c r="R141" s="29">
        <f t="shared" si="51"/>
        <v>0</v>
      </c>
      <c r="S141" s="29">
        <f t="shared" si="43"/>
        <v>0</v>
      </c>
      <c r="T141" s="29">
        <f t="shared" si="52"/>
        <v>0</v>
      </c>
      <c r="U141">
        <f t="shared" si="53"/>
        <v>0</v>
      </c>
      <c r="V141" s="29">
        <f t="shared" si="54"/>
        <v>0</v>
      </c>
      <c r="W141" s="29">
        <f t="shared" si="44"/>
        <v>0</v>
      </c>
      <c r="X141" s="29">
        <f t="shared" si="55"/>
        <v>0</v>
      </c>
      <c r="Y141">
        <f t="shared" si="56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allocations'!$A$1:$L$317,4,FALSE)</f>
        <v>0</v>
      </c>
      <c r="E142" s="31">
        <f>VLOOKUP(B142,'Initial adjusted formula count'!$A$1:$P$317,12,FALSE)</f>
        <v>8.2024432809773104E-2</v>
      </c>
      <c r="F142">
        <f>VLOOKUP(B142,'Model allocations'!$A$1:$L$317,9,FALSE)</f>
        <v>0</v>
      </c>
      <c r="G142" s="30">
        <f t="shared" si="45"/>
        <v>0.85</v>
      </c>
      <c r="H142">
        <f t="shared" si="46"/>
        <v>0</v>
      </c>
      <c r="I142">
        <f t="shared" si="38"/>
        <v>0</v>
      </c>
      <c r="J142">
        <f t="shared" si="39"/>
        <v>0</v>
      </c>
      <c r="K142">
        <f t="shared" si="40"/>
        <v>0</v>
      </c>
      <c r="L142">
        <f t="shared" si="47"/>
        <v>0</v>
      </c>
      <c r="M142">
        <f t="shared" si="41"/>
        <v>0</v>
      </c>
      <c r="N142" s="29">
        <f t="shared" si="48"/>
        <v>0</v>
      </c>
      <c r="O142" s="29">
        <f t="shared" si="42"/>
        <v>0</v>
      </c>
      <c r="P142" s="29">
        <f t="shared" si="49"/>
        <v>0</v>
      </c>
      <c r="Q142">
        <f t="shared" si="50"/>
        <v>0</v>
      </c>
      <c r="R142" s="29">
        <f t="shared" si="51"/>
        <v>0</v>
      </c>
      <c r="S142" s="29">
        <f t="shared" si="43"/>
        <v>0</v>
      </c>
      <c r="T142" s="29">
        <f t="shared" si="52"/>
        <v>0</v>
      </c>
      <c r="U142">
        <f t="shared" si="53"/>
        <v>0</v>
      </c>
      <c r="V142" s="29">
        <f t="shared" si="54"/>
        <v>0</v>
      </c>
      <c r="W142" s="29">
        <f t="shared" si="44"/>
        <v>0</v>
      </c>
      <c r="X142" s="29">
        <f t="shared" si="55"/>
        <v>0</v>
      </c>
      <c r="Y142">
        <f t="shared" si="56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allocations'!$A$1:$L$317,4,FALSE)</f>
        <v>0</v>
      </c>
      <c r="E143" s="31">
        <f>VLOOKUP(B143,'Initial adjusted formula count'!$A$1:$P$317,12,FALSE)</f>
        <v>7.4355584930601404E-2</v>
      </c>
      <c r="F143">
        <f>VLOOKUP(B143,'Model allocations'!$A$1:$L$317,9,FALSE)</f>
        <v>0</v>
      </c>
      <c r="G143" s="30">
        <f t="shared" si="45"/>
        <v>0.85</v>
      </c>
      <c r="H143">
        <f t="shared" si="46"/>
        <v>0</v>
      </c>
      <c r="I143">
        <f t="shared" si="38"/>
        <v>0</v>
      </c>
      <c r="J143">
        <f t="shared" si="39"/>
        <v>0</v>
      </c>
      <c r="K143">
        <f t="shared" si="40"/>
        <v>0</v>
      </c>
      <c r="L143">
        <f t="shared" si="47"/>
        <v>0</v>
      </c>
      <c r="M143">
        <f t="shared" si="41"/>
        <v>0</v>
      </c>
      <c r="N143" s="29">
        <f t="shared" si="48"/>
        <v>0</v>
      </c>
      <c r="O143" s="29">
        <f t="shared" si="42"/>
        <v>0</v>
      </c>
      <c r="P143" s="29">
        <f t="shared" si="49"/>
        <v>0</v>
      </c>
      <c r="Q143">
        <f t="shared" si="50"/>
        <v>0</v>
      </c>
      <c r="R143" s="29">
        <f t="shared" si="51"/>
        <v>0</v>
      </c>
      <c r="S143" s="29">
        <f t="shared" si="43"/>
        <v>0</v>
      </c>
      <c r="T143" s="29">
        <f t="shared" si="52"/>
        <v>0</v>
      </c>
      <c r="U143">
        <f t="shared" si="53"/>
        <v>0</v>
      </c>
      <c r="V143" s="29">
        <f t="shared" si="54"/>
        <v>0</v>
      </c>
      <c r="W143" s="29">
        <f t="shared" si="44"/>
        <v>0</v>
      </c>
      <c r="X143" s="29">
        <f t="shared" si="55"/>
        <v>0</v>
      </c>
      <c r="Y143">
        <f t="shared" si="56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allocations'!$A$1:$L$317,4,FALSE)</f>
        <v>0</v>
      </c>
      <c r="E144" s="31">
        <f>VLOOKUP(B144,'Initial adjusted formula count'!$A$1:$P$317,12,FALSE)</f>
        <v>9.3715545755236995E-2</v>
      </c>
      <c r="F144">
        <f>VLOOKUP(B144,'Model allocations'!$A$1:$L$317,9,FALSE)</f>
        <v>0</v>
      </c>
      <c r="G144" s="30">
        <f t="shared" si="45"/>
        <v>0.85</v>
      </c>
      <c r="H144">
        <f t="shared" si="46"/>
        <v>0</v>
      </c>
      <c r="I144">
        <f t="shared" si="38"/>
        <v>0</v>
      </c>
      <c r="J144">
        <f t="shared" si="39"/>
        <v>0</v>
      </c>
      <c r="K144">
        <f t="shared" si="40"/>
        <v>0</v>
      </c>
      <c r="L144">
        <f t="shared" si="47"/>
        <v>0</v>
      </c>
      <c r="M144">
        <f t="shared" si="41"/>
        <v>0</v>
      </c>
      <c r="N144" s="29">
        <f t="shared" si="48"/>
        <v>0</v>
      </c>
      <c r="O144" s="29">
        <f t="shared" si="42"/>
        <v>0</v>
      </c>
      <c r="P144" s="29">
        <f t="shared" si="49"/>
        <v>0</v>
      </c>
      <c r="Q144">
        <f t="shared" si="50"/>
        <v>0</v>
      </c>
      <c r="R144" s="29">
        <f t="shared" si="51"/>
        <v>0</v>
      </c>
      <c r="S144" s="29">
        <f t="shared" si="43"/>
        <v>0</v>
      </c>
      <c r="T144" s="29">
        <f t="shared" si="52"/>
        <v>0</v>
      </c>
      <c r="U144">
        <f t="shared" si="53"/>
        <v>0</v>
      </c>
      <c r="V144" s="29">
        <f t="shared" si="54"/>
        <v>0</v>
      </c>
      <c r="W144" s="29">
        <f t="shared" si="44"/>
        <v>0</v>
      </c>
      <c r="X144" s="29">
        <f t="shared" si="55"/>
        <v>0</v>
      </c>
      <c r="Y144">
        <f t="shared" si="56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allocations'!$A$1:$L$317,4,FALSE)</f>
        <v>0</v>
      </c>
      <c r="E145" s="31">
        <f>VLOOKUP(B145,'Initial adjusted formula count'!$A$1:$P$317,12,FALSE)</f>
        <v>3.06122448979592E-2</v>
      </c>
      <c r="F145">
        <f>VLOOKUP(B145,'Model allocations'!$A$1:$L$317,9,FALSE)</f>
        <v>0</v>
      </c>
      <c r="G145" s="30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29">
        <f t="shared" si="48"/>
        <v>0</v>
      </c>
      <c r="O145" s="29">
        <f t="shared" si="42"/>
        <v>0</v>
      </c>
      <c r="P145" s="29">
        <f t="shared" si="49"/>
        <v>0</v>
      </c>
      <c r="Q145">
        <f t="shared" si="50"/>
        <v>0</v>
      </c>
      <c r="R145" s="29">
        <f t="shared" si="51"/>
        <v>0</v>
      </c>
      <c r="S145" s="29">
        <f t="shared" si="43"/>
        <v>0</v>
      </c>
      <c r="T145" s="29">
        <f t="shared" si="52"/>
        <v>0</v>
      </c>
      <c r="U145">
        <f t="shared" si="53"/>
        <v>0</v>
      </c>
      <c r="V145" s="29">
        <f t="shared" si="54"/>
        <v>0</v>
      </c>
      <c r="W145" s="29">
        <f t="shared" si="44"/>
        <v>0</v>
      </c>
      <c r="X145" s="29">
        <f t="shared" si="55"/>
        <v>0</v>
      </c>
      <c r="Y145">
        <f t="shared" si="56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allocations'!$A$1:$L$317,4,FALSE)</f>
        <v>0</v>
      </c>
      <c r="E146" s="31">
        <f>VLOOKUP(B146,'Initial adjusted formula count'!$A$1:$P$317,12,FALSE)</f>
        <v>0.12697483908718499</v>
      </c>
      <c r="F146">
        <f>VLOOKUP(B146,'Model allocations'!$A$1:$L$317,9,FALSE)</f>
        <v>0</v>
      </c>
      <c r="G146" s="30">
        <f t="shared" si="45"/>
        <v>0.85</v>
      </c>
      <c r="H146">
        <f t="shared" si="46"/>
        <v>0</v>
      </c>
      <c r="I146">
        <f t="shared" si="38"/>
        <v>0</v>
      </c>
      <c r="J146">
        <f t="shared" si="39"/>
        <v>0</v>
      </c>
      <c r="K146">
        <f t="shared" si="40"/>
        <v>0</v>
      </c>
      <c r="L146">
        <f t="shared" si="47"/>
        <v>0</v>
      </c>
      <c r="M146">
        <f t="shared" si="41"/>
        <v>0</v>
      </c>
      <c r="N146" s="29">
        <f t="shared" si="48"/>
        <v>0</v>
      </c>
      <c r="O146" s="29">
        <f t="shared" si="42"/>
        <v>0</v>
      </c>
      <c r="P146" s="29">
        <f t="shared" si="49"/>
        <v>0</v>
      </c>
      <c r="Q146">
        <f t="shared" si="50"/>
        <v>0</v>
      </c>
      <c r="R146" s="29">
        <f t="shared" si="51"/>
        <v>0</v>
      </c>
      <c r="S146" s="29">
        <f t="shared" si="43"/>
        <v>0</v>
      </c>
      <c r="T146" s="29">
        <f t="shared" si="52"/>
        <v>0</v>
      </c>
      <c r="U146">
        <f t="shared" si="53"/>
        <v>0</v>
      </c>
      <c r="V146" s="29">
        <f t="shared" si="54"/>
        <v>0</v>
      </c>
      <c r="W146" s="29">
        <f t="shared" si="44"/>
        <v>0</v>
      </c>
      <c r="X146" s="29">
        <f t="shared" si="55"/>
        <v>0</v>
      </c>
      <c r="Y146">
        <f t="shared" si="56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allocations'!$A$1:$L$317,4,FALSE)</f>
        <v>18499.812526317153</v>
      </c>
      <c r="E147" s="31">
        <f>VLOOKUP(B147,'Initial adjusted formula count'!$A$1:$P$317,12,FALSE)</f>
        <v>0.154121863799283</v>
      </c>
      <c r="F147">
        <f>VLOOKUP(B147,'Model allocations'!$A$1:$L$317,9,FALSE)</f>
        <v>30185.194343292409</v>
      </c>
      <c r="G147" s="30">
        <f t="shared" si="45"/>
        <v>0.9</v>
      </c>
      <c r="H147">
        <f t="shared" si="46"/>
        <v>16649.831273685439</v>
      </c>
      <c r="I147">
        <f t="shared" si="38"/>
        <v>0</v>
      </c>
      <c r="J147">
        <f t="shared" si="39"/>
        <v>30185.194343292409</v>
      </c>
      <c r="K147">
        <f t="shared" si="40"/>
        <v>30159.672524170066</v>
      </c>
      <c r="L147">
        <f t="shared" si="47"/>
        <v>30159.672524170066</v>
      </c>
      <c r="M147">
        <f t="shared" si="41"/>
        <v>0</v>
      </c>
      <c r="N147" s="29">
        <f t="shared" si="48"/>
        <v>30159.672524170066</v>
      </c>
      <c r="O147" s="29">
        <f t="shared" si="42"/>
        <v>30151.883630028115</v>
      </c>
      <c r="P147" s="29">
        <f t="shared" si="49"/>
        <v>30151.883630028115</v>
      </c>
      <c r="Q147">
        <f t="shared" si="50"/>
        <v>0</v>
      </c>
      <c r="R147" s="29">
        <f t="shared" si="51"/>
        <v>30151.883630028115</v>
      </c>
      <c r="S147" s="29">
        <f t="shared" si="43"/>
        <v>30151.883630028115</v>
      </c>
      <c r="T147" s="29">
        <f t="shared" si="52"/>
        <v>30151.883630028115</v>
      </c>
      <c r="U147">
        <f t="shared" si="53"/>
        <v>0</v>
      </c>
      <c r="V147" s="29">
        <f t="shared" si="54"/>
        <v>30151.883630028115</v>
      </c>
      <c r="W147" s="29">
        <f t="shared" si="44"/>
        <v>30151.883630028115</v>
      </c>
      <c r="X147" s="29">
        <f t="shared" si="55"/>
        <v>30151.883630028115</v>
      </c>
      <c r="Y147">
        <f t="shared" si="56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allocations'!$A$1:$L$317,4,FALSE)</f>
        <v>4080.3873531938998</v>
      </c>
      <c r="E148" s="31">
        <f>VLOOKUP(B148,'Initial adjusted formula count'!$A$1:$P$317,12,FALSE)</f>
        <v>0.17808219178082199</v>
      </c>
      <c r="F148">
        <f>VLOOKUP(B148,'Model allocations'!$A$1:$L$317,9,FALSE)</f>
        <v>3672.3486178745097</v>
      </c>
      <c r="G148" s="30">
        <f t="shared" si="45"/>
        <v>0.9</v>
      </c>
      <c r="H148">
        <f t="shared" si="46"/>
        <v>3672.3486178745097</v>
      </c>
      <c r="I148">
        <f t="shared" si="38"/>
        <v>0</v>
      </c>
      <c r="J148">
        <f t="shared" si="39"/>
        <v>3672.3486178745097</v>
      </c>
      <c r="K148">
        <f t="shared" si="40"/>
        <v>3669.2436182474189</v>
      </c>
      <c r="L148">
        <f t="shared" si="47"/>
        <v>3669.2436182474189</v>
      </c>
      <c r="M148">
        <f t="shared" si="41"/>
        <v>3672.3486178745097</v>
      </c>
      <c r="N148" s="29">
        <f t="shared" si="48"/>
        <v>0</v>
      </c>
      <c r="O148" s="29">
        <f t="shared" si="42"/>
        <v>0</v>
      </c>
      <c r="P148" s="29">
        <f t="shared" si="49"/>
        <v>3672.3486178745097</v>
      </c>
      <c r="Q148">
        <f t="shared" si="50"/>
        <v>0</v>
      </c>
      <c r="R148" s="29">
        <f t="shared" si="51"/>
        <v>0</v>
      </c>
      <c r="S148" s="29">
        <f t="shared" si="43"/>
        <v>0</v>
      </c>
      <c r="T148" s="29">
        <f t="shared" si="52"/>
        <v>3672.3486178745097</v>
      </c>
      <c r="U148">
        <f t="shared" si="53"/>
        <v>0</v>
      </c>
      <c r="V148" s="29">
        <f t="shared" si="54"/>
        <v>0</v>
      </c>
      <c r="W148" s="29">
        <f t="shared" si="44"/>
        <v>0</v>
      </c>
      <c r="X148" s="29">
        <f t="shared" si="55"/>
        <v>3672.3486178745097</v>
      </c>
      <c r="Y148">
        <f t="shared" si="56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allocations'!$A$1:$L$317,4,FALSE)</f>
        <v>0</v>
      </c>
      <c r="E149" s="31">
        <f>VLOOKUP(B149,'Initial adjusted formula count'!$A$1:$P$317,12,FALSE)</f>
        <v>6.8399044205495793E-2</v>
      </c>
      <c r="F149">
        <f>VLOOKUP(B149,'Model allocations'!$A$1:$L$317,9,FALSE)</f>
        <v>0</v>
      </c>
      <c r="G149" s="30">
        <f t="shared" si="45"/>
        <v>0.85</v>
      </c>
      <c r="H149">
        <f t="shared" si="46"/>
        <v>0</v>
      </c>
      <c r="I149">
        <f t="shared" si="38"/>
        <v>0</v>
      </c>
      <c r="J149">
        <f t="shared" si="39"/>
        <v>0</v>
      </c>
      <c r="K149">
        <f t="shared" si="40"/>
        <v>0</v>
      </c>
      <c r="L149">
        <f t="shared" si="47"/>
        <v>0</v>
      </c>
      <c r="M149">
        <f t="shared" si="41"/>
        <v>0</v>
      </c>
      <c r="N149" s="29">
        <f t="shared" si="48"/>
        <v>0</v>
      </c>
      <c r="O149" s="29">
        <f t="shared" si="42"/>
        <v>0</v>
      </c>
      <c r="P149" s="29">
        <f t="shared" si="49"/>
        <v>0</v>
      </c>
      <c r="Q149">
        <f t="shared" si="50"/>
        <v>0</v>
      </c>
      <c r="R149" s="29">
        <f t="shared" si="51"/>
        <v>0</v>
      </c>
      <c r="S149" s="29">
        <f t="shared" si="43"/>
        <v>0</v>
      </c>
      <c r="T149" s="29">
        <f t="shared" si="52"/>
        <v>0</v>
      </c>
      <c r="U149">
        <f t="shared" si="53"/>
        <v>0</v>
      </c>
      <c r="V149" s="29">
        <f t="shared" si="54"/>
        <v>0</v>
      </c>
      <c r="W149" s="29">
        <f t="shared" si="44"/>
        <v>0</v>
      </c>
      <c r="X149" s="29">
        <f t="shared" si="55"/>
        <v>0</v>
      </c>
      <c r="Y149">
        <f t="shared" si="56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allocations'!$A$1:$L$317,4,FALSE)</f>
        <v>48284.583679461124</v>
      </c>
      <c r="E150" s="31">
        <f>VLOOKUP(B150,'Initial adjusted formula count'!$A$1:$P$317,12,FALSE)</f>
        <v>9.4988780852655205E-2</v>
      </c>
      <c r="F150">
        <f>VLOOKUP(B150,'Model allocations'!$A$1:$L$317,9,FALSE)</f>
        <v>41041.896127541957</v>
      </c>
      <c r="G150" s="30">
        <f t="shared" si="45"/>
        <v>0.85</v>
      </c>
      <c r="H150">
        <f t="shared" si="46"/>
        <v>41041.896127541957</v>
      </c>
      <c r="I150">
        <f t="shared" si="38"/>
        <v>0</v>
      </c>
      <c r="J150">
        <f t="shared" si="39"/>
        <v>41041.896127541957</v>
      </c>
      <c r="K150">
        <f t="shared" si="40"/>
        <v>41007.194881709569</v>
      </c>
      <c r="L150">
        <f t="shared" si="47"/>
        <v>41007.194881709569</v>
      </c>
      <c r="M150">
        <f t="shared" si="41"/>
        <v>41041.896127541957</v>
      </c>
      <c r="N150" s="29">
        <f t="shared" si="48"/>
        <v>0</v>
      </c>
      <c r="O150" s="29">
        <f t="shared" si="42"/>
        <v>0</v>
      </c>
      <c r="P150" s="29">
        <f t="shared" si="49"/>
        <v>41041.896127541957</v>
      </c>
      <c r="Q150">
        <f t="shared" si="50"/>
        <v>0</v>
      </c>
      <c r="R150" s="29">
        <f t="shared" si="51"/>
        <v>0</v>
      </c>
      <c r="S150" s="29">
        <f t="shared" si="43"/>
        <v>0</v>
      </c>
      <c r="T150" s="29">
        <f t="shared" si="52"/>
        <v>41041.896127541957</v>
      </c>
      <c r="U150">
        <f t="shared" si="53"/>
        <v>0</v>
      </c>
      <c r="V150" s="29">
        <f t="shared" si="54"/>
        <v>0</v>
      </c>
      <c r="W150" s="29">
        <f t="shared" si="44"/>
        <v>0</v>
      </c>
      <c r="X150" s="29">
        <f t="shared" si="55"/>
        <v>41041.896127541957</v>
      </c>
      <c r="Y150">
        <f t="shared" si="56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allocations'!$A$1:$L$317,4,FALSE)</f>
        <v>11870.659825955108</v>
      </c>
      <c r="E151" s="31">
        <f>VLOOKUP(B151,'Initial adjusted formula count'!$A$1:$P$317,12,FALSE)</f>
        <v>0.124629080118694</v>
      </c>
      <c r="F151">
        <f>VLOOKUP(B151,'Model allocations'!$A$1:$L$317,9,FALSE)</f>
        <v>10090.060852061843</v>
      </c>
      <c r="G151" s="30">
        <f t="shared" si="45"/>
        <v>0.85</v>
      </c>
      <c r="H151">
        <f t="shared" si="46"/>
        <v>10090.060852061843</v>
      </c>
      <c r="I151">
        <f t="shared" si="38"/>
        <v>0</v>
      </c>
      <c r="J151">
        <f t="shared" si="39"/>
        <v>10090.060852061843</v>
      </c>
      <c r="K151">
        <f t="shared" si="40"/>
        <v>10081.529626287012</v>
      </c>
      <c r="L151">
        <f t="shared" si="47"/>
        <v>10081.529626287012</v>
      </c>
      <c r="M151">
        <f t="shared" si="41"/>
        <v>10090.060852061843</v>
      </c>
      <c r="N151" s="29">
        <f t="shared" si="48"/>
        <v>0</v>
      </c>
      <c r="O151" s="29">
        <f t="shared" si="42"/>
        <v>0</v>
      </c>
      <c r="P151" s="29">
        <f t="shared" si="49"/>
        <v>10090.060852061843</v>
      </c>
      <c r="Q151">
        <f t="shared" si="50"/>
        <v>0</v>
      </c>
      <c r="R151" s="29">
        <f t="shared" si="51"/>
        <v>0</v>
      </c>
      <c r="S151" s="29">
        <f t="shared" si="43"/>
        <v>0</v>
      </c>
      <c r="T151" s="29">
        <f t="shared" si="52"/>
        <v>10090.060852061843</v>
      </c>
      <c r="U151">
        <f t="shared" si="53"/>
        <v>0</v>
      </c>
      <c r="V151" s="29">
        <f t="shared" si="54"/>
        <v>0</v>
      </c>
      <c r="W151" s="29">
        <f t="shared" si="44"/>
        <v>0</v>
      </c>
      <c r="X151" s="29">
        <f t="shared" si="55"/>
        <v>10090.060852061843</v>
      </c>
      <c r="Y151">
        <f t="shared" si="56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allocations'!$A$1:$L$317,4,FALSE)</f>
        <v>261034.05197684217</v>
      </c>
      <c r="E152" s="31">
        <f>VLOOKUP(B152,'Initial adjusted formula count'!$A$1:$P$317,12,FALSE)</f>
        <v>0.16554054054054099</v>
      </c>
      <c r="F152">
        <f>VLOOKUP(B152,'Model allocations'!$A$1:$L$317,9,FALSE)</f>
        <v>378367.90118685132</v>
      </c>
      <c r="G152" s="30">
        <f t="shared" si="45"/>
        <v>0.9</v>
      </c>
      <c r="H152">
        <f t="shared" si="46"/>
        <v>234930.64677915795</v>
      </c>
      <c r="I152">
        <f t="shared" si="38"/>
        <v>0</v>
      </c>
      <c r="J152">
        <f t="shared" si="39"/>
        <v>378367.90118685132</v>
      </c>
      <c r="K152">
        <f t="shared" si="40"/>
        <v>378047.98815180612</v>
      </c>
      <c r="L152">
        <f t="shared" si="47"/>
        <v>378047.98815180612</v>
      </c>
      <c r="M152">
        <f t="shared" si="41"/>
        <v>0</v>
      </c>
      <c r="N152" s="29">
        <f t="shared" si="48"/>
        <v>378047.98815180612</v>
      </c>
      <c r="O152" s="29">
        <f t="shared" si="42"/>
        <v>377950.35526942211</v>
      </c>
      <c r="P152" s="29">
        <f t="shared" si="49"/>
        <v>377950.35526942211</v>
      </c>
      <c r="Q152">
        <f t="shared" si="50"/>
        <v>0</v>
      </c>
      <c r="R152" s="29">
        <f t="shared" si="51"/>
        <v>377950.35526942211</v>
      </c>
      <c r="S152" s="29">
        <f t="shared" si="43"/>
        <v>377950.35526942211</v>
      </c>
      <c r="T152" s="29">
        <f t="shared" si="52"/>
        <v>377950.35526942211</v>
      </c>
      <c r="U152">
        <f t="shared" si="53"/>
        <v>0</v>
      </c>
      <c r="V152" s="29">
        <f t="shared" si="54"/>
        <v>377950.35526942211</v>
      </c>
      <c r="W152" s="29">
        <f t="shared" si="44"/>
        <v>377950.35526942211</v>
      </c>
      <c r="X152" s="29">
        <f t="shared" si="55"/>
        <v>377950.35526942211</v>
      </c>
      <c r="Y152">
        <f t="shared" si="56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allocations'!$A$1:$L$317,4,FALSE)</f>
        <v>28109.335099780204</v>
      </c>
      <c r="E153" s="31">
        <f>VLOOKUP(B153,'Initial adjusted formula count'!$A$1:$P$317,12,FALSE)</f>
        <v>9.6045197740112997E-2</v>
      </c>
      <c r="F153">
        <f>VLOOKUP(B153,'Model allocations'!$A$1:$L$317,9,FALSE)</f>
        <v>23892.934834813172</v>
      </c>
      <c r="G153" s="30">
        <f t="shared" si="45"/>
        <v>0.85</v>
      </c>
      <c r="H153">
        <f t="shared" si="46"/>
        <v>23892.934834813172</v>
      </c>
      <c r="I153">
        <f t="shared" si="38"/>
        <v>0</v>
      </c>
      <c r="J153">
        <f t="shared" si="39"/>
        <v>23892.934834813172</v>
      </c>
      <c r="K153">
        <f t="shared" si="40"/>
        <v>23872.733170572716</v>
      </c>
      <c r="L153">
        <f t="shared" si="47"/>
        <v>23872.733170572716</v>
      </c>
      <c r="M153">
        <f t="shared" si="41"/>
        <v>23892.934834813172</v>
      </c>
      <c r="N153" s="29">
        <f t="shared" si="48"/>
        <v>0</v>
      </c>
      <c r="O153" s="29">
        <f t="shared" si="42"/>
        <v>0</v>
      </c>
      <c r="P153" s="29">
        <f t="shared" si="49"/>
        <v>23892.934834813172</v>
      </c>
      <c r="Q153">
        <f t="shared" si="50"/>
        <v>0</v>
      </c>
      <c r="R153" s="29">
        <f t="shared" si="51"/>
        <v>0</v>
      </c>
      <c r="S153" s="29">
        <f t="shared" si="43"/>
        <v>0</v>
      </c>
      <c r="T153" s="29">
        <f t="shared" si="52"/>
        <v>23892.934834813172</v>
      </c>
      <c r="U153">
        <f t="shared" si="53"/>
        <v>0</v>
      </c>
      <c r="V153" s="29">
        <f t="shared" si="54"/>
        <v>0</v>
      </c>
      <c r="W153" s="29">
        <f t="shared" si="44"/>
        <v>0</v>
      </c>
      <c r="X153" s="29">
        <f t="shared" si="55"/>
        <v>23892.934834813172</v>
      </c>
      <c r="Y153">
        <f t="shared" si="56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allocations'!$A$1:$L$317,4,FALSE)</f>
        <v>60299.057552754297</v>
      </c>
      <c r="E154" s="31">
        <f>VLOOKUP(B154,'Initial adjusted formula count'!$A$1:$P$317,12,FALSE)</f>
        <v>0.1312625250501</v>
      </c>
      <c r="F154">
        <f>VLOOKUP(B154,'Model allocations'!$A$1:$L$317,9,FALSE)</f>
        <v>51254.198919841154</v>
      </c>
      <c r="G154" s="30">
        <f t="shared" si="45"/>
        <v>0.85</v>
      </c>
      <c r="H154">
        <f t="shared" si="46"/>
        <v>51254.198919841154</v>
      </c>
      <c r="I154">
        <f t="shared" si="38"/>
        <v>0</v>
      </c>
      <c r="J154">
        <f t="shared" si="39"/>
        <v>51254.198919841154</v>
      </c>
      <c r="K154">
        <f t="shared" si="40"/>
        <v>51210.863091712439</v>
      </c>
      <c r="L154">
        <f t="shared" si="47"/>
        <v>51210.863091712439</v>
      </c>
      <c r="M154">
        <f t="shared" si="41"/>
        <v>51254.198919841154</v>
      </c>
      <c r="N154" s="29">
        <f t="shared" si="48"/>
        <v>0</v>
      </c>
      <c r="O154" s="29">
        <f t="shared" si="42"/>
        <v>0</v>
      </c>
      <c r="P154" s="29">
        <f t="shared" si="49"/>
        <v>51254.198919841154</v>
      </c>
      <c r="Q154">
        <f t="shared" si="50"/>
        <v>0</v>
      </c>
      <c r="R154" s="29">
        <f t="shared" si="51"/>
        <v>0</v>
      </c>
      <c r="S154" s="29">
        <f t="shared" si="43"/>
        <v>0</v>
      </c>
      <c r="T154" s="29">
        <f t="shared" si="52"/>
        <v>51254.198919841154</v>
      </c>
      <c r="U154">
        <f t="shared" si="53"/>
        <v>0</v>
      </c>
      <c r="V154" s="29">
        <f t="shared" si="54"/>
        <v>0</v>
      </c>
      <c r="W154" s="29">
        <f t="shared" si="44"/>
        <v>0</v>
      </c>
      <c r="X154" s="29">
        <f t="shared" si="55"/>
        <v>51254.198919841154</v>
      </c>
      <c r="Y154">
        <f t="shared" si="56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allocations'!$A$1:$L$317,4,FALSE)</f>
        <v>76259.99645765101</v>
      </c>
      <c r="E155" s="31">
        <f>VLOOKUP(B155,'Initial adjusted formula count'!$A$1:$P$317,12,FALSE)</f>
        <v>0.111839410077837</v>
      </c>
      <c r="F155">
        <f>VLOOKUP(B155,'Model allocations'!$A$1:$L$317,9,FALSE)</f>
        <v>64820.996989003354</v>
      </c>
      <c r="G155" s="30">
        <f t="shared" si="45"/>
        <v>0.85</v>
      </c>
      <c r="H155">
        <f t="shared" si="46"/>
        <v>64820.996989003354</v>
      </c>
      <c r="I155">
        <f t="shared" si="38"/>
        <v>0</v>
      </c>
      <c r="J155">
        <f t="shared" si="39"/>
        <v>64820.996989003354</v>
      </c>
      <c r="K155">
        <f t="shared" si="40"/>
        <v>64766.190326449898</v>
      </c>
      <c r="L155">
        <f t="shared" si="47"/>
        <v>64766.190326449898</v>
      </c>
      <c r="M155">
        <f t="shared" si="41"/>
        <v>64820.996989003354</v>
      </c>
      <c r="N155" s="29">
        <f t="shared" si="48"/>
        <v>0</v>
      </c>
      <c r="O155" s="29">
        <f t="shared" si="42"/>
        <v>0</v>
      </c>
      <c r="P155" s="29">
        <f t="shared" si="49"/>
        <v>64820.996989003354</v>
      </c>
      <c r="Q155">
        <f t="shared" si="50"/>
        <v>0</v>
      </c>
      <c r="R155" s="29">
        <f t="shared" si="51"/>
        <v>0</v>
      </c>
      <c r="S155" s="29">
        <f t="shared" si="43"/>
        <v>0</v>
      </c>
      <c r="T155" s="29">
        <f t="shared" si="52"/>
        <v>64820.996989003354</v>
      </c>
      <c r="U155">
        <f t="shared" si="53"/>
        <v>0</v>
      </c>
      <c r="V155" s="29">
        <f t="shared" si="54"/>
        <v>0</v>
      </c>
      <c r="W155" s="29">
        <f t="shared" si="44"/>
        <v>0</v>
      </c>
      <c r="X155" s="29">
        <f t="shared" si="55"/>
        <v>64820.996989003354</v>
      </c>
      <c r="Y155">
        <f t="shared" si="56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allocations'!$A$1:$L$317,4,FALSE)</f>
        <v>0</v>
      </c>
      <c r="E156" s="31">
        <f>VLOOKUP(B156,'Initial adjusted formula count'!$A$1:$P$317,12,FALSE)</f>
        <v>4.8780487804878002E-2</v>
      </c>
      <c r="F156">
        <f>VLOOKUP(B156,'Model allocations'!$A$1:$L$317,9,FALSE)</f>
        <v>0</v>
      </c>
      <c r="G156" s="30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29">
        <f t="shared" si="48"/>
        <v>0</v>
      </c>
      <c r="O156" s="29">
        <f t="shared" si="42"/>
        <v>0</v>
      </c>
      <c r="P156" s="29">
        <f t="shared" si="49"/>
        <v>0</v>
      </c>
      <c r="Q156">
        <f t="shared" si="50"/>
        <v>0</v>
      </c>
      <c r="R156" s="29">
        <f t="shared" si="51"/>
        <v>0</v>
      </c>
      <c r="S156" s="29">
        <f t="shared" si="43"/>
        <v>0</v>
      </c>
      <c r="T156" s="29">
        <f t="shared" si="52"/>
        <v>0</v>
      </c>
      <c r="U156">
        <f t="shared" si="53"/>
        <v>0</v>
      </c>
      <c r="V156" s="29">
        <f t="shared" si="54"/>
        <v>0</v>
      </c>
      <c r="W156" s="29">
        <f t="shared" si="44"/>
        <v>0</v>
      </c>
      <c r="X156" s="29">
        <f t="shared" si="55"/>
        <v>0</v>
      </c>
      <c r="Y156">
        <f t="shared" si="56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allocations'!$A$1:$L$317,4,FALSE)</f>
        <v>155521.93077018767</v>
      </c>
      <c r="E157" s="31">
        <f>VLOOKUP(B157,'Initial adjusted formula count'!$A$1:$P$317,12,FALSE)</f>
        <v>0.13442136498516299</v>
      </c>
      <c r="F157">
        <f>VLOOKUP(B157,'Model allocations'!$A$1:$L$317,9,FALSE)</f>
        <v>132193.6411546595</v>
      </c>
      <c r="G157" s="30">
        <f t="shared" si="45"/>
        <v>0.85</v>
      </c>
      <c r="H157">
        <f t="shared" si="46"/>
        <v>132193.6411546595</v>
      </c>
      <c r="I157">
        <f t="shared" si="38"/>
        <v>0</v>
      </c>
      <c r="J157">
        <f t="shared" si="39"/>
        <v>132193.6411546595</v>
      </c>
      <c r="K157">
        <f t="shared" si="40"/>
        <v>132081.87039180461</v>
      </c>
      <c r="L157">
        <f t="shared" si="47"/>
        <v>132081.87039180461</v>
      </c>
      <c r="M157">
        <f t="shared" si="41"/>
        <v>132193.6411546595</v>
      </c>
      <c r="N157" s="29">
        <f t="shared" si="48"/>
        <v>0</v>
      </c>
      <c r="O157" s="29">
        <f t="shared" si="42"/>
        <v>0</v>
      </c>
      <c r="P157" s="29">
        <f t="shared" si="49"/>
        <v>132193.6411546595</v>
      </c>
      <c r="Q157">
        <f t="shared" si="50"/>
        <v>0</v>
      </c>
      <c r="R157" s="29">
        <f t="shared" si="51"/>
        <v>0</v>
      </c>
      <c r="S157" s="29">
        <f t="shared" si="43"/>
        <v>0</v>
      </c>
      <c r="T157" s="29">
        <f t="shared" si="52"/>
        <v>132193.6411546595</v>
      </c>
      <c r="U157">
        <f t="shared" si="53"/>
        <v>0</v>
      </c>
      <c r="V157" s="29">
        <f t="shared" si="54"/>
        <v>0</v>
      </c>
      <c r="W157" s="29">
        <f t="shared" si="44"/>
        <v>0</v>
      </c>
      <c r="X157" s="29">
        <f t="shared" si="55"/>
        <v>132193.6411546595</v>
      </c>
      <c r="Y157">
        <f t="shared" si="56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allocations'!$A$1:$L$317,4,FALSE)</f>
        <v>0</v>
      </c>
      <c r="E158" s="31">
        <f>VLOOKUP(B158,'Initial adjusted formula count'!$A$1:$P$317,12,FALSE)</f>
        <v>0.144155235080314</v>
      </c>
      <c r="F158">
        <f>VLOOKUP(B158,'Model allocations'!$A$1:$L$317,9,FALSE)</f>
        <v>0</v>
      </c>
      <c r="G158" s="30">
        <f t="shared" si="45"/>
        <v>0.85</v>
      </c>
      <c r="H158">
        <f t="shared" si="46"/>
        <v>0</v>
      </c>
      <c r="I158">
        <f t="shared" si="38"/>
        <v>0</v>
      </c>
      <c r="J158">
        <f t="shared" si="39"/>
        <v>0</v>
      </c>
      <c r="K158">
        <f t="shared" si="40"/>
        <v>0</v>
      </c>
      <c r="L158">
        <f t="shared" si="47"/>
        <v>0</v>
      </c>
      <c r="M158">
        <f t="shared" si="41"/>
        <v>0</v>
      </c>
      <c r="N158" s="29">
        <f t="shared" si="48"/>
        <v>0</v>
      </c>
      <c r="O158" s="29">
        <f t="shared" si="42"/>
        <v>0</v>
      </c>
      <c r="P158" s="29">
        <f t="shared" si="49"/>
        <v>0</v>
      </c>
      <c r="Q158">
        <f t="shared" si="50"/>
        <v>0</v>
      </c>
      <c r="R158" s="29">
        <f t="shared" si="51"/>
        <v>0</v>
      </c>
      <c r="S158" s="29">
        <f t="shared" si="43"/>
        <v>0</v>
      </c>
      <c r="T158" s="29">
        <f t="shared" si="52"/>
        <v>0</v>
      </c>
      <c r="U158">
        <f t="shared" si="53"/>
        <v>0</v>
      </c>
      <c r="V158" s="29">
        <f t="shared" si="54"/>
        <v>0</v>
      </c>
      <c r="W158" s="29">
        <f t="shared" si="44"/>
        <v>0</v>
      </c>
      <c r="X158" s="29">
        <f t="shared" si="55"/>
        <v>0</v>
      </c>
      <c r="Y158">
        <f t="shared" si="56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allocations'!$A$1:$L$317,4,FALSE)</f>
        <v>0</v>
      </c>
      <c r="E159" s="31">
        <f>VLOOKUP(B159,'Initial adjusted formula count'!$A$1:$P$317,12,FALSE)</f>
        <v>0.107806691449814</v>
      </c>
      <c r="F159">
        <f>VLOOKUP(B159,'Model allocations'!$A$1:$L$317,9,FALSE)</f>
        <v>0</v>
      </c>
      <c r="G159" s="30">
        <f t="shared" si="45"/>
        <v>0.85</v>
      </c>
      <c r="H159">
        <f t="shared" si="46"/>
        <v>0</v>
      </c>
      <c r="I159">
        <f t="shared" si="38"/>
        <v>0</v>
      </c>
      <c r="J159">
        <f t="shared" si="39"/>
        <v>0</v>
      </c>
      <c r="K159">
        <f t="shared" si="40"/>
        <v>0</v>
      </c>
      <c r="L159">
        <f t="shared" si="47"/>
        <v>0</v>
      </c>
      <c r="M159">
        <f t="shared" si="41"/>
        <v>0</v>
      </c>
      <c r="N159" s="29">
        <f t="shared" si="48"/>
        <v>0</v>
      </c>
      <c r="O159" s="29">
        <f t="shared" si="42"/>
        <v>0</v>
      </c>
      <c r="P159" s="29">
        <f t="shared" si="49"/>
        <v>0</v>
      </c>
      <c r="Q159">
        <f t="shared" si="50"/>
        <v>0</v>
      </c>
      <c r="R159" s="29">
        <f t="shared" si="51"/>
        <v>0</v>
      </c>
      <c r="S159" s="29">
        <f t="shared" si="43"/>
        <v>0</v>
      </c>
      <c r="T159" s="29">
        <f t="shared" si="52"/>
        <v>0</v>
      </c>
      <c r="U159">
        <f t="shared" si="53"/>
        <v>0</v>
      </c>
      <c r="V159" s="29">
        <f t="shared" si="54"/>
        <v>0</v>
      </c>
      <c r="W159" s="29">
        <f t="shared" si="44"/>
        <v>0</v>
      </c>
      <c r="X159" s="29">
        <f t="shared" si="55"/>
        <v>0</v>
      </c>
      <c r="Y159">
        <f t="shared" si="56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allocations'!$A$1:$L$317,4,FALSE)</f>
        <v>16645.558652458367</v>
      </c>
      <c r="E160" s="31">
        <f>VLOOKUP(B160,'Initial adjusted formula count'!$A$1:$P$317,12,FALSE)</f>
        <v>0.104458598726115</v>
      </c>
      <c r="F160">
        <f>VLOOKUP(B160,'Model allocations'!$A$1:$L$317,9,FALSE)</f>
        <v>14148.724854589611</v>
      </c>
      <c r="G160" s="30">
        <f t="shared" si="45"/>
        <v>0.85</v>
      </c>
      <c r="H160">
        <f t="shared" si="46"/>
        <v>14148.724854589611</v>
      </c>
      <c r="I160">
        <f t="shared" si="38"/>
        <v>0</v>
      </c>
      <c r="J160">
        <f t="shared" si="39"/>
        <v>14148.724854589611</v>
      </c>
      <c r="K160">
        <f t="shared" si="40"/>
        <v>14136.761996492894</v>
      </c>
      <c r="L160">
        <f t="shared" si="47"/>
        <v>14136.761996492894</v>
      </c>
      <c r="M160">
        <f t="shared" si="41"/>
        <v>14148.724854589611</v>
      </c>
      <c r="N160" s="29">
        <f t="shared" si="48"/>
        <v>0</v>
      </c>
      <c r="O160" s="29">
        <f t="shared" si="42"/>
        <v>0</v>
      </c>
      <c r="P160" s="29">
        <f t="shared" si="49"/>
        <v>14148.724854589611</v>
      </c>
      <c r="Q160">
        <f t="shared" si="50"/>
        <v>0</v>
      </c>
      <c r="R160" s="29">
        <f t="shared" si="51"/>
        <v>0</v>
      </c>
      <c r="S160" s="29">
        <f t="shared" si="43"/>
        <v>0</v>
      </c>
      <c r="T160" s="29">
        <f t="shared" si="52"/>
        <v>14148.724854589611</v>
      </c>
      <c r="U160">
        <f t="shared" si="53"/>
        <v>0</v>
      </c>
      <c r="V160" s="29">
        <f t="shared" si="54"/>
        <v>0</v>
      </c>
      <c r="W160" s="29">
        <f t="shared" si="44"/>
        <v>0</v>
      </c>
      <c r="X160" s="29">
        <f t="shared" si="55"/>
        <v>14148.724854589611</v>
      </c>
      <c r="Y160">
        <f t="shared" si="56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allocations'!$A$1:$L$317,4,FALSE)</f>
        <v>0</v>
      </c>
      <c r="E161" s="31">
        <f>VLOOKUP(B161,'Initial adjusted formula count'!$A$1:$P$317,12,FALSE)</f>
        <v>0.119402985074627</v>
      </c>
      <c r="F161">
        <f>VLOOKUP(B161,'Model allocations'!$A$1:$L$317,9,FALSE)</f>
        <v>0</v>
      </c>
      <c r="G161" s="30">
        <f t="shared" si="45"/>
        <v>0.85</v>
      </c>
      <c r="H161">
        <f t="shared" si="46"/>
        <v>0</v>
      </c>
      <c r="I161">
        <f t="shared" si="38"/>
        <v>0</v>
      </c>
      <c r="J161">
        <f t="shared" si="39"/>
        <v>0</v>
      </c>
      <c r="K161">
        <f t="shared" si="40"/>
        <v>0</v>
      </c>
      <c r="L161">
        <f t="shared" si="47"/>
        <v>0</v>
      </c>
      <c r="M161">
        <f t="shared" si="41"/>
        <v>0</v>
      </c>
      <c r="N161" s="29">
        <f t="shared" si="48"/>
        <v>0</v>
      </c>
      <c r="O161" s="29">
        <f t="shared" si="42"/>
        <v>0</v>
      </c>
      <c r="P161" s="29">
        <f t="shared" si="49"/>
        <v>0</v>
      </c>
      <c r="Q161">
        <f t="shared" si="50"/>
        <v>0</v>
      </c>
      <c r="R161" s="29">
        <f t="shared" si="51"/>
        <v>0</v>
      </c>
      <c r="S161" s="29">
        <f t="shared" si="43"/>
        <v>0</v>
      </c>
      <c r="T161" s="29">
        <f t="shared" si="52"/>
        <v>0</v>
      </c>
      <c r="U161">
        <f t="shared" si="53"/>
        <v>0</v>
      </c>
      <c r="V161" s="29">
        <f t="shared" si="54"/>
        <v>0</v>
      </c>
      <c r="W161" s="29">
        <f t="shared" si="44"/>
        <v>0</v>
      </c>
      <c r="X161" s="29">
        <f t="shared" si="55"/>
        <v>0</v>
      </c>
      <c r="Y161">
        <f t="shared" si="56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allocations'!$A$1:$L$317,4,FALSE)</f>
        <v>15602.775124573644</v>
      </c>
      <c r="E162" s="31">
        <f>VLOOKUP(B162,'Initial adjusted formula count'!$A$1:$P$317,12,FALSE)</f>
        <v>0.284552845528455</v>
      </c>
      <c r="F162">
        <f>VLOOKUP(B162,'Model allocations'!$A$1:$L$317,9,FALSE)</f>
        <v>16379.562821941608</v>
      </c>
      <c r="G162" s="30">
        <f t="shared" si="45"/>
        <v>0.9</v>
      </c>
      <c r="H162">
        <f t="shared" si="46"/>
        <v>14042.49761211628</v>
      </c>
      <c r="I162">
        <f t="shared" si="38"/>
        <v>0</v>
      </c>
      <c r="J162">
        <f t="shared" si="39"/>
        <v>16379.562821941608</v>
      </c>
      <c r="K162">
        <f t="shared" si="40"/>
        <v>16365.713772805455</v>
      </c>
      <c r="L162">
        <f t="shared" si="47"/>
        <v>16365.713772805455</v>
      </c>
      <c r="M162">
        <f t="shared" si="41"/>
        <v>0</v>
      </c>
      <c r="N162" s="29">
        <f t="shared" si="48"/>
        <v>16365.713772805455</v>
      </c>
      <c r="O162" s="29">
        <f t="shared" si="42"/>
        <v>16361.48724110052</v>
      </c>
      <c r="P162" s="29">
        <f t="shared" si="49"/>
        <v>16361.48724110052</v>
      </c>
      <c r="Q162">
        <f t="shared" si="50"/>
        <v>0</v>
      </c>
      <c r="R162" s="29">
        <f t="shared" si="51"/>
        <v>16361.48724110052</v>
      </c>
      <c r="S162" s="29">
        <f t="shared" si="43"/>
        <v>16361.48724110052</v>
      </c>
      <c r="T162" s="29">
        <f t="shared" si="52"/>
        <v>16361.48724110052</v>
      </c>
      <c r="U162">
        <f t="shared" si="53"/>
        <v>0</v>
      </c>
      <c r="V162" s="29">
        <f t="shared" si="54"/>
        <v>16361.48724110052</v>
      </c>
      <c r="W162" s="29">
        <f t="shared" si="44"/>
        <v>16361.48724110052</v>
      </c>
      <c r="X162" s="29">
        <f t="shared" si="55"/>
        <v>16361.48724110052</v>
      </c>
      <c r="Y162">
        <f t="shared" si="56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allocations'!$A$1:$L$317,4,FALSE)</f>
        <v>61885.874856774142</v>
      </c>
      <c r="E163" s="31">
        <f>VLOOKUP(B163,'Initial adjusted formula count'!$A$1:$P$317,12,FALSE)</f>
        <v>0.190909090909091</v>
      </c>
      <c r="F163">
        <f>VLOOKUP(B163,'Model allocations'!$A$1:$L$317,9,FALSE)</f>
        <v>63880.295005572312</v>
      </c>
      <c r="G163" s="30">
        <f t="shared" si="45"/>
        <v>0.9</v>
      </c>
      <c r="H163">
        <f t="shared" si="46"/>
        <v>55697.287371096732</v>
      </c>
      <c r="I163">
        <f t="shared" si="38"/>
        <v>0</v>
      </c>
      <c r="J163">
        <f t="shared" si="39"/>
        <v>63880.295005572312</v>
      </c>
      <c r="K163">
        <f t="shared" si="40"/>
        <v>63826.28371394131</v>
      </c>
      <c r="L163">
        <f t="shared" si="47"/>
        <v>63826.28371394131</v>
      </c>
      <c r="M163">
        <f t="shared" si="41"/>
        <v>0</v>
      </c>
      <c r="N163" s="29">
        <f t="shared" si="48"/>
        <v>63826.28371394131</v>
      </c>
      <c r="O163" s="29">
        <f t="shared" si="42"/>
        <v>63809.800240292061</v>
      </c>
      <c r="P163" s="29">
        <f t="shared" si="49"/>
        <v>63809.800240292061</v>
      </c>
      <c r="Q163">
        <f t="shared" si="50"/>
        <v>0</v>
      </c>
      <c r="R163" s="29">
        <f t="shared" si="51"/>
        <v>63809.800240292061</v>
      </c>
      <c r="S163" s="29">
        <f t="shared" si="43"/>
        <v>63809.800240292061</v>
      </c>
      <c r="T163" s="29">
        <f t="shared" si="52"/>
        <v>63809.800240292061</v>
      </c>
      <c r="U163">
        <f t="shared" si="53"/>
        <v>0</v>
      </c>
      <c r="V163" s="29">
        <f t="shared" si="54"/>
        <v>63809.800240292061</v>
      </c>
      <c r="W163" s="29">
        <f t="shared" si="44"/>
        <v>63809.800240292061</v>
      </c>
      <c r="X163" s="29">
        <f t="shared" si="55"/>
        <v>63809.800240292061</v>
      </c>
      <c r="Y163">
        <f t="shared" si="56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allocations'!$A$1:$L$317,4,FALSE)</f>
        <v>47692.177246744221</v>
      </c>
      <c r="E164" s="31">
        <f>VLOOKUP(B164,'Initial adjusted formula count'!$A$1:$P$317,12,FALSE)</f>
        <v>7.3062261753494298E-2</v>
      </c>
      <c r="F164">
        <f>VLOOKUP(B164,'Model allocations'!$A$1:$L$317,9,FALSE)</f>
        <v>40538.350659732583</v>
      </c>
      <c r="G164" s="30">
        <f t="shared" si="45"/>
        <v>0.85</v>
      </c>
      <c r="H164">
        <f t="shared" si="46"/>
        <v>40538.350659732583</v>
      </c>
      <c r="I164">
        <f t="shared" si="38"/>
        <v>0</v>
      </c>
      <c r="J164">
        <f t="shared" si="39"/>
        <v>40538.350659732583</v>
      </c>
      <c r="K164">
        <f t="shared" si="40"/>
        <v>40504.075165551913</v>
      </c>
      <c r="L164">
        <f t="shared" si="47"/>
        <v>40504.075165551913</v>
      </c>
      <c r="M164">
        <f t="shared" si="41"/>
        <v>40538.350659732583</v>
      </c>
      <c r="N164" s="29">
        <f t="shared" si="48"/>
        <v>0</v>
      </c>
      <c r="O164" s="29">
        <f t="shared" si="42"/>
        <v>0</v>
      </c>
      <c r="P164" s="29">
        <f t="shared" si="49"/>
        <v>40538.350659732583</v>
      </c>
      <c r="Q164">
        <f t="shared" si="50"/>
        <v>0</v>
      </c>
      <c r="R164" s="29">
        <f t="shared" si="51"/>
        <v>0</v>
      </c>
      <c r="S164" s="29">
        <f t="shared" si="43"/>
        <v>0</v>
      </c>
      <c r="T164" s="29">
        <f t="shared" si="52"/>
        <v>40538.350659732583</v>
      </c>
      <c r="U164">
        <f t="shared" si="53"/>
        <v>0</v>
      </c>
      <c r="V164" s="29">
        <f t="shared" si="54"/>
        <v>0</v>
      </c>
      <c r="W164" s="29">
        <f t="shared" si="44"/>
        <v>0</v>
      </c>
      <c r="X164" s="29">
        <f t="shared" si="55"/>
        <v>40538.350659732583</v>
      </c>
      <c r="Y164">
        <f t="shared" si="56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allocations'!$A$1:$L$317,4,FALSE)</f>
        <v>0</v>
      </c>
      <c r="E165" s="31">
        <f>VLOOKUP(B165,'Initial adjusted formula count'!$A$1:$P$317,12,FALSE)</f>
        <v>0.112815884476534</v>
      </c>
      <c r="F165">
        <f>VLOOKUP(B165,'Model allocations'!$A$1:$L$317,9,FALSE)</f>
        <v>0</v>
      </c>
      <c r="G165" s="30">
        <f t="shared" si="45"/>
        <v>0.85</v>
      </c>
      <c r="H165">
        <f t="shared" si="46"/>
        <v>0</v>
      </c>
      <c r="I165">
        <f t="shared" si="38"/>
        <v>0</v>
      </c>
      <c r="J165">
        <f t="shared" si="39"/>
        <v>0</v>
      </c>
      <c r="K165">
        <f t="shared" si="40"/>
        <v>0</v>
      </c>
      <c r="L165">
        <f t="shared" si="47"/>
        <v>0</v>
      </c>
      <c r="M165">
        <f t="shared" si="41"/>
        <v>0</v>
      </c>
      <c r="N165" s="29">
        <f t="shared" si="48"/>
        <v>0</v>
      </c>
      <c r="O165" s="29">
        <f t="shared" si="42"/>
        <v>0</v>
      </c>
      <c r="P165" s="29">
        <f t="shared" si="49"/>
        <v>0</v>
      </c>
      <c r="Q165">
        <f t="shared" si="50"/>
        <v>0</v>
      </c>
      <c r="R165" s="29">
        <f t="shared" si="51"/>
        <v>0</v>
      </c>
      <c r="S165" s="29">
        <f t="shared" si="43"/>
        <v>0</v>
      </c>
      <c r="T165" s="29">
        <f t="shared" si="52"/>
        <v>0</v>
      </c>
      <c r="U165">
        <f t="shared" si="53"/>
        <v>0</v>
      </c>
      <c r="V165" s="29">
        <f t="shared" si="54"/>
        <v>0</v>
      </c>
      <c r="W165" s="29">
        <f t="shared" si="44"/>
        <v>0</v>
      </c>
      <c r="X165" s="29">
        <f t="shared" si="55"/>
        <v>0</v>
      </c>
      <c r="Y165">
        <f t="shared" si="56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allocations'!$A$1:$L$317,4,FALSE)</f>
        <v>36270.109806167995</v>
      </c>
      <c r="E166" s="31">
        <f>VLOOKUP(B166,'Initial adjusted formula count'!$A$1:$P$317,12,FALSE)</f>
        <v>0.182978723404255</v>
      </c>
      <c r="F166">
        <f>VLOOKUP(B166,'Model allocations'!$A$1:$L$317,9,FALSE)</f>
        <v>32643.098825551195</v>
      </c>
      <c r="G166" s="30">
        <f t="shared" si="45"/>
        <v>0.9</v>
      </c>
      <c r="H166">
        <f t="shared" si="46"/>
        <v>32643.098825551195</v>
      </c>
      <c r="I166">
        <f t="shared" si="38"/>
        <v>0</v>
      </c>
      <c r="J166">
        <f t="shared" si="39"/>
        <v>32643.098825551195</v>
      </c>
      <c r="K166">
        <f t="shared" si="40"/>
        <v>32615.498828865944</v>
      </c>
      <c r="L166">
        <f t="shared" si="47"/>
        <v>32615.498828865944</v>
      </c>
      <c r="M166">
        <f t="shared" si="41"/>
        <v>32643.098825551195</v>
      </c>
      <c r="N166" s="29">
        <f t="shared" si="48"/>
        <v>0</v>
      </c>
      <c r="O166" s="29">
        <f t="shared" si="42"/>
        <v>0</v>
      </c>
      <c r="P166" s="29">
        <f t="shared" si="49"/>
        <v>32643.098825551195</v>
      </c>
      <c r="Q166">
        <f t="shared" si="50"/>
        <v>0</v>
      </c>
      <c r="R166" s="29">
        <f t="shared" si="51"/>
        <v>0</v>
      </c>
      <c r="S166" s="29">
        <f t="shared" si="43"/>
        <v>0</v>
      </c>
      <c r="T166" s="29">
        <f t="shared" si="52"/>
        <v>32643.098825551195</v>
      </c>
      <c r="U166">
        <f t="shared" si="53"/>
        <v>0</v>
      </c>
      <c r="V166" s="29">
        <f t="shared" si="54"/>
        <v>0</v>
      </c>
      <c r="W166" s="29">
        <f t="shared" si="44"/>
        <v>0</v>
      </c>
      <c r="X166" s="29">
        <f t="shared" si="55"/>
        <v>32643.098825551195</v>
      </c>
      <c r="Y166">
        <f t="shared" si="56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allocations'!$A$1:$L$317,4,FALSE)</f>
        <v>93848.909123459685</v>
      </c>
      <c r="E167" s="31">
        <f>VLOOKUP(B167,'Initial adjusted formula count'!$A$1:$P$317,12,FALSE)</f>
        <v>8.9673913043478201E-2</v>
      </c>
      <c r="F167">
        <f>VLOOKUP(B167,'Model allocations'!$A$1:$L$317,9,FALSE)</f>
        <v>79771.572754940731</v>
      </c>
      <c r="G167" s="30">
        <f t="shared" si="45"/>
        <v>0.85</v>
      </c>
      <c r="H167">
        <f t="shared" si="46"/>
        <v>79771.572754940731</v>
      </c>
      <c r="I167">
        <f t="shared" si="38"/>
        <v>0</v>
      </c>
      <c r="J167">
        <f t="shared" si="39"/>
        <v>79771.572754940731</v>
      </c>
      <c r="K167">
        <f t="shared" si="40"/>
        <v>79704.125263041162</v>
      </c>
      <c r="L167">
        <f t="shared" si="47"/>
        <v>79704.125263041162</v>
      </c>
      <c r="M167">
        <f t="shared" si="41"/>
        <v>79771.572754940731</v>
      </c>
      <c r="N167" s="29">
        <f t="shared" si="48"/>
        <v>0</v>
      </c>
      <c r="O167" s="29">
        <f t="shared" si="42"/>
        <v>0</v>
      </c>
      <c r="P167" s="29">
        <f t="shared" si="49"/>
        <v>79771.572754940731</v>
      </c>
      <c r="Q167">
        <f t="shared" si="50"/>
        <v>0</v>
      </c>
      <c r="R167" s="29">
        <f t="shared" si="51"/>
        <v>0</v>
      </c>
      <c r="S167" s="29">
        <f t="shared" si="43"/>
        <v>0</v>
      </c>
      <c r="T167" s="29">
        <f t="shared" si="52"/>
        <v>79771.572754940731</v>
      </c>
      <c r="U167">
        <f t="shared" si="53"/>
        <v>0</v>
      </c>
      <c r="V167" s="29">
        <f t="shared" si="54"/>
        <v>0</v>
      </c>
      <c r="W167" s="29">
        <f t="shared" si="44"/>
        <v>0</v>
      </c>
      <c r="X167" s="29">
        <f t="shared" si="55"/>
        <v>79771.572754940731</v>
      </c>
      <c r="Y167">
        <f t="shared" si="56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allocations'!$A$1:$L$317,4,FALSE)</f>
        <v>0</v>
      </c>
      <c r="E168" s="31">
        <f>VLOOKUP(B168,'Initial adjusted formula count'!$A$1:$P$317,12,FALSE)</f>
        <v>6.9692737430167601E-2</v>
      </c>
      <c r="F168">
        <f>VLOOKUP(B168,'Model allocations'!$A$1:$L$317,9,FALSE)</f>
        <v>0</v>
      </c>
      <c r="G168" s="30">
        <f t="shared" si="45"/>
        <v>0.85</v>
      </c>
      <c r="H168">
        <f t="shared" si="46"/>
        <v>0</v>
      </c>
      <c r="I168">
        <f t="shared" si="38"/>
        <v>0</v>
      </c>
      <c r="J168">
        <f t="shared" si="39"/>
        <v>0</v>
      </c>
      <c r="K168">
        <f t="shared" si="40"/>
        <v>0</v>
      </c>
      <c r="L168">
        <f t="shared" si="47"/>
        <v>0</v>
      </c>
      <c r="M168">
        <f t="shared" si="41"/>
        <v>0</v>
      </c>
      <c r="N168" s="29">
        <f t="shared" si="48"/>
        <v>0</v>
      </c>
      <c r="O168" s="29">
        <f t="shared" si="42"/>
        <v>0</v>
      </c>
      <c r="P168" s="29">
        <f t="shared" si="49"/>
        <v>0</v>
      </c>
      <c r="Q168">
        <f t="shared" si="50"/>
        <v>0</v>
      </c>
      <c r="R168" s="29">
        <f t="shared" si="51"/>
        <v>0</v>
      </c>
      <c r="S168" s="29">
        <f t="shared" si="43"/>
        <v>0</v>
      </c>
      <c r="T168" s="29">
        <f t="shared" si="52"/>
        <v>0</v>
      </c>
      <c r="U168">
        <f t="shared" si="53"/>
        <v>0</v>
      </c>
      <c r="V168" s="29">
        <f t="shared" si="54"/>
        <v>0</v>
      </c>
      <c r="W168" s="29">
        <f t="shared" si="44"/>
        <v>0</v>
      </c>
      <c r="X168" s="29">
        <f t="shared" si="55"/>
        <v>0</v>
      </c>
      <c r="Y168">
        <f t="shared" si="56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allocations'!$A$1:$L$317,4,FALSE)</f>
        <v>72303.109848999302</v>
      </c>
      <c r="E169" s="31">
        <f>VLOOKUP(B169,'Initial adjusted formula count'!$A$1:$P$317,12,FALSE)</f>
        <v>0.150242326332795</v>
      </c>
      <c r="F169">
        <f>VLOOKUP(B169,'Model allocations'!$A$1:$L$317,9,FALSE)</f>
        <v>87045.676710889747</v>
      </c>
      <c r="G169" s="30">
        <f t="shared" si="45"/>
        <v>0.9</v>
      </c>
      <c r="H169">
        <f t="shared" si="46"/>
        <v>65072.798864099372</v>
      </c>
      <c r="I169">
        <f t="shared" si="38"/>
        <v>0</v>
      </c>
      <c r="J169">
        <f t="shared" si="39"/>
        <v>87045.676710889747</v>
      </c>
      <c r="K169">
        <f t="shared" si="40"/>
        <v>86972.078906909039</v>
      </c>
      <c r="L169">
        <f t="shared" si="47"/>
        <v>86972.078906909039</v>
      </c>
      <c r="M169">
        <f t="shared" si="41"/>
        <v>0</v>
      </c>
      <c r="N169" s="29">
        <f t="shared" si="48"/>
        <v>86972.078906909039</v>
      </c>
      <c r="O169" s="29">
        <f t="shared" si="42"/>
        <v>86949.61790984853</v>
      </c>
      <c r="P169" s="29">
        <f t="shared" si="49"/>
        <v>86949.61790984853</v>
      </c>
      <c r="Q169">
        <f t="shared" si="50"/>
        <v>0</v>
      </c>
      <c r="R169" s="29">
        <f t="shared" si="51"/>
        <v>86949.61790984853</v>
      </c>
      <c r="S169" s="29">
        <f t="shared" si="43"/>
        <v>86949.61790984853</v>
      </c>
      <c r="T169" s="29">
        <f t="shared" si="52"/>
        <v>86949.61790984853</v>
      </c>
      <c r="U169">
        <f t="shared" si="53"/>
        <v>0</v>
      </c>
      <c r="V169" s="29">
        <f t="shared" si="54"/>
        <v>86949.61790984853</v>
      </c>
      <c r="W169" s="29">
        <f t="shared" si="44"/>
        <v>86949.61790984853</v>
      </c>
      <c r="X169" s="29">
        <f t="shared" si="55"/>
        <v>86949.61790984853</v>
      </c>
      <c r="Y169">
        <f t="shared" si="56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allocations'!$A$1:$L$317,4,FALSE)</f>
        <v>0</v>
      </c>
      <c r="E170" s="31">
        <f>VLOOKUP(B170,'Initial adjusted formula count'!$A$1:$P$317,12,FALSE)</f>
        <v>0.19607843137254899</v>
      </c>
      <c r="F170">
        <f>VLOOKUP(B170,'Model allocations'!$A$1:$L$317,9,FALSE)</f>
        <v>2339.9375459916596</v>
      </c>
      <c r="G170" s="30">
        <f t="shared" si="45"/>
        <v>0.9</v>
      </c>
      <c r="H170">
        <f t="shared" si="46"/>
        <v>0</v>
      </c>
      <c r="I170">
        <f t="shared" si="38"/>
        <v>0</v>
      </c>
      <c r="J170">
        <f t="shared" si="39"/>
        <v>2339.9375459916596</v>
      </c>
      <c r="K170">
        <f t="shared" si="40"/>
        <v>2337.9591104007804</v>
      </c>
      <c r="L170">
        <f t="shared" si="47"/>
        <v>2337.9591104007804</v>
      </c>
      <c r="M170">
        <f t="shared" si="41"/>
        <v>0</v>
      </c>
      <c r="N170" s="29">
        <f t="shared" si="48"/>
        <v>2337.9591104007804</v>
      </c>
      <c r="O170" s="29">
        <f t="shared" si="42"/>
        <v>2337.3553201572181</v>
      </c>
      <c r="P170" s="29">
        <f t="shared" si="49"/>
        <v>2337.3553201572181</v>
      </c>
      <c r="Q170">
        <f t="shared" si="50"/>
        <v>0</v>
      </c>
      <c r="R170" s="29">
        <f t="shared" si="51"/>
        <v>2337.3553201572181</v>
      </c>
      <c r="S170" s="29">
        <f t="shared" si="43"/>
        <v>2337.3553201572181</v>
      </c>
      <c r="T170" s="29">
        <f t="shared" si="52"/>
        <v>2337.3553201572181</v>
      </c>
      <c r="U170">
        <f t="shared" si="53"/>
        <v>0</v>
      </c>
      <c r="V170" s="29">
        <f t="shared" si="54"/>
        <v>2337.3553201572181</v>
      </c>
      <c r="W170" s="29">
        <f t="shared" si="44"/>
        <v>2337.3553201572181</v>
      </c>
      <c r="X170" s="29">
        <f t="shared" si="55"/>
        <v>2337.3553201572181</v>
      </c>
      <c r="Y170">
        <f t="shared" si="56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allocations'!$A$1:$L$317,4,FALSE)</f>
        <v>0</v>
      </c>
      <c r="E171" s="31">
        <f>VLOOKUP(B171,'Initial adjusted formula count'!$A$1:$P$317,12,FALSE)</f>
        <v>9.5308003993188103E-2</v>
      </c>
      <c r="F171">
        <f>VLOOKUP(B171,'Model allocations'!$A$1:$L$317,9,FALSE)</f>
        <v>0</v>
      </c>
      <c r="G171" s="30">
        <f t="shared" si="45"/>
        <v>0.85</v>
      </c>
      <c r="H171">
        <f t="shared" si="46"/>
        <v>0</v>
      </c>
      <c r="I171">
        <f t="shared" si="38"/>
        <v>0</v>
      </c>
      <c r="J171">
        <f t="shared" si="39"/>
        <v>0</v>
      </c>
      <c r="K171">
        <f t="shared" si="40"/>
        <v>0</v>
      </c>
      <c r="L171">
        <f t="shared" si="47"/>
        <v>0</v>
      </c>
      <c r="M171">
        <f t="shared" si="41"/>
        <v>0</v>
      </c>
      <c r="N171" s="29">
        <f t="shared" si="48"/>
        <v>0</v>
      </c>
      <c r="O171" s="29">
        <f t="shared" si="42"/>
        <v>0</v>
      </c>
      <c r="P171" s="29">
        <f t="shared" si="49"/>
        <v>0</v>
      </c>
      <c r="Q171">
        <f t="shared" si="50"/>
        <v>0</v>
      </c>
      <c r="R171" s="29">
        <f t="shared" si="51"/>
        <v>0</v>
      </c>
      <c r="S171" s="29">
        <f t="shared" si="43"/>
        <v>0</v>
      </c>
      <c r="T171" s="29">
        <f t="shared" si="52"/>
        <v>0</v>
      </c>
      <c r="U171">
        <f t="shared" si="53"/>
        <v>0</v>
      </c>
      <c r="V171" s="29">
        <f t="shared" si="54"/>
        <v>0</v>
      </c>
      <c r="W171" s="29">
        <f t="shared" si="44"/>
        <v>0</v>
      </c>
      <c r="X171" s="29">
        <f t="shared" si="55"/>
        <v>0</v>
      </c>
      <c r="Y171">
        <f t="shared" si="56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allocations'!$A$1:$L$317,4,FALSE)</f>
        <v>15868.173040198501</v>
      </c>
      <c r="E172" s="31">
        <f>VLOOKUP(B172,'Initial adjusted formula count'!$A$1:$P$317,12,FALSE)</f>
        <v>0.19383259911894299</v>
      </c>
      <c r="F172">
        <f>VLOOKUP(B172,'Model allocations'!$A$1:$L$317,9,FALSE)</f>
        <v>14281.355736178652</v>
      </c>
      <c r="G172" s="30">
        <f t="shared" si="45"/>
        <v>0.9</v>
      </c>
      <c r="H172">
        <f t="shared" si="46"/>
        <v>14281.355736178652</v>
      </c>
      <c r="I172">
        <f t="shared" si="38"/>
        <v>0</v>
      </c>
      <c r="J172">
        <f t="shared" si="39"/>
        <v>14281.355736178652</v>
      </c>
      <c r="K172">
        <f t="shared" si="40"/>
        <v>14269.280737628857</v>
      </c>
      <c r="L172">
        <f t="shared" si="47"/>
        <v>14269.280737628857</v>
      </c>
      <c r="M172">
        <f t="shared" si="41"/>
        <v>14281.355736178652</v>
      </c>
      <c r="N172" s="29">
        <f t="shared" si="48"/>
        <v>0</v>
      </c>
      <c r="O172" s="29">
        <f t="shared" si="42"/>
        <v>0</v>
      </c>
      <c r="P172" s="29">
        <f t="shared" si="49"/>
        <v>14281.355736178652</v>
      </c>
      <c r="Q172">
        <f t="shared" si="50"/>
        <v>0</v>
      </c>
      <c r="R172" s="29">
        <f t="shared" si="51"/>
        <v>0</v>
      </c>
      <c r="S172" s="29">
        <f t="shared" si="43"/>
        <v>0</v>
      </c>
      <c r="T172" s="29">
        <f t="shared" si="52"/>
        <v>14281.355736178652</v>
      </c>
      <c r="U172">
        <f t="shared" si="53"/>
        <v>0</v>
      </c>
      <c r="V172" s="29">
        <f t="shared" si="54"/>
        <v>0</v>
      </c>
      <c r="W172" s="29">
        <f t="shared" si="44"/>
        <v>0</v>
      </c>
      <c r="X172" s="29">
        <f t="shared" si="55"/>
        <v>14281.355736178652</v>
      </c>
      <c r="Y172">
        <f t="shared" si="56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allocations'!$A$1:$L$317,4,FALSE)</f>
        <v>0</v>
      </c>
      <c r="E173" s="31">
        <f>VLOOKUP(B173,'Initial adjusted formula count'!$A$1:$P$317,12,FALSE)</f>
        <v>4.0660881427867702E-2</v>
      </c>
      <c r="F173">
        <f>VLOOKUP(B173,'Model allocations'!$A$1:$L$317,9,FALSE)</f>
        <v>0</v>
      </c>
      <c r="G173" s="30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29">
        <f t="shared" si="48"/>
        <v>0</v>
      </c>
      <c r="O173" s="29">
        <f t="shared" si="42"/>
        <v>0</v>
      </c>
      <c r="P173" s="29">
        <f t="shared" si="49"/>
        <v>0</v>
      </c>
      <c r="Q173">
        <f t="shared" si="50"/>
        <v>0</v>
      </c>
      <c r="R173" s="29">
        <f t="shared" si="51"/>
        <v>0</v>
      </c>
      <c r="S173" s="29">
        <f t="shared" si="43"/>
        <v>0</v>
      </c>
      <c r="T173" s="29">
        <f t="shared" si="52"/>
        <v>0</v>
      </c>
      <c r="U173">
        <f t="shared" si="53"/>
        <v>0</v>
      </c>
      <c r="V173" s="29">
        <f t="shared" si="54"/>
        <v>0</v>
      </c>
      <c r="W173" s="29">
        <f t="shared" si="44"/>
        <v>0</v>
      </c>
      <c r="X173" s="29">
        <f t="shared" si="55"/>
        <v>0</v>
      </c>
      <c r="Y173">
        <f t="shared" si="56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allocations'!$A$1:$L$317,4,FALSE)</f>
        <v>0</v>
      </c>
      <c r="E174" s="31">
        <f>VLOOKUP(B174,'Initial adjusted formula count'!$A$1:$P$317,12,FALSE)</f>
        <v>9.6389588581024394E-2</v>
      </c>
      <c r="F174">
        <f>VLOOKUP(B174,'Model allocations'!$A$1:$L$317,9,FALSE)</f>
        <v>0</v>
      </c>
      <c r="G174" s="30">
        <f t="shared" si="45"/>
        <v>0.85</v>
      </c>
      <c r="H174">
        <f t="shared" si="46"/>
        <v>0</v>
      </c>
      <c r="I174">
        <f t="shared" si="38"/>
        <v>0</v>
      </c>
      <c r="J174">
        <f t="shared" si="39"/>
        <v>0</v>
      </c>
      <c r="K174">
        <f t="shared" si="40"/>
        <v>0</v>
      </c>
      <c r="L174">
        <f t="shared" si="47"/>
        <v>0</v>
      </c>
      <c r="M174">
        <f t="shared" si="41"/>
        <v>0</v>
      </c>
      <c r="N174" s="29">
        <f t="shared" si="48"/>
        <v>0</v>
      </c>
      <c r="O174" s="29">
        <f t="shared" si="42"/>
        <v>0</v>
      </c>
      <c r="P174" s="29">
        <f t="shared" si="49"/>
        <v>0</v>
      </c>
      <c r="Q174">
        <f t="shared" si="50"/>
        <v>0</v>
      </c>
      <c r="R174" s="29">
        <f t="shared" si="51"/>
        <v>0</v>
      </c>
      <c r="S174" s="29">
        <f t="shared" si="43"/>
        <v>0</v>
      </c>
      <c r="T174" s="29">
        <f t="shared" si="52"/>
        <v>0</v>
      </c>
      <c r="U174">
        <f t="shared" si="53"/>
        <v>0</v>
      </c>
      <c r="V174" s="29">
        <f t="shared" si="54"/>
        <v>0</v>
      </c>
      <c r="W174" s="29">
        <f t="shared" si="44"/>
        <v>0</v>
      </c>
      <c r="X174" s="29">
        <f t="shared" si="55"/>
        <v>0</v>
      </c>
      <c r="Y174">
        <f t="shared" si="56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allocations'!$A$1:$L$317,4,FALSE)</f>
        <v>0</v>
      </c>
      <c r="E175" s="31">
        <f>VLOOKUP(B175,'Initial adjusted formula count'!$A$1:$P$317,12,FALSE)</f>
        <v>6.8702290076335895E-2</v>
      </c>
      <c r="F175">
        <f>VLOOKUP(B175,'Model allocations'!$A$1:$L$317,9,FALSE)</f>
        <v>0</v>
      </c>
      <c r="G175" s="30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29">
        <f t="shared" si="48"/>
        <v>0</v>
      </c>
      <c r="O175" s="29">
        <f t="shared" si="42"/>
        <v>0</v>
      </c>
      <c r="P175" s="29">
        <f t="shared" si="49"/>
        <v>0</v>
      </c>
      <c r="Q175">
        <f t="shared" si="50"/>
        <v>0</v>
      </c>
      <c r="R175" s="29">
        <f t="shared" si="51"/>
        <v>0</v>
      </c>
      <c r="S175" s="29">
        <f t="shared" si="43"/>
        <v>0</v>
      </c>
      <c r="T175" s="29">
        <f t="shared" si="52"/>
        <v>0</v>
      </c>
      <c r="U175">
        <f t="shared" si="53"/>
        <v>0</v>
      </c>
      <c r="V175" s="29">
        <f t="shared" si="54"/>
        <v>0</v>
      </c>
      <c r="W175" s="29">
        <f t="shared" si="44"/>
        <v>0</v>
      </c>
      <c r="X175" s="29">
        <f t="shared" si="55"/>
        <v>0</v>
      </c>
      <c r="Y175">
        <f t="shared" si="56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allocations'!$A$1:$L$317,4,FALSE)</f>
        <v>25389.076864317609</v>
      </c>
      <c r="E176" s="31">
        <f>VLOOKUP(B176,'Initial adjusted formula count'!$A$1:$P$317,12,FALSE)</f>
        <v>0.146017699115044</v>
      </c>
      <c r="F176">
        <f>VLOOKUP(B176,'Model allocations'!$A$1:$L$317,9,FALSE)</f>
        <v>21580.715334669967</v>
      </c>
      <c r="G176" s="30">
        <f t="shared" si="45"/>
        <v>0.85</v>
      </c>
      <c r="H176">
        <f t="shared" si="46"/>
        <v>21580.715334669967</v>
      </c>
      <c r="I176">
        <f t="shared" si="38"/>
        <v>0</v>
      </c>
      <c r="J176">
        <f t="shared" si="39"/>
        <v>21580.715334669967</v>
      </c>
      <c r="K176">
        <f t="shared" si="40"/>
        <v>21562.468670194718</v>
      </c>
      <c r="L176">
        <f t="shared" si="47"/>
        <v>21562.468670194718</v>
      </c>
      <c r="M176">
        <f t="shared" si="41"/>
        <v>21580.715334669967</v>
      </c>
      <c r="N176" s="29">
        <f t="shared" si="48"/>
        <v>0</v>
      </c>
      <c r="O176" s="29">
        <f t="shared" si="42"/>
        <v>0</v>
      </c>
      <c r="P176" s="29">
        <f t="shared" si="49"/>
        <v>21580.715334669967</v>
      </c>
      <c r="Q176">
        <f t="shared" si="50"/>
        <v>0</v>
      </c>
      <c r="R176" s="29">
        <f t="shared" si="51"/>
        <v>0</v>
      </c>
      <c r="S176" s="29">
        <f t="shared" si="43"/>
        <v>0</v>
      </c>
      <c r="T176" s="29">
        <f t="shared" si="52"/>
        <v>21580.715334669967</v>
      </c>
      <c r="U176">
        <f t="shared" si="53"/>
        <v>0</v>
      </c>
      <c r="V176" s="29">
        <f t="shared" si="54"/>
        <v>0</v>
      </c>
      <c r="W176" s="29">
        <f t="shared" si="44"/>
        <v>0</v>
      </c>
      <c r="X176" s="29">
        <f t="shared" si="55"/>
        <v>21580.715334669967</v>
      </c>
      <c r="Y176">
        <f t="shared" si="56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allocations'!$A$1:$L$317,4,FALSE)</f>
        <v>43750.819953690137</v>
      </c>
      <c r="E177" s="31">
        <f>VLOOKUP(B177,'Initial adjusted formula count'!$A$1:$P$317,12,FALSE)</f>
        <v>0.18866080156402701</v>
      </c>
      <c r="F177">
        <f>VLOOKUP(B177,'Model allocations'!$A$1:$L$317,9,FALSE)</f>
        <v>45160.794637639017</v>
      </c>
      <c r="G177" s="30">
        <f t="shared" si="45"/>
        <v>0.9</v>
      </c>
      <c r="H177">
        <f t="shared" si="46"/>
        <v>39375.737958321122</v>
      </c>
      <c r="I177">
        <f t="shared" si="38"/>
        <v>0</v>
      </c>
      <c r="J177">
        <f t="shared" si="39"/>
        <v>45160.794637639017</v>
      </c>
      <c r="K177">
        <f t="shared" si="40"/>
        <v>45122.610830735044</v>
      </c>
      <c r="L177">
        <f t="shared" si="47"/>
        <v>45122.610830735044</v>
      </c>
      <c r="M177">
        <f t="shared" si="41"/>
        <v>0</v>
      </c>
      <c r="N177" s="29">
        <f t="shared" si="48"/>
        <v>45122.610830735044</v>
      </c>
      <c r="O177" s="29">
        <f t="shared" si="42"/>
        <v>45110.957679034291</v>
      </c>
      <c r="P177" s="29">
        <f t="shared" si="49"/>
        <v>45110.957679034291</v>
      </c>
      <c r="Q177">
        <f t="shared" si="50"/>
        <v>0</v>
      </c>
      <c r="R177" s="29">
        <f t="shared" si="51"/>
        <v>45110.957679034291</v>
      </c>
      <c r="S177" s="29">
        <f t="shared" si="43"/>
        <v>45110.957679034291</v>
      </c>
      <c r="T177" s="29">
        <f t="shared" si="52"/>
        <v>45110.957679034291</v>
      </c>
      <c r="U177">
        <f t="shared" si="53"/>
        <v>0</v>
      </c>
      <c r="V177" s="29">
        <f t="shared" si="54"/>
        <v>45110.957679034291</v>
      </c>
      <c r="W177" s="29">
        <f t="shared" si="44"/>
        <v>45110.957679034291</v>
      </c>
      <c r="X177" s="29">
        <f t="shared" si="55"/>
        <v>45110.957679034291</v>
      </c>
      <c r="Y177">
        <f t="shared" si="56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allocations'!$A$1:$L$317,4,FALSE)</f>
        <v>44657.572698844357</v>
      </c>
      <c r="E178" s="31">
        <f>VLOOKUP(B178,'Initial adjusted formula count'!$A$1:$P$317,12,FALSE)</f>
        <v>0.21212121212121199</v>
      </c>
      <c r="F178">
        <f>VLOOKUP(B178,'Model allocations'!$A$1:$L$317,9,FALSE)</f>
        <v>40191.815428959919</v>
      </c>
      <c r="G178" s="30">
        <f t="shared" si="45"/>
        <v>0.9</v>
      </c>
      <c r="H178">
        <f t="shared" si="46"/>
        <v>40191.815428959919</v>
      </c>
      <c r="I178">
        <f t="shared" si="38"/>
        <v>0</v>
      </c>
      <c r="J178">
        <f t="shared" si="39"/>
        <v>40191.815428959919</v>
      </c>
      <c r="K178">
        <f t="shared" si="40"/>
        <v>40157.832933041209</v>
      </c>
      <c r="L178">
        <f t="shared" si="47"/>
        <v>40157.832933041209</v>
      </c>
      <c r="M178">
        <f t="shared" si="41"/>
        <v>40191.815428959919</v>
      </c>
      <c r="N178" s="29">
        <f t="shared" si="48"/>
        <v>0</v>
      </c>
      <c r="O178" s="29">
        <f t="shared" si="42"/>
        <v>0</v>
      </c>
      <c r="P178" s="29">
        <f t="shared" si="49"/>
        <v>40191.815428959919</v>
      </c>
      <c r="Q178">
        <f t="shared" si="50"/>
        <v>0</v>
      </c>
      <c r="R178" s="29">
        <f t="shared" si="51"/>
        <v>0</v>
      </c>
      <c r="S178" s="29">
        <f t="shared" si="43"/>
        <v>0</v>
      </c>
      <c r="T178" s="29">
        <f t="shared" si="52"/>
        <v>40191.815428959919</v>
      </c>
      <c r="U178">
        <f t="shared" si="53"/>
        <v>0</v>
      </c>
      <c r="V178" s="29">
        <f t="shared" si="54"/>
        <v>0</v>
      </c>
      <c r="W178" s="29">
        <f t="shared" si="44"/>
        <v>0</v>
      </c>
      <c r="X178" s="29">
        <f t="shared" si="55"/>
        <v>40191.815428959919</v>
      </c>
      <c r="Y178">
        <f t="shared" si="56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allocations'!$A$1:$L$317,4,FALSE)</f>
        <v>0</v>
      </c>
      <c r="E179" s="31">
        <f>VLOOKUP(B179,'Initial adjusted formula count'!$A$1:$P$317,12,FALSE)</f>
        <v>0.14610389610389601</v>
      </c>
      <c r="F179">
        <f>VLOOKUP(B179,'Model allocations'!$A$1:$L$317,9,FALSE)</f>
        <v>0</v>
      </c>
      <c r="G179" s="30">
        <f t="shared" si="45"/>
        <v>0.85</v>
      </c>
      <c r="H179">
        <f t="shared" si="46"/>
        <v>0</v>
      </c>
      <c r="I179">
        <f t="shared" si="38"/>
        <v>0</v>
      </c>
      <c r="J179">
        <f t="shared" si="39"/>
        <v>0</v>
      </c>
      <c r="K179">
        <f t="shared" si="40"/>
        <v>0</v>
      </c>
      <c r="L179">
        <f t="shared" si="47"/>
        <v>0</v>
      </c>
      <c r="M179">
        <f t="shared" si="41"/>
        <v>0</v>
      </c>
      <c r="N179" s="29">
        <f t="shared" si="48"/>
        <v>0</v>
      </c>
      <c r="O179" s="29">
        <f t="shared" si="42"/>
        <v>0</v>
      </c>
      <c r="P179" s="29">
        <f t="shared" si="49"/>
        <v>0</v>
      </c>
      <c r="Q179">
        <f t="shared" si="50"/>
        <v>0</v>
      </c>
      <c r="R179" s="29">
        <f t="shared" si="51"/>
        <v>0</v>
      </c>
      <c r="S179" s="29">
        <f t="shared" si="43"/>
        <v>0</v>
      </c>
      <c r="T179" s="29">
        <f t="shared" si="52"/>
        <v>0</v>
      </c>
      <c r="U179">
        <f t="shared" si="53"/>
        <v>0</v>
      </c>
      <c r="V179" s="29">
        <f t="shared" si="54"/>
        <v>0</v>
      </c>
      <c r="W179" s="29">
        <f t="shared" si="44"/>
        <v>0</v>
      </c>
      <c r="X179" s="29">
        <f t="shared" si="55"/>
        <v>0</v>
      </c>
      <c r="Y179">
        <f t="shared" si="56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allocations'!$A$1:$L$317,4,FALSE)</f>
        <v>49281.936064202098</v>
      </c>
      <c r="E180" s="31">
        <f>VLOOKUP(B180,'Initial adjusted formula count'!$A$1:$P$317,12,FALSE)</f>
        <v>0.15970772442588699</v>
      </c>
      <c r="F180">
        <f>VLOOKUP(B180,'Model allocations'!$A$1:$L$317,9,FALSE)</f>
        <v>44353.742457781889</v>
      </c>
      <c r="G180" s="30">
        <f t="shared" si="45"/>
        <v>0.9</v>
      </c>
      <c r="H180">
        <f t="shared" si="46"/>
        <v>44353.742457781889</v>
      </c>
      <c r="I180">
        <f t="shared" si="38"/>
        <v>0</v>
      </c>
      <c r="J180">
        <f t="shared" si="39"/>
        <v>44353.742457781889</v>
      </c>
      <c r="K180">
        <f t="shared" si="40"/>
        <v>44316.241019840745</v>
      </c>
      <c r="L180">
        <f t="shared" si="47"/>
        <v>44316.241019840745</v>
      </c>
      <c r="M180">
        <f t="shared" si="41"/>
        <v>44353.742457781889</v>
      </c>
      <c r="N180" s="29">
        <f t="shared" si="48"/>
        <v>0</v>
      </c>
      <c r="O180" s="29">
        <f t="shared" si="42"/>
        <v>0</v>
      </c>
      <c r="P180" s="29">
        <f t="shared" si="49"/>
        <v>44353.742457781889</v>
      </c>
      <c r="Q180">
        <f t="shared" si="50"/>
        <v>0</v>
      </c>
      <c r="R180" s="29">
        <f t="shared" si="51"/>
        <v>0</v>
      </c>
      <c r="S180" s="29">
        <f t="shared" si="43"/>
        <v>0</v>
      </c>
      <c r="T180" s="29">
        <f t="shared" si="52"/>
        <v>44353.742457781889</v>
      </c>
      <c r="U180">
        <f t="shared" si="53"/>
        <v>0</v>
      </c>
      <c r="V180" s="29">
        <f t="shared" si="54"/>
        <v>0</v>
      </c>
      <c r="W180" s="29">
        <f t="shared" si="44"/>
        <v>0</v>
      </c>
      <c r="X180" s="29">
        <f t="shared" si="55"/>
        <v>44353.742457781889</v>
      </c>
      <c r="Y180">
        <f t="shared" si="56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allocations'!$A$1:$L$317,4,FALSE)</f>
        <v>0</v>
      </c>
      <c r="E181" s="31">
        <f>VLOOKUP(B181,'Initial adjusted formula count'!$A$1:$P$317,12,FALSE)</f>
        <v>8.54479046520569E-2</v>
      </c>
      <c r="F181">
        <f>VLOOKUP(B181,'Model allocations'!$A$1:$L$317,9,FALSE)</f>
        <v>0</v>
      </c>
      <c r="G181" s="30">
        <f t="shared" si="45"/>
        <v>0.85</v>
      </c>
      <c r="H181">
        <f t="shared" si="46"/>
        <v>0</v>
      </c>
      <c r="I181">
        <f t="shared" si="38"/>
        <v>0</v>
      </c>
      <c r="J181">
        <f t="shared" si="39"/>
        <v>0</v>
      </c>
      <c r="K181">
        <f t="shared" si="40"/>
        <v>0</v>
      </c>
      <c r="L181">
        <f t="shared" si="47"/>
        <v>0</v>
      </c>
      <c r="M181">
        <f t="shared" si="41"/>
        <v>0</v>
      </c>
      <c r="N181" s="29">
        <f t="shared" si="48"/>
        <v>0</v>
      </c>
      <c r="O181" s="29">
        <f t="shared" si="42"/>
        <v>0</v>
      </c>
      <c r="P181" s="29">
        <f t="shared" si="49"/>
        <v>0</v>
      </c>
      <c r="Q181">
        <f t="shared" si="50"/>
        <v>0</v>
      </c>
      <c r="R181" s="29">
        <f t="shared" si="51"/>
        <v>0</v>
      </c>
      <c r="S181" s="29">
        <f t="shared" si="43"/>
        <v>0</v>
      </c>
      <c r="T181" s="29">
        <f t="shared" si="52"/>
        <v>0</v>
      </c>
      <c r="U181">
        <f t="shared" si="53"/>
        <v>0</v>
      </c>
      <c r="V181" s="29">
        <f t="shared" si="54"/>
        <v>0</v>
      </c>
      <c r="W181" s="29">
        <f t="shared" si="44"/>
        <v>0</v>
      </c>
      <c r="X181" s="29">
        <f t="shared" si="55"/>
        <v>0</v>
      </c>
      <c r="Y181">
        <f t="shared" si="56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allocations'!$A$1:$L$317,4,FALSE)</f>
        <v>94187.483983706727</v>
      </c>
      <c r="E182" s="31">
        <f>VLOOKUP(B182,'Initial adjusted formula count'!$A$1:$P$317,12,FALSE)</f>
        <v>0.21063829787234001</v>
      </c>
      <c r="F182">
        <f>VLOOKUP(B182,'Model allocations'!$A$1:$L$317,9,FALSE)</f>
        <v>92661.526821269697</v>
      </c>
      <c r="G182" s="30">
        <f t="shared" si="45"/>
        <v>0.9</v>
      </c>
      <c r="H182">
        <f t="shared" si="46"/>
        <v>84768.73558533605</v>
      </c>
      <c r="I182">
        <f t="shared" si="38"/>
        <v>0</v>
      </c>
      <c r="J182">
        <f t="shared" si="39"/>
        <v>92661.526821269697</v>
      </c>
      <c r="K182">
        <f t="shared" si="40"/>
        <v>92583.180771870888</v>
      </c>
      <c r="L182">
        <f t="shared" si="47"/>
        <v>92583.180771870888</v>
      </c>
      <c r="M182">
        <f t="shared" si="41"/>
        <v>0</v>
      </c>
      <c r="N182" s="29">
        <f t="shared" si="48"/>
        <v>92583.180771870888</v>
      </c>
      <c r="O182" s="29">
        <f t="shared" si="42"/>
        <v>92559.270678225832</v>
      </c>
      <c r="P182" s="29">
        <f t="shared" si="49"/>
        <v>92559.270678225832</v>
      </c>
      <c r="Q182">
        <f t="shared" si="50"/>
        <v>0</v>
      </c>
      <c r="R182" s="29">
        <f t="shared" si="51"/>
        <v>92559.270678225832</v>
      </c>
      <c r="S182" s="29">
        <f t="shared" si="43"/>
        <v>92559.270678225832</v>
      </c>
      <c r="T182" s="29">
        <f t="shared" si="52"/>
        <v>92559.270678225832</v>
      </c>
      <c r="U182">
        <f t="shared" si="53"/>
        <v>0</v>
      </c>
      <c r="V182" s="29">
        <f t="shared" si="54"/>
        <v>92559.270678225832</v>
      </c>
      <c r="W182" s="29">
        <f t="shared" si="44"/>
        <v>92559.270678225832</v>
      </c>
      <c r="X182" s="29">
        <f t="shared" si="55"/>
        <v>92559.270678225832</v>
      </c>
      <c r="Y182">
        <f t="shared" si="56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allocations'!$A$1:$L$317,4,FALSE)</f>
        <v>26259.338402870399</v>
      </c>
      <c r="E183" s="31">
        <f>VLOOKUP(B183,'Initial adjusted formula count'!$A$1:$P$317,12,FALSE)</f>
        <v>0.10993657505285399</v>
      </c>
      <c r="F183">
        <f>VLOOKUP(B183,'Model allocations'!$A$1:$L$317,9,FALSE)</f>
        <v>22320.43764243984</v>
      </c>
      <c r="G183" s="30">
        <f t="shared" si="45"/>
        <v>0.85</v>
      </c>
      <c r="H183">
        <f t="shared" si="46"/>
        <v>22320.43764243984</v>
      </c>
      <c r="I183">
        <f t="shared" si="38"/>
        <v>0</v>
      </c>
      <c r="J183">
        <f t="shared" si="39"/>
        <v>22320.43764243984</v>
      </c>
      <c r="K183">
        <f t="shared" si="40"/>
        <v>22301.565536937942</v>
      </c>
      <c r="L183">
        <f t="shared" si="47"/>
        <v>22301.565536937942</v>
      </c>
      <c r="M183">
        <f t="shared" si="41"/>
        <v>22320.43764243984</v>
      </c>
      <c r="N183" s="29">
        <f t="shared" si="48"/>
        <v>0</v>
      </c>
      <c r="O183" s="29">
        <f t="shared" si="42"/>
        <v>0</v>
      </c>
      <c r="P183" s="29">
        <f t="shared" si="49"/>
        <v>22320.43764243984</v>
      </c>
      <c r="Q183">
        <f t="shared" si="50"/>
        <v>0</v>
      </c>
      <c r="R183" s="29">
        <f t="shared" si="51"/>
        <v>0</v>
      </c>
      <c r="S183" s="29">
        <f t="shared" si="43"/>
        <v>0</v>
      </c>
      <c r="T183" s="29">
        <f t="shared" si="52"/>
        <v>22320.43764243984</v>
      </c>
      <c r="U183">
        <f t="shared" si="53"/>
        <v>0</v>
      </c>
      <c r="V183" s="29">
        <f t="shared" si="54"/>
        <v>0</v>
      </c>
      <c r="W183" s="29">
        <f t="shared" si="44"/>
        <v>0</v>
      </c>
      <c r="X183" s="29">
        <f t="shared" si="55"/>
        <v>22320.43764243984</v>
      </c>
      <c r="Y183">
        <f t="shared" si="56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allocations'!$A$1:$L$317,4,FALSE)</f>
        <v>4307.0755394824473</v>
      </c>
      <c r="E184" s="31">
        <f>VLOOKUP(B184,'Initial adjusted formula count'!$A$1:$P$317,12,FALSE)</f>
        <v>0.38095238095238099</v>
      </c>
      <c r="F184">
        <f>VLOOKUP(B184,'Model allocations'!$A$1:$L$317,9,FALSE)</f>
        <v>5615.8501103799836</v>
      </c>
      <c r="G184" s="30">
        <f t="shared" si="45"/>
        <v>0.95</v>
      </c>
      <c r="H184">
        <f t="shared" si="46"/>
        <v>4091.7217625083249</v>
      </c>
      <c r="I184">
        <f t="shared" si="38"/>
        <v>0</v>
      </c>
      <c r="J184">
        <f t="shared" si="39"/>
        <v>5615.8501103799836</v>
      </c>
      <c r="K184">
        <f t="shared" si="40"/>
        <v>5611.1018649618736</v>
      </c>
      <c r="L184">
        <f t="shared" si="47"/>
        <v>5611.1018649618736</v>
      </c>
      <c r="M184">
        <f t="shared" si="41"/>
        <v>0</v>
      </c>
      <c r="N184" s="29">
        <f t="shared" si="48"/>
        <v>5611.1018649618736</v>
      </c>
      <c r="O184" s="29">
        <f t="shared" si="42"/>
        <v>5609.6527683773238</v>
      </c>
      <c r="P184" s="29">
        <f t="shared" si="49"/>
        <v>5609.6527683773238</v>
      </c>
      <c r="Q184">
        <f t="shared" si="50"/>
        <v>0</v>
      </c>
      <c r="R184" s="29">
        <f t="shared" si="51"/>
        <v>5609.6527683773238</v>
      </c>
      <c r="S184" s="29">
        <f t="shared" si="43"/>
        <v>5609.6527683773238</v>
      </c>
      <c r="T184" s="29">
        <f t="shared" si="52"/>
        <v>5609.6527683773238</v>
      </c>
      <c r="U184">
        <f t="shared" si="53"/>
        <v>0</v>
      </c>
      <c r="V184" s="29">
        <f t="shared" si="54"/>
        <v>5609.6527683773238</v>
      </c>
      <c r="W184" s="29">
        <f t="shared" si="44"/>
        <v>5609.6527683773238</v>
      </c>
      <c r="X184" s="29">
        <f t="shared" si="55"/>
        <v>5609.6527683773238</v>
      </c>
      <c r="Y184">
        <f t="shared" si="56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allocations'!$A$1:$L$317,4,FALSE)</f>
        <v>0</v>
      </c>
      <c r="E185" s="31">
        <f>VLOOKUP(B185,'Initial adjusted formula count'!$A$1:$P$317,12,FALSE)</f>
        <v>0.146596858638743</v>
      </c>
      <c r="F185">
        <f>VLOOKUP(B185,'Model allocations'!$A$1:$L$317,9,FALSE)</f>
        <v>0</v>
      </c>
      <c r="G185" s="30">
        <f t="shared" si="45"/>
        <v>0.85</v>
      </c>
      <c r="H185">
        <f t="shared" si="46"/>
        <v>0</v>
      </c>
      <c r="I185">
        <f t="shared" si="38"/>
        <v>0</v>
      </c>
      <c r="J185">
        <f t="shared" si="39"/>
        <v>0</v>
      </c>
      <c r="K185">
        <f t="shared" si="40"/>
        <v>0</v>
      </c>
      <c r="L185">
        <f t="shared" si="47"/>
        <v>0</v>
      </c>
      <c r="M185">
        <f t="shared" si="41"/>
        <v>0</v>
      </c>
      <c r="N185" s="29">
        <f t="shared" si="48"/>
        <v>0</v>
      </c>
      <c r="O185" s="29">
        <f t="shared" si="42"/>
        <v>0</v>
      </c>
      <c r="P185" s="29">
        <f t="shared" si="49"/>
        <v>0</v>
      </c>
      <c r="Q185">
        <f t="shared" si="50"/>
        <v>0</v>
      </c>
      <c r="R185" s="29">
        <f t="shared" si="51"/>
        <v>0</v>
      </c>
      <c r="S185" s="29">
        <f t="shared" si="43"/>
        <v>0</v>
      </c>
      <c r="T185" s="29">
        <f t="shared" si="52"/>
        <v>0</v>
      </c>
      <c r="U185">
        <f t="shared" si="53"/>
        <v>0</v>
      </c>
      <c r="V185" s="29">
        <f t="shared" si="54"/>
        <v>0</v>
      </c>
      <c r="W185" s="29">
        <f t="shared" si="44"/>
        <v>0</v>
      </c>
      <c r="X185" s="29">
        <f t="shared" si="55"/>
        <v>0</v>
      </c>
      <c r="Y185">
        <f t="shared" si="56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allocations'!$A$1:$L$317,4,FALSE)</f>
        <v>0</v>
      </c>
      <c r="E186" s="31">
        <f>VLOOKUP(B186,'Initial adjusted formula count'!$A$1:$P$317,12,FALSE)</f>
        <v>8.98876404494382E-2</v>
      </c>
      <c r="F186">
        <f>VLOOKUP(B186,'Model allocations'!$A$1:$L$317,9,FALSE)</f>
        <v>0</v>
      </c>
      <c r="G186" s="30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7"/>
        <v>0</v>
      </c>
      <c r="M186">
        <f t="shared" si="41"/>
        <v>0</v>
      </c>
      <c r="N186" s="29">
        <f t="shared" si="48"/>
        <v>0</v>
      </c>
      <c r="O186" s="29">
        <f t="shared" si="42"/>
        <v>0</v>
      </c>
      <c r="P186" s="29">
        <f t="shared" si="49"/>
        <v>0</v>
      </c>
      <c r="Q186">
        <f t="shared" si="50"/>
        <v>0</v>
      </c>
      <c r="R186" s="29">
        <f t="shared" si="51"/>
        <v>0</v>
      </c>
      <c r="S186" s="29">
        <f t="shared" si="43"/>
        <v>0</v>
      </c>
      <c r="T186" s="29">
        <f t="shared" si="52"/>
        <v>0</v>
      </c>
      <c r="U186">
        <f t="shared" si="53"/>
        <v>0</v>
      </c>
      <c r="V186" s="29">
        <f t="shared" si="54"/>
        <v>0</v>
      </c>
      <c r="W186" s="29">
        <f t="shared" si="44"/>
        <v>0</v>
      </c>
      <c r="X186" s="29">
        <f t="shared" si="55"/>
        <v>0</v>
      </c>
      <c r="Y186">
        <f t="shared" si="56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allocations'!$A$1:$L$317,4,FALSE)</f>
        <v>8160.7747063877996</v>
      </c>
      <c r="E187" s="31">
        <f>VLOOKUP(B187,'Initial adjusted formula count'!$A$1:$P$317,12,FALSE)</f>
        <v>0.34615384615384598</v>
      </c>
      <c r="F187">
        <f>VLOOKUP(B187,'Model allocations'!$A$1:$L$317,9,FALSE)</f>
        <v>10529.718956962468</v>
      </c>
      <c r="G187" s="30">
        <f t="shared" si="45"/>
        <v>0.95</v>
      </c>
      <c r="H187">
        <f t="shared" si="46"/>
        <v>7752.7359710684095</v>
      </c>
      <c r="I187">
        <f t="shared" si="38"/>
        <v>0</v>
      </c>
      <c r="J187">
        <f t="shared" si="39"/>
        <v>10529.718956962468</v>
      </c>
      <c r="K187">
        <f t="shared" si="40"/>
        <v>10520.815996803512</v>
      </c>
      <c r="L187">
        <f t="shared" si="47"/>
        <v>10520.815996803512</v>
      </c>
      <c r="M187">
        <f t="shared" si="41"/>
        <v>0</v>
      </c>
      <c r="N187" s="29">
        <f t="shared" si="48"/>
        <v>10520.815996803512</v>
      </c>
      <c r="O187" s="29">
        <f t="shared" si="42"/>
        <v>10518.098940707483</v>
      </c>
      <c r="P187" s="29">
        <f t="shared" si="49"/>
        <v>10518.098940707483</v>
      </c>
      <c r="Q187">
        <f t="shared" si="50"/>
        <v>0</v>
      </c>
      <c r="R187" s="29">
        <f t="shared" si="51"/>
        <v>10518.098940707483</v>
      </c>
      <c r="S187" s="29">
        <f t="shared" si="43"/>
        <v>10518.098940707483</v>
      </c>
      <c r="T187" s="29">
        <f t="shared" si="52"/>
        <v>10518.098940707483</v>
      </c>
      <c r="U187">
        <f t="shared" si="53"/>
        <v>0</v>
      </c>
      <c r="V187" s="29">
        <f t="shared" si="54"/>
        <v>10518.098940707483</v>
      </c>
      <c r="W187" s="29">
        <f t="shared" si="44"/>
        <v>10518.098940707483</v>
      </c>
      <c r="X187" s="29">
        <f t="shared" si="55"/>
        <v>10518.098940707483</v>
      </c>
      <c r="Y187">
        <f t="shared" si="56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allocations'!$A$1:$L$317,4,FALSE)</f>
        <v>13298.300207800568</v>
      </c>
      <c r="E188" s="31">
        <f>VLOOKUP(B188,'Initial adjusted formula count'!$A$1:$P$317,12,FALSE)</f>
        <v>7.1969696969697003E-2</v>
      </c>
      <c r="F188">
        <f>VLOOKUP(B188,'Model allocations'!$A$1:$L$317,9,FALSE)</f>
        <v>11303.555176630483</v>
      </c>
      <c r="G188" s="30">
        <f t="shared" si="45"/>
        <v>0.85</v>
      </c>
      <c r="H188">
        <f t="shared" si="46"/>
        <v>11303.555176630483</v>
      </c>
      <c r="I188">
        <f t="shared" si="38"/>
        <v>0</v>
      </c>
      <c r="J188">
        <f t="shared" si="39"/>
        <v>11303.555176630483</v>
      </c>
      <c r="K188">
        <f t="shared" si="40"/>
        <v>11293.997931864176</v>
      </c>
      <c r="L188">
        <f t="shared" si="47"/>
        <v>11293.997931864176</v>
      </c>
      <c r="M188">
        <f t="shared" si="41"/>
        <v>11303.555176630483</v>
      </c>
      <c r="N188" s="29">
        <f t="shared" si="48"/>
        <v>0</v>
      </c>
      <c r="O188" s="29">
        <f t="shared" si="42"/>
        <v>0</v>
      </c>
      <c r="P188" s="29">
        <f t="shared" si="49"/>
        <v>11303.555176630483</v>
      </c>
      <c r="Q188">
        <f t="shared" si="50"/>
        <v>0</v>
      </c>
      <c r="R188" s="29">
        <f t="shared" si="51"/>
        <v>0</v>
      </c>
      <c r="S188" s="29">
        <f t="shared" si="43"/>
        <v>0</v>
      </c>
      <c r="T188" s="29">
        <f t="shared" si="52"/>
        <v>11303.555176630483</v>
      </c>
      <c r="U188">
        <f t="shared" si="53"/>
        <v>0</v>
      </c>
      <c r="V188" s="29">
        <f t="shared" si="54"/>
        <v>0</v>
      </c>
      <c r="W188" s="29">
        <f t="shared" si="44"/>
        <v>0</v>
      </c>
      <c r="X188" s="29">
        <f t="shared" si="55"/>
        <v>11303.555176630483</v>
      </c>
      <c r="Y188">
        <f t="shared" si="56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allocations'!$A$1:$L$317,4,FALSE)</f>
        <v>57643.585876897057</v>
      </c>
      <c r="E189" s="31">
        <f>VLOOKUP(B189,'Initial adjusted formula count'!$A$1:$P$317,12,FALSE)</f>
        <v>0.215317919075144</v>
      </c>
      <c r="F189">
        <f>VLOOKUP(B189,'Model allocations'!$A$1:$L$317,9,FALSE)</f>
        <v>51879.227289207352</v>
      </c>
      <c r="G189" s="30">
        <f t="shared" si="45"/>
        <v>0.9</v>
      </c>
      <c r="H189">
        <f t="shared" si="46"/>
        <v>51879.227289207352</v>
      </c>
      <c r="I189">
        <f t="shared" si="38"/>
        <v>0</v>
      </c>
      <c r="J189">
        <f t="shared" si="39"/>
        <v>51879.227289207352</v>
      </c>
      <c r="K189">
        <f t="shared" si="40"/>
        <v>51835.362994678595</v>
      </c>
      <c r="L189">
        <f t="shared" si="47"/>
        <v>51835.362994678595</v>
      </c>
      <c r="M189">
        <f t="shared" si="41"/>
        <v>51879.227289207352</v>
      </c>
      <c r="N189" s="29">
        <f t="shared" si="48"/>
        <v>0</v>
      </c>
      <c r="O189" s="29">
        <f t="shared" si="42"/>
        <v>0</v>
      </c>
      <c r="P189" s="29">
        <f t="shared" si="49"/>
        <v>51879.227289207352</v>
      </c>
      <c r="Q189">
        <f t="shared" si="50"/>
        <v>0</v>
      </c>
      <c r="R189" s="29">
        <f t="shared" si="51"/>
        <v>0</v>
      </c>
      <c r="S189" s="29">
        <f t="shared" si="43"/>
        <v>0</v>
      </c>
      <c r="T189" s="29">
        <f t="shared" si="52"/>
        <v>51879.227289207352</v>
      </c>
      <c r="U189">
        <f t="shared" si="53"/>
        <v>0</v>
      </c>
      <c r="V189" s="29">
        <f t="shared" si="54"/>
        <v>0</v>
      </c>
      <c r="W189" s="29">
        <f t="shared" si="44"/>
        <v>0</v>
      </c>
      <c r="X189" s="29">
        <f t="shared" si="55"/>
        <v>51879.227289207352</v>
      </c>
      <c r="Y189">
        <f t="shared" si="56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allocations'!$A$1:$L$317,4,FALSE)</f>
        <v>0</v>
      </c>
      <c r="E190" s="31">
        <f>VLOOKUP(B190,'Initial adjusted formula count'!$A$1:$P$317,12,FALSE)</f>
        <v>5.0091631032376301E-2</v>
      </c>
      <c r="F190">
        <f>VLOOKUP(B190,'Model allocations'!$A$1:$L$317,9,FALSE)</f>
        <v>0</v>
      </c>
      <c r="G190" s="30">
        <f t="shared" si="45"/>
        <v>0.85</v>
      </c>
      <c r="H190">
        <f t="shared" si="46"/>
        <v>0</v>
      </c>
      <c r="I190">
        <f t="shared" si="38"/>
        <v>0</v>
      </c>
      <c r="J190">
        <f t="shared" si="39"/>
        <v>0</v>
      </c>
      <c r="K190">
        <f t="shared" si="40"/>
        <v>0</v>
      </c>
      <c r="L190">
        <f t="shared" si="47"/>
        <v>0</v>
      </c>
      <c r="M190">
        <f t="shared" si="41"/>
        <v>0</v>
      </c>
      <c r="N190" s="29">
        <f t="shared" si="48"/>
        <v>0</v>
      </c>
      <c r="O190" s="29">
        <f t="shared" si="42"/>
        <v>0</v>
      </c>
      <c r="P190" s="29">
        <f t="shared" si="49"/>
        <v>0</v>
      </c>
      <c r="Q190">
        <f t="shared" si="50"/>
        <v>0</v>
      </c>
      <c r="R190" s="29">
        <f t="shared" si="51"/>
        <v>0</v>
      </c>
      <c r="S190" s="29">
        <f t="shared" si="43"/>
        <v>0</v>
      </c>
      <c r="T190" s="29">
        <f t="shared" si="52"/>
        <v>0</v>
      </c>
      <c r="U190">
        <f t="shared" si="53"/>
        <v>0</v>
      </c>
      <c r="V190" s="29">
        <f t="shared" si="54"/>
        <v>0</v>
      </c>
      <c r="W190" s="29">
        <f t="shared" si="44"/>
        <v>0</v>
      </c>
      <c r="X190" s="29">
        <f t="shared" si="55"/>
        <v>0</v>
      </c>
      <c r="Y190">
        <f t="shared" si="56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allocations'!$A$1:$L$317,4,FALSE)</f>
        <v>171013.67685092546</v>
      </c>
      <c r="E191" s="31">
        <f>VLOOKUP(B191,'Initial adjusted formula count'!$A$1:$P$317,12,FALSE)</f>
        <v>0.199514991181658</v>
      </c>
      <c r="F191">
        <f>VLOOKUP(B191,'Model allocations'!$A$1:$L$317,9,FALSE)</f>
        <v>211764.34791224514</v>
      </c>
      <c r="G191" s="30">
        <f t="shared" si="45"/>
        <v>0.9</v>
      </c>
      <c r="H191">
        <f t="shared" si="46"/>
        <v>153912.30916583291</v>
      </c>
      <c r="I191">
        <f t="shared" si="38"/>
        <v>0</v>
      </c>
      <c r="J191">
        <f t="shared" si="39"/>
        <v>211764.34791224514</v>
      </c>
      <c r="K191">
        <f t="shared" si="40"/>
        <v>211585.29949127056</v>
      </c>
      <c r="L191">
        <f t="shared" si="47"/>
        <v>211585.29949127056</v>
      </c>
      <c r="M191">
        <f t="shared" si="41"/>
        <v>0</v>
      </c>
      <c r="N191" s="29">
        <f t="shared" si="48"/>
        <v>211585.29949127056</v>
      </c>
      <c r="O191" s="29">
        <f t="shared" si="42"/>
        <v>211530.65647422819</v>
      </c>
      <c r="P191" s="29">
        <f t="shared" si="49"/>
        <v>211530.65647422819</v>
      </c>
      <c r="Q191">
        <f t="shared" si="50"/>
        <v>0</v>
      </c>
      <c r="R191" s="29">
        <f t="shared" si="51"/>
        <v>211530.65647422819</v>
      </c>
      <c r="S191" s="29">
        <f t="shared" si="43"/>
        <v>211530.65647422819</v>
      </c>
      <c r="T191" s="29">
        <f t="shared" si="52"/>
        <v>211530.65647422819</v>
      </c>
      <c r="U191">
        <f t="shared" si="53"/>
        <v>0</v>
      </c>
      <c r="V191" s="29">
        <f t="shared" si="54"/>
        <v>211530.65647422819</v>
      </c>
      <c r="W191" s="29">
        <f t="shared" si="44"/>
        <v>211530.65647422819</v>
      </c>
      <c r="X191" s="29">
        <f t="shared" si="55"/>
        <v>211530.65647422819</v>
      </c>
      <c r="Y191">
        <f t="shared" si="56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allocations'!$A$1:$L$317,4,FALSE)</f>
        <v>2473.6106904811863</v>
      </c>
      <c r="E192" s="31">
        <f>VLOOKUP(B192,'Initial adjusted formula count'!$A$1:$P$317,12,FALSE)</f>
        <v>0.10638297872340401</v>
      </c>
      <c r="F192">
        <f>VLOOKUP(B192,'Model allocations'!$A$1:$L$317,9,FALSE)</f>
        <v>2102.5690869090085</v>
      </c>
      <c r="G192" s="30">
        <f t="shared" si="45"/>
        <v>0.85</v>
      </c>
      <c r="H192">
        <f t="shared" si="46"/>
        <v>2102.5690869090085</v>
      </c>
      <c r="I192">
        <f t="shared" si="38"/>
        <v>0</v>
      </c>
      <c r="J192">
        <f t="shared" si="39"/>
        <v>2102.5690869090085</v>
      </c>
      <c r="K192">
        <f t="shared" si="40"/>
        <v>2100.791348216389</v>
      </c>
      <c r="L192">
        <f t="shared" si="47"/>
        <v>2100.791348216389</v>
      </c>
      <c r="M192">
        <f t="shared" si="41"/>
        <v>2102.5690869090085</v>
      </c>
      <c r="N192" s="29">
        <f t="shared" si="48"/>
        <v>0</v>
      </c>
      <c r="O192" s="29">
        <f t="shared" si="42"/>
        <v>0</v>
      </c>
      <c r="P192" s="29">
        <f t="shared" si="49"/>
        <v>2102.5690869090085</v>
      </c>
      <c r="Q192">
        <f t="shared" si="50"/>
        <v>0</v>
      </c>
      <c r="R192" s="29">
        <f t="shared" si="51"/>
        <v>0</v>
      </c>
      <c r="S192" s="29">
        <f t="shared" si="43"/>
        <v>0</v>
      </c>
      <c r="T192" s="29">
        <f t="shared" si="52"/>
        <v>2102.5690869090085</v>
      </c>
      <c r="U192">
        <f t="shared" si="53"/>
        <v>0</v>
      </c>
      <c r="V192" s="29">
        <f t="shared" si="54"/>
        <v>0</v>
      </c>
      <c r="W192" s="29">
        <f t="shared" si="44"/>
        <v>0</v>
      </c>
      <c r="X192" s="29">
        <f t="shared" si="55"/>
        <v>2102.5690869090085</v>
      </c>
      <c r="Y192">
        <f t="shared" si="56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allocations'!$A$1:$L$317,4,FALSE)</f>
        <v>0</v>
      </c>
      <c r="E193" s="31">
        <f>VLOOKUP(B193,'Initial adjusted formula count'!$A$1:$P$317,12,FALSE)</f>
        <v>4.8582995951416998E-2</v>
      </c>
      <c r="F193">
        <f>VLOOKUP(B193,'Model allocations'!$A$1:$L$317,9,FALSE)</f>
        <v>0</v>
      </c>
      <c r="G193" s="30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29">
        <f t="shared" si="48"/>
        <v>0</v>
      </c>
      <c r="O193" s="29">
        <f t="shared" si="42"/>
        <v>0</v>
      </c>
      <c r="P193" s="29">
        <f t="shared" si="49"/>
        <v>0</v>
      </c>
      <c r="Q193">
        <f t="shared" si="50"/>
        <v>0</v>
      </c>
      <c r="R193" s="29">
        <f t="shared" si="51"/>
        <v>0</v>
      </c>
      <c r="S193" s="29">
        <f t="shared" si="43"/>
        <v>0</v>
      </c>
      <c r="T193" s="29">
        <f t="shared" si="52"/>
        <v>0</v>
      </c>
      <c r="U193">
        <f t="shared" si="53"/>
        <v>0</v>
      </c>
      <c r="V193" s="29">
        <f t="shared" si="54"/>
        <v>0</v>
      </c>
      <c r="W193" s="29">
        <f t="shared" si="44"/>
        <v>0</v>
      </c>
      <c r="X193" s="29">
        <f t="shared" si="55"/>
        <v>0</v>
      </c>
      <c r="Y193">
        <f t="shared" si="56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allocations'!$A$1:$L$317,4,FALSE)</f>
        <v>431199.23366368335</v>
      </c>
      <c r="E194" s="31">
        <f>VLOOKUP(B194,'Initial adjusted formula count'!$A$1:$P$317,12,FALSE)</f>
        <v>0.15642321086967201</v>
      </c>
      <c r="F194">
        <f>VLOOKUP(B194,'Model allocations'!$A$1:$L$317,9,FALSE)</f>
        <v>746206.08341674006</v>
      </c>
      <c r="G194" s="30">
        <f t="shared" si="45"/>
        <v>0.9</v>
      </c>
      <c r="H194">
        <f t="shared" si="46"/>
        <v>388079.31029731501</v>
      </c>
      <c r="I194">
        <f t="shared" si="38"/>
        <v>0</v>
      </c>
      <c r="J194">
        <f t="shared" si="39"/>
        <v>746206.08341674006</v>
      </c>
      <c r="K194">
        <f t="shared" si="40"/>
        <v>745575.16030680866</v>
      </c>
      <c r="L194">
        <f t="shared" si="47"/>
        <v>745575.16030680866</v>
      </c>
      <c r="M194">
        <f t="shared" si="41"/>
        <v>0</v>
      </c>
      <c r="N194" s="29">
        <f t="shared" si="48"/>
        <v>745575.16030680866</v>
      </c>
      <c r="O194" s="29">
        <f t="shared" si="42"/>
        <v>745382.6115981366</v>
      </c>
      <c r="P194" s="29">
        <f t="shared" si="49"/>
        <v>745382.6115981366</v>
      </c>
      <c r="Q194">
        <f t="shared" si="50"/>
        <v>0</v>
      </c>
      <c r="R194" s="29">
        <f t="shared" si="51"/>
        <v>745382.6115981366</v>
      </c>
      <c r="S194" s="29">
        <f t="shared" si="43"/>
        <v>745382.6115981366</v>
      </c>
      <c r="T194" s="29">
        <f t="shared" si="52"/>
        <v>745382.6115981366</v>
      </c>
      <c r="U194">
        <f t="shared" si="53"/>
        <v>0</v>
      </c>
      <c r="V194" s="29">
        <f t="shared" si="54"/>
        <v>745382.6115981366</v>
      </c>
      <c r="W194" s="29">
        <f t="shared" si="44"/>
        <v>745382.6115981366</v>
      </c>
      <c r="X194" s="29">
        <f t="shared" si="55"/>
        <v>745382.6115981366</v>
      </c>
      <c r="Y194">
        <f t="shared" si="56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allocations'!$A$1:$L$317,4,FALSE)</f>
        <v>11541.167447610704</v>
      </c>
      <c r="E195" s="31">
        <f>VLOOKUP(B195,'Initial adjusted formula count'!$A$1:$P$317,12,FALSE)</f>
        <v>0.16027874564459901</v>
      </c>
      <c r="F195">
        <f>VLOOKUP(B195,'Model allocations'!$A$1:$L$317,9,FALSE)</f>
        <v>10763.712711561633</v>
      </c>
      <c r="G195" s="30">
        <f t="shared" si="45"/>
        <v>0.9</v>
      </c>
      <c r="H195">
        <f t="shared" si="46"/>
        <v>10387.050702849634</v>
      </c>
      <c r="I195">
        <f t="shared" si="38"/>
        <v>0</v>
      </c>
      <c r="J195">
        <f t="shared" si="39"/>
        <v>10763.712711561633</v>
      </c>
      <c r="K195">
        <f t="shared" si="40"/>
        <v>10754.611907843588</v>
      </c>
      <c r="L195">
        <f t="shared" si="47"/>
        <v>10754.611907843588</v>
      </c>
      <c r="M195">
        <f t="shared" si="41"/>
        <v>0</v>
      </c>
      <c r="N195" s="29">
        <f t="shared" si="48"/>
        <v>10754.611907843588</v>
      </c>
      <c r="O195" s="29">
        <f t="shared" si="42"/>
        <v>10751.834472723202</v>
      </c>
      <c r="P195" s="29">
        <f t="shared" si="49"/>
        <v>10751.834472723202</v>
      </c>
      <c r="Q195">
        <f t="shared" si="50"/>
        <v>0</v>
      </c>
      <c r="R195" s="29">
        <f t="shared" si="51"/>
        <v>10751.834472723202</v>
      </c>
      <c r="S195" s="29">
        <f t="shared" si="43"/>
        <v>10751.834472723202</v>
      </c>
      <c r="T195" s="29">
        <f t="shared" si="52"/>
        <v>10751.834472723202</v>
      </c>
      <c r="U195">
        <f t="shared" si="53"/>
        <v>0</v>
      </c>
      <c r="V195" s="29">
        <f t="shared" si="54"/>
        <v>10751.834472723202</v>
      </c>
      <c r="W195" s="29">
        <f t="shared" si="44"/>
        <v>10751.834472723202</v>
      </c>
      <c r="X195" s="29">
        <f t="shared" si="55"/>
        <v>10751.834472723202</v>
      </c>
      <c r="Y195">
        <f t="shared" si="56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allocations'!$A$1:$L$317,4,FALSE)</f>
        <v>0</v>
      </c>
      <c r="E196" s="31">
        <f>VLOOKUP(B196,'Initial adjusted formula count'!$A$1:$P$317,12,FALSE)</f>
        <v>4.49438202247191E-2</v>
      </c>
      <c r="F196">
        <f>VLOOKUP(B196,'Model allocations'!$A$1:$L$317,9,FALSE)</f>
        <v>0</v>
      </c>
      <c r="G196" s="30">
        <f t="shared" si="45"/>
        <v>0.85</v>
      </c>
      <c r="H196">
        <f t="shared" si="4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si="47"/>
        <v>0</v>
      </c>
      <c r="M196">
        <f t="shared" ref="M196:M258" si="60">IF(L196&lt;H196,H196,0)</f>
        <v>0</v>
      </c>
      <c r="N196" s="29">
        <f t="shared" si="48"/>
        <v>0</v>
      </c>
      <c r="O196" s="29">
        <f t="shared" ref="O196:O258" si="61">((N196/$N$3)*($F$3-$I$3-$M$3))</f>
        <v>0</v>
      </c>
      <c r="P196" s="29">
        <f t="shared" si="49"/>
        <v>0</v>
      </c>
      <c r="Q196">
        <f t="shared" si="50"/>
        <v>0</v>
      </c>
      <c r="R196" s="29">
        <f t="shared" si="51"/>
        <v>0</v>
      </c>
      <c r="S196" s="29">
        <f t="shared" ref="S196:S258" si="62">((R196/$R$3)*($F$3-$I$3-$M$3-$Q$3))</f>
        <v>0</v>
      </c>
      <c r="T196" s="29">
        <f t="shared" si="52"/>
        <v>0</v>
      </c>
      <c r="U196">
        <f t="shared" si="53"/>
        <v>0</v>
      </c>
      <c r="V196" s="29">
        <f t="shared" si="54"/>
        <v>0</v>
      </c>
      <c r="W196" s="29">
        <f t="shared" ref="W196:W258" si="63">((V196/$V$3)*($F$3-$I$3-$M$3-$Q$3-$U$3))</f>
        <v>0</v>
      </c>
      <c r="X196" s="29">
        <f t="shared" si="55"/>
        <v>0</v>
      </c>
      <c r="Y196">
        <f t="shared" si="56"/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allocations'!$A$1:$L$317,4,FALSE)</f>
        <v>0</v>
      </c>
      <c r="E197" s="31">
        <f>VLOOKUP(B197,'Initial adjusted formula count'!$A$1:$P$317,12,FALSE)</f>
        <v>9.1269841269841306E-2</v>
      </c>
      <c r="F197">
        <f>VLOOKUP(B197,'Model allocations'!$A$1:$L$317,9,FALSE)</f>
        <v>0</v>
      </c>
      <c r="G197" s="30">
        <f t="shared" ref="G197:G259" si="64">IF(E197&lt;0.15,0.85,IF(AND(E197&gt;=0.15,E197&lt;0.3),0.9,0.95))</f>
        <v>0.85</v>
      </c>
      <c r="H197">
        <f t="shared" ref="H197:H259" si="65">IF(F197 = 0, 0, D197*G197)</f>
        <v>0</v>
      </c>
      <c r="I197">
        <f t="shared" si="57"/>
        <v>0</v>
      </c>
      <c r="J197">
        <f t="shared" si="58"/>
        <v>0</v>
      </c>
      <c r="K197">
        <f t="shared" si="59"/>
        <v>0</v>
      </c>
      <c r="L197">
        <f t="shared" ref="L197:L259" si="66">I197+K197</f>
        <v>0</v>
      </c>
      <c r="M197">
        <f t="shared" si="60"/>
        <v>0</v>
      </c>
      <c r="N197" s="29">
        <f t="shared" ref="N197:N259" si="67">IF(I197+M197=0,L197,0)</f>
        <v>0</v>
      </c>
      <c r="O197" s="29">
        <f t="shared" si="61"/>
        <v>0</v>
      </c>
      <c r="P197" s="29">
        <f t="shared" ref="P197:P259" si="68">$I197+$M197+O197</f>
        <v>0</v>
      </c>
      <c r="Q197">
        <f t="shared" ref="Q197:Q259" si="69">IF(P197&lt;H197,H197,0)</f>
        <v>0</v>
      </c>
      <c r="R197" s="29">
        <f t="shared" ref="R197:R259" si="70">IF($I197+$M197+$Q197=0,P197,0)</f>
        <v>0</v>
      </c>
      <c r="S197" s="29">
        <f t="shared" si="62"/>
        <v>0</v>
      </c>
      <c r="T197" s="29">
        <f t="shared" ref="T197:T259" si="71">$I197+$M197+$Q197+S197</f>
        <v>0</v>
      </c>
      <c r="U197">
        <f t="shared" ref="U197:U259" si="72">IF(T197&lt;H197,H197,0)</f>
        <v>0</v>
      </c>
      <c r="V197" s="29">
        <f t="shared" ref="V197:V259" si="73">IF($I197+$M197+$Q197+U197=0,T197,0)</f>
        <v>0</v>
      </c>
      <c r="W197" s="29">
        <f t="shared" si="63"/>
        <v>0</v>
      </c>
      <c r="X197" s="29">
        <f t="shared" ref="X197:X259" si="74">$I197+$M197+$Q197+$U197+W197</f>
        <v>0</v>
      </c>
      <c r="Y197">
        <f t="shared" ref="Y197:Y259" si="75">IF(X197&lt;H197,H197,0)</f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allocations'!$A$1:$L$317,4,FALSE)</f>
        <v>0</v>
      </c>
      <c r="E198" s="31">
        <f>VLOOKUP(B198,'Initial adjusted formula count'!$A$1:$P$317,12,FALSE)</f>
        <v>4.4242527173912999E-2</v>
      </c>
      <c r="F198">
        <f>VLOOKUP(B198,'Model allocations'!$A$1:$L$317,9,FALSE)</f>
        <v>0</v>
      </c>
      <c r="G198" s="30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29">
        <f t="shared" si="67"/>
        <v>0</v>
      </c>
      <c r="O198" s="29">
        <f t="shared" si="61"/>
        <v>0</v>
      </c>
      <c r="P198" s="29">
        <f t="shared" si="68"/>
        <v>0</v>
      </c>
      <c r="Q198">
        <f t="shared" si="69"/>
        <v>0</v>
      </c>
      <c r="R198" s="29">
        <f t="shared" si="70"/>
        <v>0</v>
      </c>
      <c r="S198" s="29">
        <f t="shared" si="62"/>
        <v>0</v>
      </c>
      <c r="T198" s="29">
        <f t="shared" si="71"/>
        <v>0</v>
      </c>
      <c r="U198">
        <f t="shared" si="72"/>
        <v>0</v>
      </c>
      <c r="V198" s="29">
        <f t="shared" si="73"/>
        <v>0</v>
      </c>
      <c r="W198" s="29">
        <f t="shared" si="63"/>
        <v>0</v>
      </c>
      <c r="X198" s="29">
        <f t="shared" si="74"/>
        <v>0</v>
      </c>
      <c r="Y198">
        <f t="shared" si="75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allocations'!$A$1:$L$317,4,FALSE)</f>
        <v>0</v>
      </c>
      <c r="E199" s="31">
        <f>VLOOKUP(B199,'Initial adjusted formula count'!$A$1:$P$317,12,FALSE)</f>
        <v>8.8673742888640106E-2</v>
      </c>
      <c r="F199">
        <f>VLOOKUP(B199,'Model allocations'!$A$1:$L$317,9,FALSE)</f>
        <v>0</v>
      </c>
      <c r="G199" s="30">
        <f t="shared" si="64"/>
        <v>0.85</v>
      </c>
      <c r="H199">
        <f t="shared" si="65"/>
        <v>0</v>
      </c>
      <c r="I199">
        <f t="shared" si="57"/>
        <v>0</v>
      </c>
      <c r="J199">
        <f t="shared" si="58"/>
        <v>0</v>
      </c>
      <c r="K199">
        <f t="shared" si="59"/>
        <v>0</v>
      </c>
      <c r="L199">
        <f t="shared" si="66"/>
        <v>0</v>
      </c>
      <c r="M199">
        <f t="shared" si="60"/>
        <v>0</v>
      </c>
      <c r="N199" s="29">
        <f t="shared" si="67"/>
        <v>0</v>
      </c>
      <c r="O199" s="29">
        <f t="shared" si="61"/>
        <v>0</v>
      </c>
      <c r="P199" s="29">
        <f t="shared" si="68"/>
        <v>0</v>
      </c>
      <c r="Q199">
        <f t="shared" si="69"/>
        <v>0</v>
      </c>
      <c r="R199" s="29">
        <f t="shared" si="70"/>
        <v>0</v>
      </c>
      <c r="S199" s="29">
        <f t="shared" si="62"/>
        <v>0</v>
      </c>
      <c r="T199" s="29">
        <f t="shared" si="71"/>
        <v>0</v>
      </c>
      <c r="U199">
        <f t="shared" si="72"/>
        <v>0</v>
      </c>
      <c r="V199" s="29">
        <f t="shared" si="73"/>
        <v>0</v>
      </c>
      <c r="W199" s="29">
        <f t="shared" si="63"/>
        <v>0</v>
      </c>
      <c r="X199" s="29">
        <f t="shared" si="74"/>
        <v>0</v>
      </c>
      <c r="Y199">
        <f t="shared" si="75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allocations'!$A$1:$L$317,4,FALSE)</f>
        <v>44784.762070648816</v>
      </c>
      <c r="E200" s="31">
        <f>VLOOKUP(B200,'Initial adjusted formula count'!$A$1:$P$317,12,FALSE)</f>
        <v>0.114417989417989</v>
      </c>
      <c r="F200">
        <f>VLOOKUP(B200,'Model allocations'!$A$1:$L$317,9,FALSE)</f>
        <v>38067.047760051493</v>
      </c>
      <c r="G200" s="30">
        <f t="shared" si="64"/>
        <v>0.85</v>
      </c>
      <c r="H200">
        <f t="shared" si="65"/>
        <v>38067.047760051493</v>
      </c>
      <c r="I200">
        <f t="shared" si="57"/>
        <v>0</v>
      </c>
      <c r="J200">
        <f t="shared" si="58"/>
        <v>38067.047760051493</v>
      </c>
      <c r="K200">
        <f t="shared" si="59"/>
        <v>38034.861771901</v>
      </c>
      <c r="L200">
        <f t="shared" si="66"/>
        <v>38034.861771901</v>
      </c>
      <c r="M200">
        <f t="shared" si="60"/>
        <v>38067.047760051493</v>
      </c>
      <c r="N200" s="29">
        <f t="shared" si="67"/>
        <v>0</v>
      </c>
      <c r="O200" s="29">
        <f t="shared" si="61"/>
        <v>0</v>
      </c>
      <c r="P200" s="29">
        <f t="shared" si="68"/>
        <v>38067.047760051493</v>
      </c>
      <c r="Q200">
        <f t="shared" si="69"/>
        <v>0</v>
      </c>
      <c r="R200" s="29">
        <f t="shared" si="70"/>
        <v>0</v>
      </c>
      <c r="S200" s="29">
        <f t="shared" si="62"/>
        <v>0</v>
      </c>
      <c r="T200" s="29">
        <f t="shared" si="71"/>
        <v>38067.047760051493</v>
      </c>
      <c r="U200">
        <f t="shared" si="72"/>
        <v>0</v>
      </c>
      <c r="V200" s="29">
        <f t="shared" si="73"/>
        <v>0</v>
      </c>
      <c r="W200" s="29">
        <f t="shared" si="63"/>
        <v>0</v>
      </c>
      <c r="X200" s="29">
        <f t="shared" si="74"/>
        <v>38067.047760051493</v>
      </c>
      <c r="Y200">
        <f t="shared" si="75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allocations'!$A$1:$L$317,4,FALSE)</f>
        <v>14734.732108755747</v>
      </c>
      <c r="E201" s="31">
        <f>VLOOKUP(B201,'Initial adjusted formula count'!$A$1:$P$317,12,FALSE)</f>
        <v>0.16253443526170799</v>
      </c>
      <c r="F201">
        <f>VLOOKUP(B201,'Model allocations'!$A$1:$L$317,9,FALSE)</f>
        <v>13805.63152135079</v>
      </c>
      <c r="G201" s="30">
        <f t="shared" si="64"/>
        <v>0.9</v>
      </c>
      <c r="H201">
        <f t="shared" si="65"/>
        <v>13261.258897880172</v>
      </c>
      <c r="I201">
        <f t="shared" si="57"/>
        <v>0</v>
      </c>
      <c r="J201">
        <f t="shared" si="58"/>
        <v>13805.63152135079</v>
      </c>
      <c r="K201">
        <f t="shared" si="59"/>
        <v>13793.958751364602</v>
      </c>
      <c r="L201">
        <f t="shared" si="66"/>
        <v>13793.958751364602</v>
      </c>
      <c r="M201">
        <f t="shared" si="60"/>
        <v>0</v>
      </c>
      <c r="N201" s="29">
        <f t="shared" si="67"/>
        <v>13793.958751364602</v>
      </c>
      <c r="O201" s="29">
        <f t="shared" si="61"/>
        <v>13790.396388927584</v>
      </c>
      <c r="P201" s="29">
        <f t="shared" si="68"/>
        <v>13790.396388927584</v>
      </c>
      <c r="Q201">
        <f t="shared" si="69"/>
        <v>0</v>
      </c>
      <c r="R201" s="29">
        <f t="shared" si="70"/>
        <v>13790.396388927584</v>
      </c>
      <c r="S201" s="29">
        <f t="shared" si="62"/>
        <v>13790.396388927584</v>
      </c>
      <c r="T201" s="29">
        <f t="shared" si="71"/>
        <v>13790.396388927584</v>
      </c>
      <c r="U201">
        <f t="shared" si="72"/>
        <v>0</v>
      </c>
      <c r="V201" s="29">
        <f t="shared" si="73"/>
        <v>13790.396388927584</v>
      </c>
      <c r="W201" s="29">
        <f t="shared" si="63"/>
        <v>13790.396388927584</v>
      </c>
      <c r="X201" s="29">
        <f t="shared" si="74"/>
        <v>13790.396388927584</v>
      </c>
      <c r="Y201">
        <f t="shared" si="75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allocations'!$A$1:$L$317,4,FALSE)</f>
        <v>127771.50605062442</v>
      </c>
      <c r="E202" s="31">
        <f>VLOOKUP(B202,'Initial adjusted formula count'!$A$1:$P$317,12,FALSE)</f>
        <v>0.142252527627557</v>
      </c>
      <c r="F202">
        <f>VLOOKUP(B202,'Model allocations'!$A$1:$L$317,9,FALSE)</f>
        <v>108605.78014303076</v>
      </c>
      <c r="G202" s="30">
        <f t="shared" si="64"/>
        <v>0.85</v>
      </c>
      <c r="H202">
        <f t="shared" si="65"/>
        <v>108605.78014303076</v>
      </c>
      <c r="I202">
        <f t="shared" si="57"/>
        <v>0</v>
      </c>
      <c r="J202">
        <f t="shared" si="58"/>
        <v>108605.78014303076</v>
      </c>
      <c r="K202">
        <f t="shared" si="59"/>
        <v>108513.95310210044</v>
      </c>
      <c r="L202">
        <f t="shared" si="66"/>
        <v>108513.95310210044</v>
      </c>
      <c r="M202">
        <f t="shared" si="60"/>
        <v>108605.78014303076</v>
      </c>
      <c r="N202" s="29">
        <f t="shared" si="67"/>
        <v>0</v>
      </c>
      <c r="O202" s="29">
        <f t="shared" si="61"/>
        <v>0</v>
      </c>
      <c r="P202" s="29">
        <f t="shared" si="68"/>
        <v>108605.78014303076</v>
      </c>
      <c r="Q202">
        <f t="shared" si="69"/>
        <v>0</v>
      </c>
      <c r="R202" s="29">
        <f t="shared" si="70"/>
        <v>0</v>
      </c>
      <c r="S202" s="29">
        <f t="shared" si="62"/>
        <v>0</v>
      </c>
      <c r="T202" s="29">
        <f t="shared" si="71"/>
        <v>108605.78014303076</v>
      </c>
      <c r="U202">
        <f t="shared" si="72"/>
        <v>0</v>
      </c>
      <c r="V202" s="29">
        <f t="shared" si="73"/>
        <v>0</v>
      </c>
      <c r="W202" s="29">
        <f t="shared" si="63"/>
        <v>0</v>
      </c>
      <c r="X202" s="29">
        <f t="shared" si="74"/>
        <v>108605.78014303076</v>
      </c>
      <c r="Y202">
        <f t="shared" si="75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allocations'!$A$1:$L$317,4,FALSE)</f>
        <v>48381.931714877639</v>
      </c>
      <c r="E203" s="31">
        <f>VLOOKUP(B203,'Initial adjusted formula count'!$A$1:$P$317,12,FALSE)</f>
        <v>0.173180076628352</v>
      </c>
      <c r="F203">
        <f>VLOOKUP(B203,'Model allocations'!$A$1:$L$317,9,FALSE)</f>
        <v>52882.58853941151</v>
      </c>
      <c r="G203" s="30">
        <f t="shared" si="64"/>
        <v>0.9</v>
      </c>
      <c r="H203">
        <f t="shared" si="65"/>
        <v>43543.738543389874</v>
      </c>
      <c r="I203">
        <f t="shared" si="57"/>
        <v>0</v>
      </c>
      <c r="J203">
        <f t="shared" si="58"/>
        <v>52882.58853941151</v>
      </c>
      <c r="K203">
        <f t="shared" si="59"/>
        <v>52837.875895057638</v>
      </c>
      <c r="L203">
        <f t="shared" si="66"/>
        <v>52837.875895057638</v>
      </c>
      <c r="M203">
        <f t="shared" si="60"/>
        <v>0</v>
      </c>
      <c r="N203" s="29">
        <f t="shared" si="67"/>
        <v>52837.875895057638</v>
      </c>
      <c r="O203" s="29">
        <f t="shared" si="61"/>
        <v>52824.230235553136</v>
      </c>
      <c r="P203" s="29">
        <f t="shared" si="68"/>
        <v>52824.230235553136</v>
      </c>
      <c r="Q203">
        <f t="shared" si="69"/>
        <v>0</v>
      </c>
      <c r="R203" s="29">
        <f t="shared" si="70"/>
        <v>52824.230235553136</v>
      </c>
      <c r="S203" s="29">
        <f t="shared" si="62"/>
        <v>52824.230235553136</v>
      </c>
      <c r="T203" s="29">
        <f t="shared" si="71"/>
        <v>52824.230235553136</v>
      </c>
      <c r="U203">
        <f t="shared" si="72"/>
        <v>0</v>
      </c>
      <c r="V203" s="29">
        <f t="shared" si="73"/>
        <v>52824.230235553136</v>
      </c>
      <c r="W203" s="29">
        <f t="shared" si="63"/>
        <v>52824.230235553136</v>
      </c>
      <c r="X203" s="29">
        <f t="shared" si="74"/>
        <v>52824.230235553136</v>
      </c>
      <c r="Y203">
        <f t="shared" si="75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allocations'!$A$1:$L$317,4,FALSE)</f>
        <v>0</v>
      </c>
      <c r="E204" s="31">
        <f>VLOOKUP(B204,'Initial adjusted formula count'!$A$1:$P$317,12,FALSE)</f>
        <v>0.190751445086705</v>
      </c>
      <c r="F204">
        <f>VLOOKUP(B204,'Model allocations'!$A$1:$L$317,9,FALSE)</f>
        <v>15443.587803544951</v>
      </c>
      <c r="G204" s="30">
        <f t="shared" si="64"/>
        <v>0.9</v>
      </c>
      <c r="H204">
        <f t="shared" si="65"/>
        <v>0</v>
      </c>
      <c r="I204">
        <f t="shared" si="57"/>
        <v>0</v>
      </c>
      <c r="J204">
        <f t="shared" si="58"/>
        <v>15443.587803544951</v>
      </c>
      <c r="K204">
        <f t="shared" si="59"/>
        <v>15430.530128645147</v>
      </c>
      <c r="L204">
        <f t="shared" si="66"/>
        <v>15430.530128645147</v>
      </c>
      <c r="M204">
        <f t="shared" si="60"/>
        <v>0</v>
      </c>
      <c r="N204" s="29">
        <f t="shared" si="67"/>
        <v>15430.530128645147</v>
      </c>
      <c r="O204" s="29">
        <f t="shared" si="61"/>
        <v>15426.545113037637</v>
      </c>
      <c r="P204" s="29">
        <f t="shared" si="68"/>
        <v>15426.545113037637</v>
      </c>
      <c r="Q204">
        <f t="shared" si="69"/>
        <v>0</v>
      </c>
      <c r="R204" s="29">
        <f t="shared" si="70"/>
        <v>15426.545113037637</v>
      </c>
      <c r="S204" s="29">
        <f t="shared" si="62"/>
        <v>15426.545113037637</v>
      </c>
      <c r="T204" s="29">
        <f t="shared" si="71"/>
        <v>15426.545113037637</v>
      </c>
      <c r="U204">
        <f t="shared" si="72"/>
        <v>0</v>
      </c>
      <c r="V204" s="29">
        <f t="shared" si="73"/>
        <v>15426.545113037637</v>
      </c>
      <c r="W204" s="29">
        <f t="shared" si="63"/>
        <v>15426.545113037637</v>
      </c>
      <c r="X204" s="29">
        <f t="shared" si="74"/>
        <v>15426.545113037637</v>
      </c>
      <c r="Y204">
        <f t="shared" si="75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allocations'!$A$1:$L$317,4,FALSE)</f>
        <v>14507.842186498488</v>
      </c>
      <c r="E205" s="31">
        <f>VLOOKUP(B205,'Initial adjusted formula count'!$A$1:$P$317,12,FALSE)</f>
        <v>9.0700501363157299E-2</v>
      </c>
      <c r="F205">
        <f>VLOOKUP(B205,'Model allocations'!$A$1:$L$317,9,FALSE)</f>
        <v>5965.2452066433507</v>
      </c>
      <c r="G205" s="30">
        <f t="shared" si="64"/>
        <v>0.85</v>
      </c>
      <c r="H205">
        <f t="shared" si="65"/>
        <v>12331.665858523715</v>
      </c>
      <c r="I205">
        <f t="shared" si="57"/>
        <v>12331.665858523715</v>
      </c>
      <c r="J205">
        <f t="shared" si="58"/>
        <v>0</v>
      </c>
      <c r="K205">
        <f t="shared" si="59"/>
        <v>0</v>
      </c>
      <c r="L205">
        <f t="shared" si="66"/>
        <v>12331.665858523715</v>
      </c>
      <c r="M205">
        <f t="shared" si="60"/>
        <v>0</v>
      </c>
      <c r="N205" s="29">
        <f t="shared" si="67"/>
        <v>0</v>
      </c>
      <c r="O205" s="29">
        <f t="shared" si="61"/>
        <v>0</v>
      </c>
      <c r="P205" s="29">
        <f t="shared" si="68"/>
        <v>12331.665858523715</v>
      </c>
      <c r="Q205">
        <f t="shared" si="69"/>
        <v>0</v>
      </c>
      <c r="R205" s="29">
        <f t="shared" si="70"/>
        <v>0</v>
      </c>
      <c r="S205" s="29">
        <f t="shared" si="62"/>
        <v>0</v>
      </c>
      <c r="T205" s="29">
        <f t="shared" si="71"/>
        <v>12331.665858523715</v>
      </c>
      <c r="U205">
        <f t="shared" si="72"/>
        <v>0</v>
      </c>
      <c r="V205" s="29">
        <f t="shared" si="73"/>
        <v>0</v>
      </c>
      <c r="W205" s="29">
        <f t="shared" si="63"/>
        <v>0</v>
      </c>
      <c r="X205" s="29">
        <f t="shared" si="74"/>
        <v>12331.665858523715</v>
      </c>
      <c r="Y205">
        <f t="shared" si="75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allocations'!$A$1:$L$317,4,FALSE)</f>
        <v>78471.919361589447</v>
      </c>
      <c r="E206" s="31">
        <f>VLOOKUP(B206,'Initial adjusted formula count'!$A$1:$P$317,12,FALSE)</f>
        <v>0.121314808539478</v>
      </c>
      <c r="F206">
        <f>VLOOKUP(B206,'Model allocations'!$A$1:$L$317,9,FALSE)</f>
        <v>66701.131457351032</v>
      </c>
      <c r="G206" s="30">
        <f t="shared" si="64"/>
        <v>0.85</v>
      </c>
      <c r="H206">
        <f t="shared" si="65"/>
        <v>66701.131457351032</v>
      </c>
      <c r="I206">
        <f t="shared" si="57"/>
        <v>0</v>
      </c>
      <c r="J206">
        <f t="shared" si="58"/>
        <v>66701.131457351032</v>
      </c>
      <c r="K206">
        <f t="shared" si="59"/>
        <v>66644.735126323649</v>
      </c>
      <c r="L206">
        <f t="shared" si="66"/>
        <v>66644.735126323649</v>
      </c>
      <c r="M206">
        <f t="shared" si="60"/>
        <v>66701.131457351032</v>
      </c>
      <c r="N206" s="29">
        <f t="shared" si="67"/>
        <v>0</v>
      </c>
      <c r="O206" s="29">
        <f t="shared" si="61"/>
        <v>0</v>
      </c>
      <c r="P206" s="29">
        <f t="shared" si="68"/>
        <v>66701.131457351032</v>
      </c>
      <c r="Q206">
        <f t="shared" si="69"/>
        <v>0</v>
      </c>
      <c r="R206" s="29">
        <f t="shared" si="70"/>
        <v>0</v>
      </c>
      <c r="S206" s="29">
        <f t="shared" si="62"/>
        <v>0</v>
      </c>
      <c r="T206" s="29">
        <f t="shared" si="71"/>
        <v>66701.131457351032</v>
      </c>
      <c r="U206">
        <f t="shared" si="72"/>
        <v>0</v>
      </c>
      <c r="V206" s="29">
        <f t="shared" si="73"/>
        <v>0</v>
      </c>
      <c r="W206" s="29">
        <f t="shared" si="63"/>
        <v>0</v>
      </c>
      <c r="X206" s="29">
        <f t="shared" si="74"/>
        <v>66701.131457351032</v>
      </c>
      <c r="Y206">
        <f t="shared" si="75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allocations'!$A$1:$L$317,4,FALSE)</f>
        <v>0</v>
      </c>
      <c r="E207" s="31">
        <f>VLOOKUP(B207,'Initial adjusted formula count'!$A$1:$P$317,12,FALSE)</f>
        <v>0.124072425051944</v>
      </c>
      <c r="F207">
        <f>VLOOKUP(B207,'Model allocations'!$A$1:$L$317,9,FALSE)</f>
        <v>0</v>
      </c>
      <c r="G207" s="30">
        <f t="shared" si="64"/>
        <v>0.85</v>
      </c>
      <c r="H207">
        <f t="shared" si="65"/>
        <v>0</v>
      </c>
      <c r="I207">
        <f t="shared" si="57"/>
        <v>0</v>
      </c>
      <c r="J207">
        <f t="shared" si="58"/>
        <v>0</v>
      </c>
      <c r="K207">
        <f t="shared" si="59"/>
        <v>0</v>
      </c>
      <c r="L207">
        <f t="shared" si="66"/>
        <v>0</v>
      </c>
      <c r="M207">
        <f t="shared" si="60"/>
        <v>0</v>
      </c>
      <c r="N207" s="29">
        <f t="shared" si="67"/>
        <v>0</v>
      </c>
      <c r="O207" s="29">
        <f t="shared" si="61"/>
        <v>0</v>
      </c>
      <c r="P207" s="29">
        <f t="shared" si="68"/>
        <v>0</v>
      </c>
      <c r="Q207">
        <f t="shared" si="69"/>
        <v>0</v>
      </c>
      <c r="R207" s="29">
        <f t="shared" si="70"/>
        <v>0</v>
      </c>
      <c r="S207" s="29">
        <f t="shared" si="62"/>
        <v>0</v>
      </c>
      <c r="T207" s="29">
        <f t="shared" si="71"/>
        <v>0</v>
      </c>
      <c r="U207">
        <f t="shared" si="72"/>
        <v>0</v>
      </c>
      <c r="V207" s="29">
        <f t="shared" si="73"/>
        <v>0</v>
      </c>
      <c r="W207" s="29">
        <f t="shared" si="63"/>
        <v>0</v>
      </c>
      <c r="X207" s="29">
        <f t="shared" si="74"/>
        <v>0</v>
      </c>
      <c r="Y207">
        <f t="shared" si="75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allocations'!$A$1:$L$317,4,FALSE)</f>
        <v>0</v>
      </c>
      <c r="E208" s="31">
        <f>VLOOKUP(B208,'Initial adjusted formula count'!$A$1:$P$317,12,FALSE)</f>
        <v>8.1197576887232101E-2</v>
      </c>
      <c r="F208">
        <f>VLOOKUP(B208,'Model allocations'!$A$1:$L$317,9,FALSE)</f>
        <v>0</v>
      </c>
      <c r="G208" s="30">
        <f t="shared" si="64"/>
        <v>0.85</v>
      </c>
      <c r="H208">
        <f t="shared" si="65"/>
        <v>0</v>
      </c>
      <c r="I208">
        <f t="shared" si="57"/>
        <v>0</v>
      </c>
      <c r="J208">
        <f t="shared" si="58"/>
        <v>0</v>
      </c>
      <c r="K208">
        <f t="shared" si="59"/>
        <v>0</v>
      </c>
      <c r="L208">
        <f t="shared" si="66"/>
        <v>0</v>
      </c>
      <c r="M208">
        <f t="shared" si="60"/>
        <v>0</v>
      </c>
      <c r="N208" s="29">
        <f t="shared" si="67"/>
        <v>0</v>
      </c>
      <c r="O208" s="29">
        <f t="shared" si="61"/>
        <v>0</v>
      </c>
      <c r="P208" s="29">
        <f t="shared" si="68"/>
        <v>0</v>
      </c>
      <c r="Q208">
        <f t="shared" si="69"/>
        <v>0</v>
      </c>
      <c r="R208" s="29">
        <f t="shared" si="70"/>
        <v>0</v>
      </c>
      <c r="S208" s="29">
        <f t="shared" si="62"/>
        <v>0</v>
      </c>
      <c r="T208" s="29">
        <f t="shared" si="71"/>
        <v>0</v>
      </c>
      <c r="U208">
        <f t="shared" si="72"/>
        <v>0</v>
      </c>
      <c r="V208" s="29">
        <f t="shared" si="73"/>
        <v>0</v>
      </c>
      <c r="W208" s="29">
        <f t="shared" si="63"/>
        <v>0</v>
      </c>
      <c r="X208" s="29">
        <f t="shared" si="74"/>
        <v>0</v>
      </c>
      <c r="Y208">
        <f t="shared" si="75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allocations'!$A$1:$L$317,4,FALSE)</f>
        <v>2620.9095432834765</v>
      </c>
      <c r="E209" s="31">
        <f>VLOOKUP(B209,'Initial adjusted formula count'!$A$1:$P$317,12,FALSE)</f>
        <v>0.29032258064516098</v>
      </c>
      <c r="F209">
        <f>VLOOKUP(B209,'Model allocations'!$A$1:$L$317,9,FALSE)</f>
        <v>2358.8185889551291</v>
      </c>
      <c r="G209" s="30">
        <f t="shared" si="64"/>
        <v>0.9</v>
      </c>
      <c r="H209">
        <f t="shared" si="65"/>
        <v>2358.8185889551291</v>
      </c>
      <c r="I209">
        <f t="shared" si="57"/>
        <v>0</v>
      </c>
      <c r="J209">
        <f t="shared" si="58"/>
        <v>2358.8185889551291</v>
      </c>
      <c r="K209">
        <f t="shared" si="59"/>
        <v>2356.8241892939882</v>
      </c>
      <c r="L209">
        <f t="shared" si="66"/>
        <v>2356.8241892939882</v>
      </c>
      <c r="M209">
        <f t="shared" si="60"/>
        <v>2358.8185889551291</v>
      </c>
      <c r="N209" s="29">
        <f t="shared" si="67"/>
        <v>0</v>
      </c>
      <c r="O209" s="29">
        <f t="shared" si="61"/>
        <v>0</v>
      </c>
      <c r="P209" s="29">
        <f t="shared" si="68"/>
        <v>2358.8185889551291</v>
      </c>
      <c r="Q209">
        <f t="shared" si="69"/>
        <v>0</v>
      </c>
      <c r="R209" s="29">
        <f t="shared" si="70"/>
        <v>0</v>
      </c>
      <c r="S209" s="29">
        <f t="shared" si="62"/>
        <v>0</v>
      </c>
      <c r="T209" s="29">
        <f t="shared" si="71"/>
        <v>2358.8185889551291</v>
      </c>
      <c r="U209">
        <f t="shared" si="72"/>
        <v>0</v>
      </c>
      <c r="V209" s="29">
        <f t="shared" si="73"/>
        <v>0</v>
      </c>
      <c r="W209" s="29">
        <f t="shared" si="63"/>
        <v>0</v>
      </c>
      <c r="X209" s="29">
        <f t="shared" si="74"/>
        <v>2358.8185889551291</v>
      </c>
      <c r="Y209">
        <f t="shared" si="75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allocations'!$A$1:$L$317,4,FALSE)</f>
        <v>5091.6915210047209</v>
      </c>
      <c r="E210" s="31">
        <f>VLOOKUP(B210,'Initial adjusted formula count'!$A$1:$P$317,12,FALSE)</f>
        <v>0.16062176165803099</v>
      </c>
      <c r="F210">
        <f>VLOOKUP(B210,'Model allocations'!$A$1:$L$317,9,FALSE)</f>
        <v>7253.8063925741435</v>
      </c>
      <c r="G210" s="30">
        <f t="shared" si="64"/>
        <v>0.9</v>
      </c>
      <c r="H210">
        <f t="shared" si="65"/>
        <v>4582.5223689042487</v>
      </c>
      <c r="I210">
        <f t="shared" si="57"/>
        <v>0</v>
      </c>
      <c r="J210">
        <f t="shared" si="58"/>
        <v>7253.8063925741435</v>
      </c>
      <c r="K210">
        <f t="shared" si="59"/>
        <v>7247.6732422424184</v>
      </c>
      <c r="L210">
        <f t="shared" si="66"/>
        <v>7247.6732422424184</v>
      </c>
      <c r="M210">
        <f t="shared" si="60"/>
        <v>0</v>
      </c>
      <c r="N210" s="29">
        <f t="shared" si="67"/>
        <v>7247.6732422424184</v>
      </c>
      <c r="O210" s="29">
        <f t="shared" si="61"/>
        <v>7245.801492487376</v>
      </c>
      <c r="P210" s="29">
        <f t="shared" si="68"/>
        <v>7245.801492487376</v>
      </c>
      <c r="Q210">
        <f t="shared" si="69"/>
        <v>0</v>
      </c>
      <c r="R210" s="29">
        <f t="shared" si="70"/>
        <v>7245.801492487376</v>
      </c>
      <c r="S210" s="29">
        <f t="shared" si="62"/>
        <v>7245.801492487376</v>
      </c>
      <c r="T210" s="29">
        <f t="shared" si="71"/>
        <v>7245.801492487376</v>
      </c>
      <c r="U210">
        <f t="shared" si="72"/>
        <v>0</v>
      </c>
      <c r="V210" s="29">
        <f t="shared" si="73"/>
        <v>7245.801492487376</v>
      </c>
      <c r="W210" s="29">
        <f t="shared" si="63"/>
        <v>7245.801492487376</v>
      </c>
      <c r="X210" s="29">
        <f t="shared" si="74"/>
        <v>7245.801492487376</v>
      </c>
      <c r="Y210">
        <f t="shared" si="75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allocations'!$A$1:$L$317,4,FALSE)</f>
        <v>64123.600207089214</v>
      </c>
      <c r="E211" s="31">
        <f>VLOOKUP(B211,'Initial adjusted formula count'!$A$1:$P$317,12,FALSE)</f>
        <v>0.17814113597246101</v>
      </c>
      <c r="F211">
        <f>VLOOKUP(B211,'Model allocations'!$A$1:$L$317,9,FALSE)</f>
        <v>57711.240186380295</v>
      </c>
      <c r="G211" s="30">
        <f t="shared" si="64"/>
        <v>0.9</v>
      </c>
      <c r="H211">
        <f t="shared" si="65"/>
        <v>57711.240186380295</v>
      </c>
      <c r="I211">
        <f t="shared" si="57"/>
        <v>0</v>
      </c>
      <c r="J211">
        <f t="shared" si="58"/>
        <v>57711.240186380295</v>
      </c>
      <c r="K211">
        <f t="shared" si="59"/>
        <v>57662.444879097799</v>
      </c>
      <c r="L211">
        <f t="shared" si="66"/>
        <v>57662.444879097799</v>
      </c>
      <c r="M211">
        <f t="shared" si="60"/>
        <v>57711.240186380295</v>
      </c>
      <c r="N211" s="29">
        <f t="shared" si="67"/>
        <v>0</v>
      </c>
      <c r="O211" s="29">
        <f t="shared" si="61"/>
        <v>0</v>
      </c>
      <c r="P211" s="29">
        <f t="shared" si="68"/>
        <v>57711.240186380295</v>
      </c>
      <c r="Q211">
        <f t="shared" si="69"/>
        <v>0</v>
      </c>
      <c r="R211" s="29">
        <f t="shared" si="70"/>
        <v>0</v>
      </c>
      <c r="S211" s="29">
        <f t="shared" si="62"/>
        <v>0</v>
      </c>
      <c r="T211" s="29">
        <f t="shared" si="71"/>
        <v>57711.240186380295</v>
      </c>
      <c r="U211">
        <f t="shared" si="72"/>
        <v>0</v>
      </c>
      <c r="V211" s="29">
        <f t="shared" si="73"/>
        <v>0</v>
      </c>
      <c r="W211" s="29">
        <f t="shared" si="63"/>
        <v>0</v>
      </c>
      <c r="X211" s="29">
        <f t="shared" si="74"/>
        <v>57711.240186380295</v>
      </c>
      <c r="Y211">
        <f t="shared" si="75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allocations'!$A$1:$L$317,4,FALSE)</f>
        <v>9067.5274515419987</v>
      </c>
      <c r="E212" s="31">
        <f>VLOOKUP(B212,'Initial adjusted formula count'!$A$1:$P$317,12,FALSE)</f>
        <v>0.16571428571428601</v>
      </c>
      <c r="F212">
        <f>VLOOKUP(B212,'Model allocations'!$A$1:$L$317,9,FALSE)</f>
        <v>8160.7747063877987</v>
      </c>
      <c r="G212" s="30">
        <f t="shared" si="64"/>
        <v>0.9</v>
      </c>
      <c r="H212">
        <f t="shared" si="65"/>
        <v>8160.7747063877987</v>
      </c>
      <c r="I212">
        <f t="shared" si="57"/>
        <v>0</v>
      </c>
      <c r="J212">
        <f t="shared" si="58"/>
        <v>8160.7747063877987</v>
      </c>
      <c r="K212">
        <f t="shared" si="59"/>
        <v>8153.8747072164861</v>
      </c>
      <c r="L212">
        <f t="shared" si="66"/>
        <v>8153.8747072164861</v>
      </c>
      <c r="M212">
        <f t="shared" si="60"/>
        <v>8160.7747063877987</v>
      </c>
      <c r="N212" s="29">
        <f t="shared" si="67"/>
        <v>0</v>
      </c>
      <c r="O212" s="29">
        <f t="shared" si="61"/>
        <v>0</v>
      </c>
      <c r="P212" s="29">
        <f t="shared" si="68"/>
        <v>8160.7747063877987</v>
      </c>
      <c r="Q212">
        <f t="shared" si="69"/>
        <v>0</v>
      </c>
      <c r="R212" s="29">
        <f t="shared" si="70"/>
        <v>0</v>
      </c>
      <c r="S212" s="29">
        <f t="shared" si="62"/>
        <v>0</v>
      </c>
      <c r="T212" s="29">
        <f t="shared" si="71"/>
        <v>8160.7747063877987</v>
      </c>
      <c r="U212">
        <f t="shared" si="72"/>
        <v>0</v>
      </c>
      <c r="V212" s="29">
        <f t="shared" si="73"/>
        <v>0</v>
      </c>
      <c r="W212" s="29">
        <f t="shared" si="63"/>
        <v>0</v>
      </c>
      <c r="X212" s="29">
        <f t="shared" si="74"/>
        <v>8160.7747063877987</v>
      </c>
      <c r="Y212">
        <f t="shared" si="75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allocations'!$A$1:$L$317,4,FALSE)</f>
        <v>96516.264455430864</v>
      </c>
      <c r="E213" s="31">
        <f>VLOOKUP(B213,'Initial adjusted formula count'!$A$1:$P$317,12,FALSE)</f>
        <v>0.14103788602355899</v>
      </c>
      <c r="F213">
        <f>VLOOKUP(B213,'Model allocations'!$A$1:$L$317,9,FALSE)</f>
        <v>82038.824787116231</v>
      </c>
      <c r="G213" s="30">
        <f t="shared" si="64"/>
        <v>0.85</v>
      </c>
      <c r="H213">
        <f t="shared" si="65"/>
        <v>82038.824787116231</v>
      </c>
      <c r="I213">
        <f t="shared" si="57"/>
        <v>0</v>
      </c>
      <c r="J213">
        <f t="shared" si="58"/>
        <v>82038.824787116231</v>
      </c>
      <c r="K213">
        <f t="shared" si="59"/>
        <v>81969.460315799122</v>
      </c>
      <c r="L213">
        <f t="shared" si="66"/>
        <v>81969.460315799122</v>
      </c>
      <c r="M213">
        <f t="shared" si="60"/>
        <v>82038.824787116231</v>
      </c>
      <c r="N213" s="29">
        <f t="shared" si="67"/>
        <v>0</v>
      </c>
      <c r="O213" s="29">
        <f t="shared" si="61"/>
        <v>0</v>
      </c>
      <c r="P213" s="29">
        <f t="shared" si="68"/>
        <v>82038.824787116231</v>
      </c>
      <c r="Q213">
        <f t="shared" si="69"/>
        <v>0</v>
      </c>
      <c r="R213" s="29">
        <f t="shared" si="70"/>
        <v>0</v>
      </c>
      <c r="S213" s="29">
        <f t="shared" si="62"/>
        <v>0</v>
      </c>
      <c r="T213" s="29">
        <f t="shared" si="71"/>
        <v>82038.824787116231</v>
      </c>
      <c r="U213">
        <f t="shared" si="72"/>
        <v>0</v>
      </c>
      <c r="V213" s="29">
        <f t="shared" si="73"/>
        <v>0</v>
      </c>
      <c r="W213" s="29">
        <f t="shared" si="63"/>
        <v>0</v>
      </c>
      <c r="X213" s="29">
        <f t="shared" si="74"/>
        <v>82038.824787116231</v>
      </c>
      <c r="Y213">
        <f t="shared" si="75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allocations'!$A$1:$L$317,4,FALSE)</f>
        <v>28957.215636042005</v>
      </c>
      <c r="E214" s="31">
        <f>VLOOKUP(B214,'Initial adjusted formula count'!$A$1:$P$317,12,FALSE)</f>
        <v>8.6744639376218305E-2</v>
      </c>
      <c r="F214">
        <f>VLOOKUP(B214,'Model allocations'!$A$1:$L$317,9,FALSE)</f>
        <v>24613.633290635702</v>
      </c>
      <c r="G214" s="30">
        <f t="shared" si="64"/>
        <v>0.85</v>
      </c>
      <c r="H214">
        <f t="shared" si="65"/>
        <v>24613.633290635702</v>
      </c>
      <c r="I214">
        <f t="shared" si="57"/>
        <v>0</v>
      </c>
      <c r="J214">
        <f t="shared" si="58"/>
        <v>24613.633290635702</v>
      </c>
      <c r="K214">
        <f t="shared" si="59"/>
        <v>24592.822270184981</v>
      </c>
      <c r="L214">
        <f t="shared" si="66"/>
        <v>24592.822270184981</v>
      </c>
      <c r="M214">
        <f t="shared" si="60"/>
        <v>24613.633290635702</v>
      </c>
      <c r="N214" s="29">
        <f t="shared" si="67"/>
        <v>0</v>
      </c>
      <c r="O214" s="29">
        <f t="shared" si="61"/>
        <v>0</v>
      </c>
      <c r="P214" s="29">
        <f t="shared" si="68"/>
        <v>24613.633290635702</v>
      </c>
      <c r="Q214">
        <f t="shared" si="69"/>
        <v>0</v>
      </c>
      <c r="R214" s="29">
        <f t="shared" si="70"/>
        <v>0</v>
      </c>
      <c r="S214" s="29">
        <f t="shared" si="62"/>
        <v>0</v>
      </c>
      <c r="T214" s="29">
        <f t="shared" si="71"/>
        <v>24613.633290635702</v>
      </c>
      <c r="U214">
        <f t="shared" si="72"/>
        <v>0</v>
      </c>
      <c r="V214" s="29">
        <f t="shared" si="73"/>
        <v>0</v>
      </c>
      <c r="W214" s="29">
        <f t="shared" si="63"/>
        <v>0</v>
      </c>
      <c r="X214" s="29">
        <f t="shared" si="74"/>
        <v>24613.633290635702</v>
      </c>
      <c r="Y214">
        <f t="shared" si="75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allocations'!$A$1:$L$317,4,FALSE)</f>
        <v>13023.982108251608</v>
      </c>
      <c r="E215" s="31">
        <f>VLOOKUP(B215,'Initial adjusted formula count'!$A$1:$P$317,12,FALSE)</f>
        <v>0.172194800399085</v>
      </c>
      <c r="F215">
        <f>VLOOKUP(B215,'Model allocations'!$A$1:$L$317,9,FALSE)</f>
        <v>16080.373594527231</v>
      </c>
      <c r="G215" s="30">
        <f t="shared" si="64"/>
        <v>0.9</v>
      </c>
      <c r="H215">
        <f t="shared" si="65"/>
        <v>11721.583897426448</v>
      </c>
      <c r="I215">
        <f t="shared" si="57"/>
        <v>0</v>
      </c>
      <c r="J215">
        <f t="shared" si="58"/>
        <v>16080.373594527231</v>
      </c>
      <c r="K215">
        <f t="shared" si="59"/>
        <v>16066.777512234972</v>
      </c>
      <c r="L215">
        <f t="shared" si="66"/>
        <v>16066.777512234972</v>
      </c>
      <c r="M215">
        <f t="shared" si="60"/>
        <v>0</v>
      </c>
      <c r="N215" s="29">
        <f t="shared" si="67"/>
        <v>16066.777512234972</v>
      </c>
      <c r="O215" s="29">
        <f t="shared" si="61"/>
        <v>16062.628182392453</v>
      </c>
      <c r="P215" s="29">
        <f t="shared" si="68"/>
        <v>16062.628182392453</v>
      </c>
      <c r="Q215">
        <f t="shared" si="69"/>
        <v>0</v>
      </c>
      <c r="R215" s="29">
        <f t="shared" si="70"/>
        <v>16062.628182392453</v>
      </c>
      <c r="S215" s="29">
        <f t="shared" si="62"/>
        <v>16062.628182392453</v>
      </c>
      <c r="T215" s="29">
        <f t="shared" si="71"/>
        <v>16062.628182392453</v>
      </c>
      <c r="U215">
        <f t="shared" si="72"/>
        <v>0</v>
      </c>
      <c r="V215" s="29">
        <f t="shared" si="73"/>
        <v>16062.628182392453</v>
      </c>
      <c r="W215" s="29">
        <f t="shared" si="63"/>
        <v>16062.628182392453</v>
      </c>
      <c r="X215" s="29">
        <f t="shared" si="74"/>
        <v>16062.628182392453</v>
      </c>
      <c r="Y215">
        <f t="shared" si="75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allocations'!$A$1:$L$317,4,FALSE)</f>
        <v>11519.321880756779</v>
      </c>
      <c r="E216" s="31">
        <f>VLOOKUP(B216,'Initial adjusted formula count'!$A$1:$P$317,12,FALSE)</f>
        <v>0.14380739082834301</v>
      </c>
      <c r="F216">
        <f>VLOOKUP(B216,'Model allocations'!$A$1:$L$317,9,FALSE)</f>
        <v>5695.3417439157538</v>
      </c>
      <c r="G216" s="30">
        <f t="shared" si="64"/>
        <v>0.85</v>
      </c>
      <c r="H216">
        <f t="shared" si="65"/>
        <v>9791.4235986432614</v>
      </c>
      <c r="I216">
        <f t="shared" si="57"/>
        <v>9791.4235986432614</v>
      </c>
      <c r="J216">
        <f t="shared" si="58"/>
        <v>0</v>
      </c>
      <c r="K216">
        <f t="shared" si="59"/>
        <v>0</v>
      </c>
      <c r="L216">
        <f t="shared" si="66"/>
        <v>9791.4235986432614</v>
      </c>
      <c r="M216">
        <f t="shared" si="60"/>
        <v>0</v>
      </c>
      <c r="N216" s="29">
        <f t="shared" si="67"/>
        <v>0</v>
      </c>
      <c r="O216" s="29">
        <f t="shared" si="61"/>
        <v>0</v>
      </c>
      <c r="P216" s="29">
        <f t="shared" si="68"/>
        <v>9791.4235986432614</v>
      </c>
      <c r="Q216">
        <f t="shared" si="69"/>
        <v>0</v>
      </c>
      <c r="R216" s="29">
        <f t="shared" si="70"/>
        <v>0</v>
      </c>
      <c r="S216" s="29">
        <f t="shared" si="62"/>
        <v>0</v>
      </c>
      <c r="T216" s="29">
        <f t="shared" si="71"/>
        <v>9791.4235986432614</v>
      </c>
      <c r="U216">
        <f t="shared" si="72"/>
        <v>0</v>
      </c>
      <c r="V216" s="29">
        <f t="shared" si="73"/>
        <v>0</v>
      </c>
      <c r="W216" s="29">
        <f t="shared" si="63"/>
        <v>0</v>
      </c>
      <c r="X216" s="29">
        <f t="shared" si="74"/>
        <v>9791.4235986432614</v>
      </c>
      <c r="Y216">
        <f t="shared" si="75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allocations'!$A$1:$L$317,4,FALSE)</f>
        <v>25162.38867802906</v>
      </c>
      <c r="E217" s="31">
        <f>VLOOKUP(B217,'Initial adjusted formula count'!$A$1:$P$317,12,FALSE)</f>
        <v>0.19674796747967499</v>
      </c>
      <c r="F217">
        <f>VLOOKUP(B217,'Model allocations'!$A$1:$L$317,9,FALSE)</f>
        <v>28313.244306499073</v>
      </c>
      <c r="G217" s="30">
        <f t="shared" si="64"/>
        <v>0.9</v>
      </c>
      <c r="H217">
        <f t="shared" si="65"/>
        <v>22646.149810226154</v>
      </c>
      <c r="I217">
        <f t="shared" si="57"/>
        <v>0</v>
      </c>
      <c r="J217">
        <f t="shared" si="58"/>
        <v>28313.244306499073</v>
      </c>
      <c r="K217">
        <f t="shared" si="59"/>
        <v>28289.305235849435</v>
      </c>
      <c r="L217">
        <f t="shared" si="66"/>
        <v>28289.305235849435</v>
      </c>
      <c r="M217">
        <f t="shared" si="60"/>
        <v>0</v>
      </c>
      <c r="N217" s="29">
        <f t="shared" si="67"/>
        <v>28289.305235849435</v>
      </c>
      <c r="O217" s="29">
        <f t="shared" si="61"/>
        <v>28281.999373902334</v>
      </c>
      <c r="P217" s="29">
        <f t="shared" si="68"/>
        <v>28281.999373902334</v>
      </c>
      <c r="Q217">
        <f t="shared" si="69"/>
        <v>0</v>
      </c>
      <c r="R217" s="29">
        <f t="shared" si="70"/>
        <v>28281.999373902334</v>
      </c>
      <c r="S217" s="29">
        <f t="shared" si="62"/>
        <v>28281.999373902334</v>
      </c>
      <c r="T217" s="29">
        <f t="shared" si="71"/>
        <v>28281.999373902334</v>
      </c>
      <c r="U217">
        <f t="shared" si="72"/>
        <v>0</v>
      </c>
      <c r="V217" s="29">
        <f t="shared" si="73"/>
        <v>28281.999373902334</v>
      </c>
      <c r="W217" s="29">
        <f t="shared" si="63"/>
        <v>28281.999373902334</v>
      </c>
      <c r="X217" s="29">
        <f t="shared" si="74"/>
        <v>28281.999373902334</v>
      </c>
      <c r="Y217">
        <f t="shared" si="75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allocations'!$A$1:$L$317,4,FALSE)</f>
        <v>22403.442692420776</v>
      </c>
      <c r="E218" s="31">
        <f>VLOOKUP(B218,'Initial adjusted formula count'!$A$1:$P$317,12,FALSE)</f>
        <v>8.1000000000000003E-2</v>
      </c>
      <c r="F218">
        <f>VLOOKUP(B218,'Model allocations'!$A$1:$L$317,9,FALSE)</f>
        <v>19042.926288557661</v>
      </c>
      <c r="G218" s="30">
        <f t="shared" si="64"/>
        <v>0.85</v>
      </c>
      <c r="H218">
        <f t="shared" si="65"/>
        <v>19042.926288557661</v>
      </c>
      <c r="I218">
        <f t="shared" si="57"/>
        <v>0</v>
      </c>
      <c r="J218">
        <f t="shared" si="58"/>
        <v>19042.926288557661</v>
      </c>
      <c r="K218">
        <f t="shared" si="59"/>
        <v>19026.825344672081</v>
      </c>
      <c r="L218">
        <f t="shared" si="66"/>
        <v>19026.825344672081</v>
      </c>
      <c r="M218">
        <f t="shared" si="60"/>
        <v>19042.926288557661</v>
      </c>
      <c r="N218" s="29">
        <f t="shared" si="67"/>
        <v>0</v>
      </c>
      <c r="O218" s="29">
        <f t="shared" si="61"/>
        <v>0</v>
      </c>
      <c r="P218" s="29">
        <f t="shared" si="68"/>
        <v>19042.926288557661</v>
      </c>
      <c r="Q218">
        <f t="shared" si="69"/>
        <v>0</v>
      </c>
      <c r="R218" s="29">
        <f t="shared" si="70"/>
        <v>0</v>
      </c>
      <c r="S218" s="29">
        <f t="shared" si="62"/>
        <v>0</v>
      </c>
      <c r="T218" s="29">
        <f t="shared" si="71"/>
        <v>19042.926288557661</v>
      </c>
      <c r="U218">
        <f t="shared" si="72"/>
        <v>0</v>
      </c>
      <c r="V218" s="29">
        <f t="shared" si="73"/>
        <v>0</v>
      </c>
      <c r="W218" s="29">
        <f t="shared" si="63"/>
        <v>0</v>
      </c>
      <c r="X218" s="29">
        <f t="shared" si="74"/>
        <v>19042.926288557661</v>
      </c>
      <c r="Y218">
        <f t="shared" si="75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allocations'!$A$1:$L$317,4,FALSE)</f>
        <v>0</v>
      </c>
      <c r="E219" s="31">
        <f>VLOOKUP(B219,'Initial adjusted formula count'!$A$1:$P$317,12,FALSE)</f>
        <v>0.13406075414032301</v>
      </c>
      <c r="F219">
        <f>VLOOKUP(B219,'Model allocations'!$A$1:$L$317,9,FALSE)</f>
        <v>0</v>
      </c>
      <c r="G219" s="30">
        <f t="shared" si="64"/>
        <v>0.85</v>
      </c>
      <c r="H219">
        <f t="shared" si="65"/>
        <v>0</v>
      </c>
      <c r="I219">
        <f t="shared" si="57"/>
        <v>0</v>
      </c>
      <c r="J219">
        <f t="shared" si="58"/>
        <v>0</v>
      </c>
      <c r="K219">
        <f t="shared" si="59"/>
        <v>0</v>
      </c>
      <c r="L219">
        <f t="shared" si="66"/>
        <v>0</v>
      </c>
      <c r="M219">
        <f t="shared" si="60"/>
        <v>0</v>
      </c>
      <c r="N219" s="29">
        <f t="shared" si="67"/>
        <v>0</v>
      </c>
      <c r="O219" s="29">
        <f t="shared" si="61"/>
        <v>0</v>
      </c>
      <c r="P219" s="29">
        <f t="shared" si="68"/>
        <v>0</v>
      </c>
      <c r="Q219">
        <f t="shared" si="69"/>
        <v>0</v>
      </c>
      <c r="R219" s="29">
        <f t="shared" si="70"/>
        <v>0</v>
      </c>
      <c r="S219" s="29">
        <f t="shared" si="62"/>
        <v>0</v>
      </c>
      <c r="T219" s="29">
        <f t="shared" si="71"/>
        <v>0</v>
      </c>
      <c r="U219">
        <f t="shared" si="72"/>
        <v>0</v>
      </c>
      <c r="V219" s="29">
        <f t="shared" si="73"/>
        <v>0</v>
      </c>
      <c r="W219" s="29">
        <f t="shared" si="63"/>
        <v>0</v>
      </c>
      <c r="X219" s="29">
        <f t="shared" si="74"/>
        <v>0</v>
      </c>
      <c r="Y219">
        <f t="shared" si="75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allocations'!$A$1:$L$317,4,FALSE)</f>
        <v>20175.248579680941</v>
      </c>
      <c r="E220" s="31">
        <f>VLOOKUP(B220,'Initial adjusted formula count'!$A$1:$P$317,12,FALSE)</f>
        <v>0.24</v>
      </c>
      <c r="F220">
        <f>VLOOKUP(B220,'Model allocations'!$A$1:$L$317,9,FALSE)</f>
        <v>21059.437913924936</v>
      </c>
      <c r="G220" s="30">
        <f t="shared" si="64"/>
        <v>0.9</v>
      </c>
      <c r="H220">
        <f t="shared" si="65"/>
        <v>18157.72372171285</v>
      </c>
      <c r="I220">
        <f t="shared" si="57"/>
        <v>0</v>
      </c>
      <c r="J220">
        <f t="shared" si="58"/>
        <v>21059.437913924936</v>
      </c>
      <c r="K220">
        <f t="shared" si="59"/>
        <v>21041.631993607025</v>
      </c>
      <c r="L220">
        <f t="shared" si="66"/>
        <v>21041.631993607025</v>
      </c>
      <c r="M220">
        <f t="shared" si="60"/>
        <v>0</v>
      </c>
      <c r="N220" s="29">
        <f t="shared" si="67"/>
        <v>21041.631993607025</v>
      </c>
      <c r="O220" s="29">
        <f t="shared" si="61"/>
        <v>21036.197881414966</v>
      </c>
      <c r="P220" s="29">
        <f t="shared" si="68"/>
        <v>21036.197881414966</v>
      </c>
      <c r="Q220">
        <f t="shared" si="69"/>
        <v>0</v>
      </c>
      <c r="R220" s="29">
        <f t="shared" si="70"/>
        <v>21036.197881414966</v>
      </c>
      <c r="S220" s="29">
        <f t="shared" si="62"/>
        <v>21036.197881414966</v>
      </c>
      <c r="T220" s="29">
        <f t="shared" si="71"/>
        <v>21036.197881414966</v>
      </c>
      <c r="U220">
        <f t="shared" si="72"/>
        <v>0</v>
      </c>
      <c r="V220" s="29">
        <f t="shared" si="73"/>
        <v>21036.197881414966</v>
      </c>
      <c r="W220" s="29">
        <f t="shared" si="63"/>
        <v>21036.197881414966</v>
      </c>
      <c r="X220" s="29">
        <f t="shared" si="74"/>
        <v>21036.197881414966</v>
      </c>
      <c r="Y220">
        <f t="shared" si="75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allocations'!$A$1:$L$317,4,FALSE)</f>
        <v>0</v>
      </c>
      <c r="E221" s="31">
        <f>VLOOKUP(B221,'Initial adjusted formula count'!$A$1:$P$317,12,FALSE)</f>
        <v>9.5232048758809001E-2</v>
      </c>
      <c r="F221">
        <f>VLOOKUP(B221,'Model allocations'!$A$1:$L$317,9,FALSE)</f>
        <v>0</v>
      </c>
      <c r="G221" s="30">
        <f t="shared" si="64"/>
        <v>0.85</v>
      </c>
      <c r="H221">
        <f t="shared" si="65"/>
        <v>0</v>
      </c>
      <c r="I221">
        <f t="shared" si="57"/>
        <v>0</v>
      </c>
      <c r="J221">
        <f t="shared" si="58"/>
        <v>0</v>
      </c>
      <c r="K221">
        <f t="shared" si="59"/>
        <v>0</v>
      </c>
      <c r="L221">
        <f t="shared" si="66"/>
        <v>0</v>
      </c>
      <c r="M221">
        <f t="shared" si="60"/>
        <v>0</v>
      </c>
      <c r="N221" s="29">
        <f t="shared" si="67"/>
        <v>0</v>
      </c>
      <c r="O221" s="29">
        <f t="shared" si="61"/>
        <v>0</v>
      </c>
      <c r="P221" s="29">
        <f t="shared" si="68"/>
        <v>0</v>
      </c>
      <c r="Q221">
        <f t="shared" si="69"/>
        <v>0</v>
      </c>
      <c r="R221" s="29">
        <f t="shared" si="70"/>
        <v>0</v>
      </c>
      <c r="S221" s="29">
        <f t="shared" si="62"/>
        <v>0</v>
      </c>
      <c r="T221" s="29">
        <f t="shared" si="71"/>
        <v>0</v>
      </c>
      <c r="U221">
        <f t="shared" si="72"/>
        <v>0</v>
      </c>
      <c r="V221" s="29">
        <f t="shared" si="73"/>
        <v>0</v>
      </c>
      <c r="W221" s="29">
        <f t="shared" si="63"/>
        <v>0</v>
      </c>
      <c r="X221" s="29">
        <f t="shared" si="74"/>
        <v>0</v>
      </c>
      <c r="Y221">
        <f t="shared" si="75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allocations'!$A$1:$L$317,4,FALSE)</f>
        <v>0</v>
      </c>
      <c r="E222" s="31">
        <f>VLOOKUP(B222,'Initial adjusted formula count'!$A$1:$P$317,12,FALSE)</f>
        <v>4.2256902761104401E-2</v>
      </c>
      <c r="F222">
        <f>VLOOKUP(B222,'Model allocations'!$A$1:$L$317,9,FALSE)</f>
        <v>0</v>
      </c>
      <c r="G222" s="30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29">
        <f t="shared" si="67"/>
        <v>0</v>
      </c>
      <c r="O222" s="29">
        <f t="shared" si="61"/>
        <v>0</v>
      </c>
      <c r="P222" s="29">
        <f t="shared" si="68"/>
        <v>0</v>
      </c>
      <c r="Q222">
        <f t="shared" si="69"/>
        <v>0</v>
      </c>
      <c r="R222" s="29">
        <f t="shared" si="70"/>
        <v>0</v>
      </c>
      <c r="S222" s="29">
        <f t="shared" si="62"/>
        <v>0</v>
      </c>
      <c r="T222" s="29">
        <f t="shared" si="71"/>
        <v>0</v>
      </c>
      <c r="U222">
        <f t="shared" si="72"/>
        <v>0</v>
      </c>
      <c r="V222" s="29">
        <f t="shared" si="73"/>
        <v>0</v>
      </c>
      <c r="W222" s="29">
        <f t="shared" si="63"/>
        <v>0</v>
      </c>
      <c r="X222" s="29">
        <f t="shared" si="74"/>
        <v>0</v>
      </c>
      <c r="Y222">
        <f t="shared" si="75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allocations'!$A$1:$L$317,4,FALSE)</f>
        <v>0</v>
      </c>
      <c r="E223" s="31">
        <f>VLOOKUP(B223,'Initial adjusted formula count'!$A$1:$P$317,12,FALSE)</f>
        <v>0.115942028985507</v>
      </c>
      <c r="F223">
        <f>VLOOKUP(B223,'Model allocations'!$A$1:$L$317,9,FALSE)</f>
        <v>0</v>
      </c>
      <c r="G223" s="30">
        <f t="shared" si="64"/>
        <v>0.85</v>
      </c>
      <c r="H223">
        <f t="shared" si="65"/>
        <v>0</v>
      </c>
      <c r="I223">
        <f t="shared" si="57"/>
        <v>0</v>
      </c>
      <c r="J223">
        <f t="shared" si="58"/>
        <v>0</v>
      </c>
      <c r="K223">
        <f t="shared" si="59"/>
        <v>0</v>
      </c>
      <c r="L223">
        <f t="shared" si="66"/>
        <v>0</v>
      </c>
      <c r="M223">
        <f t="shared" si="60"/>
        <v>0</v>
      </c>
      <c r="N223" s="29">
        <f t="shared" si="67"/>
        <v>0</v>
      </c>
      <c r="O223" s="29">
        <f t="shared" si="61"/>
        <v>0</v>
      </c>
      <c r="P223" s="29">
        <f t="shared" si="68"/>
        <v>0</v>
      </c>
      <c r="Q223">
        <f t="shared" si="69"/>
        <v>0</v>
      </c>
      <c r="R223" s="29">
        <f t="shared" si="70"/>
        <v>0</v>
      </c>
      <c r="S223" s="29">
        <f t="shared" si="62"/>
        <v>0</v>
      </c>
      <c r="T223" s="29">
        <f t="shared" si="71"/>
        <v>0</v>
      </c>
      <c r="U223">
        <f t="shared" si="72"/>
        <v>0</v>
      </c>
      <c r="V223" s="29">
        <f t="shared" si="73"/>
        <v>0</v>
      </c>
      <c r="W223" s="29">
        <f t="shared" si="63"/>
        <v>0</v>
      </c>
      <c r="X223" s="29">
        <f t="shared" si="74"/>
        <v>0</v>
      </c>
      <c r="Y223">
        <f t="shared" si="75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allocations'!$A$1:$L$317,4,FALSE)</f>
        <v>0</v>
      </c>
      <c r="E224" s="31">
        <f>VLOOKUP(B224,'Initial adjusted formula count'!$A$1:$P$317,12,FALSE)</f>
        <v>0.12299465240641699</v>
      </c>
      <c r="F224">
        <f>VLOOKUP(B224,'Model allocations'!$A$1:$L$317,9,FALSE)</f>
        <v>0</v>
      </c>
      <c r="G224" s="30">
        <f t="shared" si="64"/>
        <v>0.85</v>
      </c>
      <c r="H224">
        <f t="shared" si="65"/>
        <v>0</v>
      </c>
      <c r="I224">
        <f t="shared" si="57"/>
        <v>0</v>
      </c>
      <c r="J224">
        <f t="shared" si="58"/>
        <v>0</v>
      </c>
      <c r="K224">
        <f t="shared" si="59"/>
        <v>0</v>
      </c>
      <c r="L224">
        <f t="shared" si="66"/>
        <v>0</v>
      </c>
      <c r="M224">
        <f t="shared" si="60"/>
        <v>0</v>
      </c>
      <c r="N224" s="29">
        <f t="shared" si="67"/>
        <v>0</v>
      </c>
      <c r="O224" s="29">
        <f t="shared" si="61"/>
        <v>0</v>
      </c>
      <c r="P224" s="29">
        <f t="shared" si="68"/>
        <v>0</v>
      </c>
      <c r="Q224">
        <f t="shared" si="69"/>
        <v>0</v>
      </c>
      <c r="R224" s="29">
        <f t="shared" si="70"/>
        <v>0</v>
      </c>
      <c r="S224" s="29">
        <f t="shared" si="62"/>
        <v>0</v>
      </c>
      <c r="T224" s="29">
        <f t="shared" si="71"/>
        <v>0</v>
      </c>
      <c r="U224">
        <f t="shared" si="72"/>
        <v>0</v>
      </c>
      <c r="V224" s="29">
        <f t="shared" si="73"/>
        <v>0</v>
      </c>
      <c r="W224" s="29">
        <f t="shared" si="63"/>
        <v>0</v>
      </c>
      <c r="X224" s="29">
        <f t="shared" si="74"/>
        <v>0</v>
      </c>
      <c r="Y224">
        <f t="shared" si="75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allocations'!$A$1:$L$317,4,FALSE)</f>
        <v>0</v>
      </c>
      <c r="E225" s="31">
        <f>VLOOKUP(B225,'Initial adjusted formula count'!$A$1:$P$317,12,FALSE)</f>
        <v>3.3472803347280297E-2</v>
      </c>
      <c r="F225">
        <f>VLOOKUP(B225,'Model allocations'!$A$1:$L$317,9,FALSE)</f>
        <v>0</v>
      </c>
      <c r="G225" s="30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29">
        <f t="shared" si="67"/>
        <v>0</v>
      </c>
      <c r="O225" s="29">
        <f t="shared" si="61"/>
        <v>0</v>
      </c>
      <c r="P225" s="29">
        <f t="shared" si="68"/>
        <v>0</v>
      </c>
      <c r="Q225">
        <f t="shared" si="69"/>
        <v>0</v>
      </c>
      <c r="R225" s="29">
        <f t="shared" si="70"/>
        <v>0</v>
      </c>
      <c r="S225" s="29">
        <f t="shared" si="62"/>
        <v>0</v>
      </c>
      <c r="T225" s="29">
        <f t="shared" si="71"/>
        <v>0</v>
      </c>
      <c r="U225">
        <f t="shared" si="72"/>
        <v>0</v>
      </c>
      <c r="V225" s="29">
        <f t="shared" si="73"/>
        <v>0</v>
      </c>
      <c r="W225" s="29">
        <f t="shared" si="63"/>
        <v>0</v>
      </c>
      <c r="X225" s="29">
        <f t="shared" si="74"/>
        <v>0</v>
      </c>
      <c r="Y225">
        <f t="shared" si="75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allocations'!$A$1:$L$317,4,FALSE)</f>
        <v>58523.670500309971</v>
      </c>
      <c r="E226" s="31">
        <f>VLOOKUP(B226,'Initial adjusted formula count'!$A$1:$P$317,12,FALSE)</f>
        <v>0.10241935483870999</v>
      </c>
      <c r="F226">
        <f>VLOOKUP(B226,'Model allocations'!$A$1:$L$317,9,FALSE)</f>
        <v>49745.119925263476</v>
      </c>
      <c r="G226" s="30">
        <f t="shared" si="64"/>
        <v>0.85</v>
      </c>
      <c r="H226">
        <f t="shared" si="65"/>
        <v>49745.119925263476</v>
      </c>
      <c r="I226">
        <f t="shared" si="57"/>
        <v>0</v>
      </c>
      <c r="J226">
        <f t="shared" si="58"/>
        <v>49745.119925263476</v>
      </c>
      <c r="K226">
        <f t="shared" si="59"/>
        <v>49703.060035288509</v>
      </c>
      <c r="L226">
        <f t="shared" si="66"/>
        <v>49703.060035288509</v>
      </c>
      <c r="M226">
        <f t="shared" si="60"/>
        <v>49745.119925263476</v>
      </c>
      <c r="N226" s="29">
        <f t="shared" si="67"/>
        <v>0</v>
      </c>
      <c r="O226" s="29">
        <f t="shared" si="61"/>
        <v>0</v>
      </c>
      <c r="P226" s="29">
        <f t="shared" si="68"/>
        <v>49745.119925263476</v>
      </c>
      <c r="Q226">
        <f t="shared" si="69"/>
        <v>0</v>
      </c>
      <c r="R226" s="29">
        <f t="shared" si="70"/>
        <v>0</v>
      </c>
      <c r="S226" s="29">
        <f t="shared" si="62"/>
        <v>0</v>
      </c>
      <c r="T226" s="29">
        <f t="shared" si="71"/>
        <v>49745.119925263476</v>
      </c>
      <c r="U226">
        <f t="shared" si="72"/>
        <v>0</v>
      </c>
      <c r="V226" s="29">
        <f t="shared" si="73"/>
        <v>0</v>
      </c>
      <c r="W226" s="29">
        <f t="shared" si="63"/>
        <v>0</v>
      </c>
      <c r="X226" s="29">
        <f t="shared" si="74"/>
        <v>49745.119925263476</v>
      </c>
      <c r="Y226">
        <f t="shared" si="75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allocations'!$A$1:$L$317,4,FALSE)</f>
        <v>1798.5848221144099</v>
      </c>
      <c r="E227" s="31">
        <f>VLOOKUP(B227,'Initial adjusted formula count'!$A$1:$P$317,12,FALSE)</f>
        <v>9.3023255813953501E-2</v>
      </c>
      <c r="F227">
        <f>VLOOKUP(B227,'Model allocations'!$A$1:$L$317,9,FALSE)</f>
        <v>1528.7970987972483</v>
      </c>
      <c r="G227" s="30">
        <f t="shared" si="64"/>
        <v>0.85</v>
      </c>
      <c r="H227">
        <f t="shared" si="65"/>
        <v>1528.7970987972483</v>
      </c>
      <c r="I227">
        <f t="shared" si="57"/>
        <v>0</v>
      </c>
      <c r="J227">
        <f t="shared" si="58"/>
        <v>1528.7970987972483</v>
      </c>
      <c r="K227">
        <f t="shared" si="59"/>
        <v>1527.5044888313651</v>
      </c>
      <c r="L227">
        <f t="shared" si="66"/>
        <v>1527.5044888313651</v>
      </c>
      <c r="M227">
        <f t="shared" si="60"/>
        <v>1528.7970987972483</v>
      </c>
      <c r="N227" s="29">
        <f t="shared" si="67"/>
        <v>0</v>
      </c>
      <c r="O227" s="29">
        <f t="shared" si="61"/>
        <v>0</v>
      </c>
      <c r="P227" s="29">
        <f t="shared" si="68"/>
        <v>1528.7970987972483</v>
      </c>
      <c r="Q227">
        <f t="shared" si="69"/>
        <v>0</v>
      </c>
      <c r="R227" s="29">
        <f t="shared" si="70"/>
        <v>0</v>
      </c>
      <c r="S227" s="29">
        <f t="shared" si="62"/>
        <v>0</v>
      </c>
      <c r="T227" s="29">
        <f t="shared" si="71"/>
        <v>1528.7970987972483</v>
      </c>
      <c r="U227">
        <f t="shared" si="72"/>
        <v>0</v>
      </c>
      <c r="V227" s="29">
        <f t="shared" si="73"/>
        <v>0</v>
      </c>
      <c r="W227" s="29">
        <f t="shared" si="63"/>
        <v>0</v>
      </c>
      <c r="X227" s="29">
        <f t="shared" si="74"/>
        <v>1528.7970987972483</v>
      </c>
      <c r="Y227">
        <f t="shared" si="75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allocations'!$A$1:$L$317,4,FALSE)</f>
        <v>6834.6223240347581</v>
      </c>
      <c r="E228" s="31">
        <f>VLOOKUP(B228,'Initial adjusted formula count'!$A$1:$P$317,12,FALSE)</f>
        <v>0.19028340080971701</v>
      </c>
      <c r="F228">
        <f>VLOOKUP(B228,'Model allocations'!$A$1:$L$317,9,FALSE)</f>
        <v>10997.706466160796</v>
      </c>
      <c r="G228" s="30">
        <f t="shared" si="64"/>
        <v>0.9</v>
      </c>
      <c r="H228">
        <f t="shared" si="65"/>
        <v>6151.1600916312827</v>
      </c>
      <c r="I228">
        <f t="shared" si="57"/>
        <v>0</v>
      </c>
      <c r="J228">
        <f t="shared" si="58"/>
        <v>10997.706466160796</v>
      </c>
      <c r="K228">
        <f t="shared" si="59"/>
        <v>10988.407818883665</v>
      </c>
      <c r="L228">
        <f t="shared" si="66"/>
        <v>10988.407818883665</v>
      </c>
      <c r="M228">
        <f t="shared" si="60"/>
        <v>0</v>
      </c>
      <c r="N228" s="29">
        <f t="shared" si="67"/>
        <v>10988.407818883665</v>
      </c>
      <c r="O228" s="29">
        <f t="shared" si="61"/>
        <v>10985.570004738922</v>
      </c>
      <c r="P228" s="29">
        <f t="shared" si="68"/>
        <v>10985.570004738922</v>
      </c>
      <c r="Q228">
        <f t="shared" si="69"/>
        <v>0</v>
      </c>
      <c r="R228" s="29">
        <f t="shared" si="70"/>
        <v>10985.570004738922</v>
      </c>
      <c r="S228" s="29">
        <f t="shared" si="62"/>
        <v>10985.570004738922</v>
      </c>
      <c r="T228" s="29">
        <f t="shared" si="71"/>
        <v>10985.570004738922</v>
      </c>
      <c r="U228">
        <f t="shared" si="72"/>
        <v>0</v>
      </c>
      <c r="V228" s="29">
        <f t="shared" si="73"/>
        <v>10985.570004738922</v>
      </c>
      <c r="W228" s="29">
        <f t="shared" si="63"/>
        <v>10985.570004738922</v>
      </c>
      <c r="X228" s="29">
        <f t="shared" si="74"/>
        <v>10985.570004738922</v>
      </c>
      <c r="Y228">
        <f t="shared" si="75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allocations'!$A$1:$L$317,4,FALSE)</f>
        <v>61612.428665154868</v>
      </c>
      <c r="E229" s="31">
        <f>VLOOKUP(B229,'Initial adjusted formula count'!$A$1:$P$317,12,FALSE)</f>
        <v>0.13964784456587701</v>
      </c>
      <c r="F229">
        <f>VLOOKUP(B229,'Model allocations'!$A$1:$L$317,9,FALSE)</f>
        <v>52370.564365381637</v>
      </c>
      <c r="G229" s="30">
        <f t="shared" si="64"/>
        <v>0.85</v>
      </c>
      <c r="H229">
        <f t="shared" si="65"/>
        <v>52370.564365381637</v>
      </c>
      <c r="I229">
        <f t="shared" si="57"/>
        <v>0</v>
      </c>
      <c r="J229">
        <f t="shared" si="58"/>
        <v>52370.564365381637</v>
      </c>
      <c r="K229">
        <f t="shared" si="59"/>
        <v>52326.284641492253</v>
      </c>
      <c r="L229">
        <f t="shared" si="66"/>
        <v>52326.284641492253</v>
      </c>
      <c r="M229">
        <f t="shared" si="60"/>
        <v>52370.564365381637</v>
      </c>
      <c r="N229" s="29">
        <f t="shared" si="67"/>
        <v>0</v>
      </c>
      <c r="O229" s="29">
        <f t="shared" si="61"/>
        <v>0</v>
      </c>
      <c r="P229" s="29">
        <f t="shared" si="68"/>
        <v>52370.564365381637</v>
      </c>
      <c r="Q229">
        <f t="shared" si="69"/>
        <v>0</v>
      </c>
      <c r="R229" s="29">
        <f t="shared" si="70"/>
        <v>0</v>
      </c>
      <c r="S229" s="29">
        <f t="shared" si="62"/>
        <v>0</v>
      </c>
      <c r="T229" s="29">
        <f t="shared" si="71"/>
        <v>52370.564365381637</v>
      </c>
      <c r="U229">
        <f t="shared" si="72"/>
        <v>0</v>
      </c>
      <c r="V229" s="29">
        <f t="shared" si="73"/>
        <v>0</v>
      </c>
      <c r="W229" s="29">
        <f t="shared" si="63"/>
        <v>0</v>
      </c>
      <c r="X229" s="29">
        <f t="shared" si="74"/>
        <v>52370.564365381637</v>
      </c>
      <c r="Y229">
        <f t="shared" si="75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allocations'!$A$1:$L$317,4,FALSE)</f>
        <v>0</v>
      </c>
      <c r="E230" s="31">
        <f>VLOOKUP(B230,'Initial adjusted formula count'!$A$1:$P$317,12,FALSE)</f>
        <v>0.1</v>
      </c>
      <c r="F230">
        <f>VLOOKUP(B230,'Model allocations'!$A$1:$L$317,9,FALSE)</f>
        <v>0</v>
      </c>
      <c r="G230" s="30">
        <f t="shared" si="64"/>
        <v>0.85</v>
      </c>
      <c r="H230">
        <f t="shared" si="65"/>
        <v>0</v>
      </c>
      <c r="I230">
        <f t="shared" si="57"/>
        <v>0</v>
      </c>
      <c r="J230">
        <f t="shared" si="58"/>
        <v>0</v>
      </c>
      <c r="K230">
        <f t="shared" si="59"/>
        <v>0</v>
      </c>
      <c r="L230">
        <f t="shared" si="66"/>
        <v>0</v>
      </c>
      <c r="M230">
        <f t="shared" si="60"/>
        <v>0</v>
      </c>
      <c r="N230" s="29">
        <f t="shared" si="67"/>
        <v>0</v>
      </c>
      <c r="O230" s="29">
        <f t="shared" si="61"/>
        <v>0</v>
      </c>
      <c r="P230" s="29">
        <f t="shared" si="68"/>
        <v>0</v>
      </c>
      <c r="Q230">
        <f t="shared" si="69"/>
        <v>0</v>
      </c>
      <c r="R230" s="29">
        <f t="shared" si="70"/>
        <v>0</v>
      </c>
      <c r="S230" s="29">
        <f t="shared" si="62"/>
        <v>0</v>
      </c>
      <c r="T230" s="29">
        <f t="shared" si="71"/>
        <v>0</v>
      </c>
      <c r="U230">
        <f t="shared" si="72"/>
        <v>0</v>
      </c>
      <c r="V230" s="29">
        <f t="shared" si="73"/>
        <v>0</v>
      </c>
      <c r="W230" s="29">
        <f t="shared" si="63"/>
        <v>0</v>
      </c>
      <c r="X230" s="29">
        <f t="shared" si="74"/>
        <v>0</v>
      </c>
      <c r="Y230">
        <f t="shared" si="75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allocations'!$A$1:$L$317,4,FALSE)</f>
        <v>4189.6446444547455</v>
      </c>
      <c r="E231" s="31">
        <f>VLOOKUP(B231,'Initial adjusted formula count'!$A$1:$P$317,12,FALSE)</f>
        <v>0.13636363636363599</v>
      </c>
      <c r="F231">
        <f>VLOOKUP(B231,'Model allocations'!$A$1:$L$317,9,FALSE)</f>
        <v>3561.1979477865334</v>
      </c>
      <c r="G231" s="30">
        <f t="shared" si="64"/>
        <v>0.85</v>
      </c>
      <c r="H231">
        <f t="shared" si="65"/>
        <v>3561.1979477865334</v>
      </c>
      <c r="I231">
        <f t="shared" si="57"/>
        <v>0</v>
      </c>
      <c r="J231">
        <f t="shared" si="58"/>
        <v>3561.1979477865334</v>
      </c>
      <c r="K231">
        <f t="shared" si="59"/>
        <v>3558.1869269248286</v>
      </c>
      <c r="L231">
        <f t="shared" si="66"/>
        <v>3558.1869269248286</v>
      </c>
      <c r="M231">
        <f t="shared" si="60"/>
        <v>3561.1979477865334</v>
      </c>
      <c r="N231" s="29">
        <f t="shared" si="67"/>
        <v>0</v>
      </c>
      <c r="O231" s="29">
        <f t="shared" si="61"/>
        <v>0</v>
      </c>
      <c r="P231" s="29">
        <f t="shared" si="68"/>
        <v>3561.1979477865334</v>
      </c>
      <c r="Q231">
        <f t="shared" si="69"/>
        <v>0</v>
      </c>
      <c r="R231" s="29">
        <f t="shared" si="70"/>
        <v>0</v>
      </c>
      <c r="S231" s="29">
        <f t="shared" si="62"/>
        <v>0</v>
      </c>
      <c r="T231" s="29">
        <f t="shared" si="71"/>
        <v>3561.1979477865334</v>
      </c>
      <c r="U231">
        <f t="shared" si="72"/>
        <v>0</v>
      </c>
      <c r="V231" s="29">
        <f t="shared" si="73"/>
        <v>0</v>
      </c>
      <c r="W231" s="29">
        <f t="shared" si="63"/>
        <v>0</v>
      </c>
      <c r="X231" s="29">
        <f t="shared" si="74"/>
        <v>3561.1979477865334</v>
      </c>
      <c r="Y231">
        <f t="shared" si="75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allocations'!$A$1:$L$317,4,FALSE)</f>
        <v>0</v>
      </c>
      <c r="E232" s="31">
        <f>VLOOKUP(B232,'Initial adjusted formula count'!$A$1:$P$317,12,FALSE)</f>
        <v>0.13881734580133701</v>
      </c>
      <c r="F232">
        <f>VLOOKUP(B232,'Model allocations'!$A$1:$L$317,9,FALSE)</f>
        <v>0</v>
      </c>
      <c r="G232" s="30">
        <f t="shared" si="64"/>
        <v>0.85</v>
      </c>
      <c r="H232">
        <f t="shared" si="65"/>
        <v>0</v>
      </c>
      <c r="I232">
        <f t="shared" si="57"/>
        <v>0</v>
      </c>
      <c r="J232">
        <f t="shared" si="58"/>
        <v>0</v>
      </c>
      <c r="K232">
        <f t="shared" si="59"/>
        <v>0</v>
      </c>
      <c r="L232">
        <f t="shared" si="66"/>
        <v>0</v>
      </c>
      <c r="M232">
        <f t="shared" si="60"/>
        <v>0</v>
      </c>
      <c r="N232" s="29">
        <f t="shared" si="67"/>
        <v>0</v>
      </c>
      <c r="O232" s="29">
        <f t="shared" si="61"/>
        <v>0</v>
      </c>
      <c r="P232" s="29">
        <f t="shared" si="68"/>
        <v>0</v>
      </c>
      <c r="Q232">
        <f t="shared" si="69"/>
        <v>0</v>
      </c>
      <c r="R232" s="29">
        <f t="shared" si="70"/>
        <v>0</v>
      </c>
      <c r="S232" s="29">
        <f t="shared" si="62"/>
        <v>0</v>
      </c>
      <c r="T232" s="29">
        <f t="shared" si="71"/>
        <v>0</v>
      </c>
      <c r="U232">
        <f t="shared" si="72"/>
        <v>0</v>
      </c>
      <c r="V232" s="29">
        <f t="shared" si="73"/>
        <v>0</v>
      </c>
      <c r="W232" s="29">
        <f t="shared" si="63"/>
        <v>0</v>
      </c>
      <c r="X232" s="29">
        <f t="shared" si="74"/>
        <v>0</v>
      </c>
      <c r="Y232">
        <f t="shared" si="75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allocations'!$A$1:$L$317,4,FALSE)</f>
        <v>0</v>
      </c>
      <c r="E233" s="31">
        <f>VLOOKUP(B233,'Initial adjusted formula count'!$A$1:$P$317,12,FALSE)</f>
        <v>6.8505523903888699E-2</v>
      </c>
      <c r="F233">
        <f>VLOOKUP(B233,'Model allocations'!$A$1:$L$317,9,FALSE)</f>
        <v>0</v>
      </c>
      <c r="G233" s="30">
        <f t="shared" si="64"/>
        <v>0.85</v>
      </c>
      <c r="H233">
        <f t="shared" si="6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6"/>
        <v>0</v>
      </c>
      <c r="M233">
        <f t="shared" si="60"/>
        <v>0</v>
      </c>
      <c r="N233" s="29">
        <f t="shared" si="67"/>
        <v>0</v>
      </c>
      <c r="O233" s="29">
        <f t="shared" si="61"/>
        <v>0</v>
      </c>
      <c r="P233" s="29">
        <f t="shared" si="68"/>
        <v>0</v>
      </c>
      <c r="Q233">
        <f t="shared" si="69"/>
        <v>0</v>
      </c>
      <c r="R233" s="29">
        <f t="shared" si="70"/>
        <v>0</v>
      </c>
      <c r="S233" s="29">
        <f t="shared" si="62"/>
        <v>0</v>
      </c>
      <c r="T233" s="29">
        <f t="shared" si="71"/>
        <v>0</v>
      </c>
      <c r="U233">
        <f t="shared" si="72"/>
        <v>0</v>
      </c>
      <c r="V233" s="29">
        <f t="shared" si="73"/>
        <v>0</v>
      </c>
      <c r="W233" s="29">
        <f t="shared" si="63"/>
        <v>0</v>
      </c>
      <c r="X233" s="29">
        <f t="shared" si="74"/>
        <v>0</v>
      </c>
      <c r="Y233">
        <f t="shared" si="75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allocations'!$A$1:$L$317,4,FALSE)</f>
        <v>1231452.7994660432</v>
      </c>
      <c r="E234" s="31">
        <f>VLOOKUP(B234,'Initial adjusted formula count'!$A$1:$P$317,12,FALSE)</f>
        <v>9.7120311358407194E-2</v>
      </c>
      <c r="F234">
        <f>VLOOKUP(B234,'Model allocations'!$A$1:$L$317,9,FALSE)</f>
        <v>1554386.4161261104</v>
      </c>
      <c r="G234" s="30">
        <f t="shared" si="64"/>
        <v>0.85</v>
      </c>
      <c r="H234">
        <f t="shared" si="65"/>
        <v>1046734.8795461367</v>
      </c>
      <c r="I234">
        <f t="shared" si="57"/>
        <v>0</v>
      </c>
      <c r="J234">
        <f t="shared" si="58"/>
        <v>1554386.4161261104</v>
      </c>
      <c r="K234">
        <f t="shared" si="59"/>
        <v>1553072.1701912514</v>
      </c>
      <c r="L234">
        <f t="shared" si="66"/>
        <v>1553072.1701912514</v>
      </c>
      <c r="M234">
        <f t="shared" si="60"/>
        <v>0</v>
      </c>
      <c r="N234" s="29">
        <f t="shared" si="67"/>
        <v>1553072.1701912514</v>
      </c>
      <c r="O234" s="29">
        <f t="shared" si="61"/>
        <v>1552671.0811303956</v>
      </c>
      <c r="P234" s="29">
        <f t="shared" si="68"/>
        <v>1552671.0811303956</v>
      </c>
      <c r="Q234">
        <f t="shared" si="69"/>
        <v>0</v>
      </c>
      <c r="R234" s="29">
        <f t="shared" si="70"/>
        <v>1552671.0811303956</v>
      </c>
      <c r="S234" s="29">
        <f t="shared" si="62"/>
        <v>1552671.0811303956</v>
      </c>
      <c r="T234" s="29">
        <f t="shared" si="71"/>
        <v>1552671.0811303956</v>
      </c>
      <c r="U234">
        <f t="shared" si="72"/>
        <v>0</v>
      </c>
      <c r="V234" s="29">
        <f t="shared" si="73"/>
        <v>1552671.0811303956</v>
      </c>
      <c r="W234" s="29">
        <f t="shared" si="63"/>
        <v>1552671.0811303956</v>
      </c>
      <c r="X234" s="29">
        <f t="shared" si="74"/>
        <v>1552671.0811303956</v>
      </c>
      <c r="Y234">
        <f t="shared" si="75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allocations'!$A$1:$L$317,4,FALSE)</f>
        <v>0</v>
      </c>
      <c r="E235" s="31">
        <f>VLOOKUP(B235,'Initial adjusted formula count'!$A$1:$P$317,12,FALSE)</f>
        <v>0.111395899053628</v>
      </c>
      <c r="F235">
        <f>VLOOKUP(B235,'Model allocations'!$A$1:$L$317,9,FALSE)</f>
        <v>0</v>
      </c>
      <c r="G235" s="30">
        <f t="shared" si="64"/>
        <v>0.85</v>
      </c>
      <c r="H235">
        <f t="shared" si="65"/>
        <v>0</v>
      </c>
      <c r="I235">
        <f t="shared" si="57"/>
        <v>0</v>
      </c>
      <c r="J235">
        <f t="shared" si="58"/>
        <v>0</v>
      </c>
      <c r="K235">
        <f t="shared" si="59"/>
        <v>0</v>
      </c>
      <c r="L235">
        <f t="shared" si="66"/>
        <v>0</v>
      </c>
      <c r="M235">
        <f t="shared" si="60"/>
        <v>0</v>
      </c>
      <c r="N235" s="29">
        <f t="shared" si="67"/>
        <v>0</v>
      </c>
      <c r="O235" s="29">
        <f t="shared" si="61"/>
        <v>0</v>
      </c>
      <c r="P235" s="29">
        <f t="shared" si="68"/>
        <v>0</v>
      </c>
      <c r="Q235">
        <f t="shared" si="69"/>
        <v>0</v>
      </c>
      <c r="R235" s="29">
        <f t="shared" si="70"/>
        <v>0</v>
      </c>
      <c r="S235" s="29">
        <f t="shared" si="62"/>
        <v>0</v>
      </c>
      <c r="T235" s="29">
        <f t="shared" si="71"/>
        <v>0</v>
      </c>
      <c r="U235">
        <f t="shared" si="72"/>
        <v>0</v>
      </c>
      <c r="V235" s="29">
        <f t="shared" si="73"/>
        <v>0</v>
      </c>
      <c r="W235" s="29">
        <f t="shared" si="63"/>
        <v>0</v>
      </c>
      <c r="X235" s="29">
        <f t="shared" si="74"/>
        <v>0</v>
      </c>
      <c r="Y235">
        <f t="shared" si="75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allocations'!$A$1:$L$317,4,FALSE)</f>
        <v>0</v>
      </c>
      <c r="E236" s="31">
        <f>VLOOKUP(B236,'Initial adjusted formula count'!$A$1:$P$317,12,FALSE)</f>
        <v>0.121589277166108</v>
      </c>
      <c r="F236">
        <f>VLOOKUP(B236,'Model allocations'!$A$1:$L$317,9,FALSE)</f>
        <v>0</v>
      </c>
      <c r="G236" s="30">
        <f t="shared" si="64"/>
        <v>0.85</v>
      </c>
      <c r="H236">
        <f t="shared" si="65"/>
        <v>0</v>
      </c>
      <c r="I236">
        <f t="shared" si="57"/>
        <v>0</v>
      </c>
      <c r="J236">
        <f t="shared" si="58"/>
        <v>0</v>
      </c>
      <c r="K236">
        <f t="shared" si="59"/>
        <v>0</v>
      </c>
      <c r="L236">
        <f t="shared" si="66"/>
        <v>0</v>
      </c>
      <c r="M236">
        <f t="shared" si="60"/>
        <v>0</v>
      </c>
      <c r="N236" s="29">
        <f t="shared" si="67"/>
        <v>0</v>
      </c>
      <c r="O236" s="29">
        <f t="shared" si="61"/>
        <v>0</v>
      </c>
      <c r="P236" s="29">
        <f t="shared" si="68"/>
        <v>0</v>
      </c>
      <c r="Q236">
        <f t="shared" si="69"/>
        <v>0</v>
      </c>
      <c r="R236" s="29">
        <f t="shared" si="70"/>
        <v>0</v>
      </c>
      <c r="S236" s="29">
        <f t="shared" si="62"/>
        <v>0</v>
      </c>
      <c r="T236" s="29">
        <f t="shared" si="71"/>
        <v>0</v>
      </c>
      <c r="U236">
        <f t="shared" si="72"/>
        <v>0</v>
      </c>
      <c r="V236" s="29">
        <f t="shared" si="73"/>
        <v>0</v>
      </c>
      <c r="W236" s="29">
        <f t="shared" si="63"/>
        <v>0</v>
      </c>
      <c r="X236" s="29">
        <f t="shared" si="74"/>
        <v>0</v>
      </c>
      <c r="Y236">
        <f t="shared" si="75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allocations'!$A$1:$L$317,4,FALSE)</f>
        <v>19495.184020815301</v>
      </c>
      <c r="E237" s="31">
        <f>VLOOKUP(B237,'Initial adjusted formula count'!$A$1:$P$317,12,FALSE)</f>
        <v>0.25937500000000002</v>
      </c>
      <c r="F237">
        <f>VLOOKUP(B237,'Model allocations'!$A$1:$L$317,9,FALSE)</f>
        <v>19421.481631730767</v>
      </c>
      <c r="G237" s="30">
        <f t="shared" si="64"/>
        <v>0.9</v>
      </c>
      <c r="H237">
        <f t="shared" si="65"/>
        <v>17545.665618733772</v>
      </c>
      <c r="I237">
        <f t="shared" si="57"/>
        <v>0</v>
      </c>
      <c r="J237">
        <f t="shared" si="58"/>
        <v>19421.481631730767</v>
      </c>
      <c r="K237">
        <f t="shared" si="59"/>
        <v>19405.060616326471</v>
      </c>
      <c r="L237">
        <f t="shared" si="66"/>
        <v>19405.060616326471</v>
      </c>
      <c r="M237">
        <f t="shared" si="60"/>
        <v>0</v>
      </c>
      <c r="N237" s="29">
        <f t="shared" si="67"/>
        <v>19405.060616326471</v>
      </c>
      <c r="O237" s="29">
        <f t="shared" si="61"/>
        <v>19400.049157304904</v>
      </c>
      <c r="P237" s="29">
        <f t="shared" si="68"/>
        <v>19400.049157304904</v>
      </c>
      <c r="Q237">
        <f t="shared" si="69"/>
        <v>0</v>
      </c>
      <c r="R237" s="29">
        <f t="shared" si="70"/>
        <v>19400.049157304904</v>
      </c>
      <c r="S237" s="29">
        <f t="shared" si="62"/>
        <v>19400.049157304904</v>
      </c>
      <c r="T237" s="29">
        <f t="shared" si="71"/>
        <v>19400.049157304904</v>
      </c>
      <c r="U237">
        <f t="shared" si="72"/>
        <v>0</v>
      </c>
      <c r="V237" s="29">
        <f t="shared" si="73"/>
        <v>19400.049157304904</v>
      </c>
      <c r="W237" s="29">
        <f t="shared" si="63"/>
        <v>19400.049157304904</v>
      </c>
      <c r="X237" s="29">
        <f t="shared" si="74"/>
        <v>19400.049157304904</v>
      </c>
      <c r="Y237">
        <f t="shared" si="75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allocations'!$A$1:$L$317,4,FALSE)</f>
        <v>89749.382623509067</v>
      </c>
      <c r="E238" s="31">
        <f>VLOOKUP(B238,'Initial adjusted formula count'!$A$1:$P$317,12,FALSE)</f>
        <v>0.14779270633397301</v>
      </c>
      <c r="F238">
        <f>VLOOKUP(B238,'Model allocations'!$A$1:$L$317,9,FALSE)</f>
        <v>76286.975229982709</v>
      </c>
      <c r="G238" s="30">
        <f t="shared" si="64"/>
        <v>0.85</v>
      </c>
      <c r="H238">
        <f t="shared" si="65"/>
        <v>76286.975229982709</v>
      </c>
      <c r="I238">
        <f t="shared" si="57"/>
        <v>0</v>
      </c>
      <c r="J238">
        <f t="shared" si="58"/>
        <v>76286.975229982709</v>
      </c>
      <c r="K238">
        <f t="shared" si="59"/>
        <v>76222.473992685118</v>
      </c>
      <c r="L238">
        <f t="shared" si="66"/>
        <v>76222.473992685118</v>
      </c>
      <c r="M238">
        <f t="shared" si="60"/>
        <v>76286.975229982709</v>
      </c>
      <c r="N238" s="29">
        <f t="shared" si="67"/>
        <v>0</v>
      </c>
      <c r="O238" s="29">
        <f t="shared" si="61"/>
        <v>0</v>
      </c>
      <c r="P238" s="29">
        <f t="shared" si="68"/>
        <v>76286.975229982709</v>
      </c>
      <c r="Q238">
        <f t="shared" si="69"/>
        <v>0</v>
      </c>
      <c r="R238" s="29">
        <f t="shared" si="70"/>
        <v>0</v>
      </c>
      <c r="S238" s="29">
        <f t="shared" si="62"/>
        <v>0</v>
      </c>
      <c r="T238" s="29">
        <f t="shared" si="71"/>
        <v>76286.975229982709</v>
      </c>
      <c r="U238">
        <f t="shared" si="72"/>
        <v>0</v>
      </c>
      <c r="V238" s="29">
        <f t="shared" si="73"/>
        <v>0</v>
      </c>
      <c r="W238" s="29">
        <f t="shared" si="63"/>
        <v>0</v>
      </c>
      <c r="X238" s="29">
        <f t="shared" si="74"/>
        <v>76286.975229982709</v>
      </c>
      <c r="Y238">
        <f t="shared" si="75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allocations'!$A$1:$L$317,4,FALSE)</f>
        <v>0</v>
      </c>
      <c r="E239" s="31">
        <f>VLOOKUP(B239,'Initial adjusted formula count'!$A$1:$P$317,12,FALSE)</f>
        <v>0.18181818181818199</v>
      </c>
      <c r="F239">
        <f>VLOOKUP(B239,'Model allocations'!$A$1:$L$317,9,FALSE)</f>
        <v>0</v>
      </c>
      <c r="G239" s="30">
        <f t="shared" si="64"/>
        <v>0.9</v>
      </c>
      <c r="H239">
        <f t="shared" si="6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6"/>
        <v>0</v>
      </c>
      <c r="M239">
        <f t="shared" si="60"/>
        <v>0</v>
      </c>
      <c r="N239" s="29">
        <f t="shared" si="67"/>
        <v>0</v>
      </c>
      <c r="O239" s="29">
        <f t="shared" si="61"/>
        <v>0</v>
      </c>
      <c r="P239" s="29">
        <f t="shared" si="68"/>
        <v>0</v>
      </c>
      <c r="Q239">
        <f t="shared" si="69"/>
        <v>0</v>
      </c>
      <c r="R239" s="29">
        <f t="shared" si="70"/>
        <v>0</v>
      </c>
      <c r="S239" s="29">
        <f t="shared" si="62"/>
        <v>0</v>
      </c>
      <c r="T239" s="29">
        <f t="shared" si="71"/>
        <v>0</v>
      </c>
      <c r="U239">
        <f t="shared" si="72"/>
        <v>0</v>
      </c>
      <c r="V239" s="29">
        <f t="shared" si="73"/>
        <v>0</v>
      </c>
      <c r="W239" s="29">
        <f t="shared" si="63"/>
        <v>0</v>
      </c>
      <c r="X239" s="29">
        <f t="shared" si="74"/>
        <v>0</v>
      </c>
      <c r="Y239">
        <f t="shared" si="75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allocations'!$A$1:$L$317,4,FALSE)</f>
        <v>161053.07640045992</v>
      </c>
      <c r="E240" s="31">
        <f>VLOOKUP(B240,'Initial adjusted formula count'!$A$1:$P$317,12,FALSE)</f>
        <v>0.17999042604116799</v>
      </c>
      <c r="F240">
        <f>VLOOKUP(B240,'Model allocations'!$A$1:$L$317,9,FALSE)</f>
        <v>175963.30345857274</v>
      </c>
      <c r="G240" s="30">
        <f t="shared" si="64"/>
        <v>0.9</v>
      </c>
      <c r="H240">
        <f t="shared" si="65"/>
        <v>144947.76876041392</v>
      </c>
      <c r="I240">
        <f t="shared" si="57"/>
        <v>0</v>
      </c>
      <c r="J240">
        <f t="shared" si="58"/>
        <v>175963.30345857274</v>
      </c>
      <c r="K240">
        <f t="shared" si="59"/>
        <v>175814.52510213864</v>
      </c>
      <c r="L240">
        <f t="shared" si="66"/>
        <v>175814.52510213864</v>
      </c>
      <c r="M240">
        <f t="shared" si="60"/>
        <v>0</v>
      </c>
      <c r="N240" s="29">
        <f t="shared" si="67"/>
        <v>175814.52510213864</v>
      </c>
      <c r="O240" s="29">
        <f t="shared" si="61"/>
        <v>175769.12007582275</v>
      </c>
      <c r="P240" s="29">
        <f t="shared" si="68"/>
        <v>175769.12007582275</v>
      </c>
      <c r="Q240">
        <f t="shared" si="69"/>
        <v>0</v>
      </c>
      <c r="R240" s="29">
        <f t="shared" si="70"/>
        <v>175769.12007582275</v>
      </c>
      <c r="S240" s="29">
        <f t="shared" si="62"/>
        <v>175769.12007582275</v>
      </c>
      <c r="T240" s="29">
        <f t="shared" si="71"/>
        <v>175769.12007582275</v>
      </c>
      <c r="U240">
        <f t="shared" si="72"/>
        <v>0</v>
      </c>
      <c r="V240" s="29">
        <f t="shared" si="73"/>
        <v>175769.12007582275</v>
      </c>
      <c r="W240" s="29">
        <f t="shared" si="63"/>
        <v>175769.12007582275</v>
      </c>
      <c r="X240" s="29">
        <f t="shared" si="74"/>
        <v>175769.12007582275</v>
      </c>
      <c r="Y240">
        <f t="shared" si="75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allocations'!$A$1:$L$317,4,FALSE)</f>
        <v>0</v>
      </c>
      <c r="E241" s="31">
        <f>VLOOKUP(B241,'Initial adjusted formula count'!$A$1:$P$317,12,FALSE)</f>
        <v>6.5618064267104106E-2</v>
      </c>
      <c r="F241">
        <f>VLOOKUP(B241,'Model allocations'!$A$1:$L$317,9,FALSE)</f>
        <v>0</v>
      </c>
      <c r="G241" s="30">
        <f t="shared" si="64"/>
        <v>0.85</v>
      </c>
      <c r="H241">
        <f t="shared" si="65"/>
        <v>0</v>
      </c>
      <c r="I241">
        <f t="shared" si="57"/>
        <v>0</v>
      </c>
      <c r="J241">
        <f t="shared" si="58"/>
        <v>0</v>
      </c>
      <c r="K241">
        <f t="shared" si="59"/>
        <v>0</v>
      </c>
      <c r="L241">
        <f t="shared" si="66"/>
        <v>0</v>
      </c>
      <c r="M241">
        <f t="shared" si="60"/>
        <v>0</v>
      </c>
      <c r="N241" s="29">
        <f t="shared" si="67"/>
        <v>0</v>
      </c>
      <c r="O241" s="29">
        <f t="shared" si="61"/>
        <v>0</v>
      </c>
      <c r="P241" s="29">
        <f t="shared" si="68"/>
        <v>0</v>
      </c>
      <c r="Q241">
        <f t="shared" si="69"/>
        <v>0</v>
      </c>
      <c r="R241" s="29">
        <f t="shared" si="70"/>
        <v>0</v>
      </c>
      <c r="S241" s="29">
        <f t="shared" si="62"/>
        <v>0</v>
      </c>
      <c r="T241" s="29">
        <f t="shared" si="71"/>
        <v>0</v>
      </c>
      <c r="U241">
        <f t="shared" si="72"/>
        <v>0</v>
      </c>
      <c r="V241" s="29">
        <f t="shared" si="73"/>
        <v>0</v>
      </c>
      <c r="W241" s="29">
        <f t="shared" si="63"/>
        <v>0</v>
      </c>
      <c r="X241" s="29">
        <f t="shared" si="74"/>
        <v>0</v>
      </c>
      <c r="Y241">
        <f t="shared" si="75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allocations'!$A$1:$L$317,4,FALSE)</f>
        <v>0</v>
      </c>
      <c r="E242" s="31">
        <f>VLOOKUP(B242,'Initial adjusted formula count'!$A$1:$P$317,12,FALSE)</f>
        <v>0.126984126984127</v>
      </c>
      <c r="F242">
        <f>VLOOKUP(B242,'Model allocations'!$A$1:$L$317,9,FALSE)</f>
        <v>0</v>
      </c>
      <c r="G242" s="30">
        <f t="shared" si="64"/>
        <v>0.85</v>
      </c>
      <c r="H242">
        <f t="shared" si="65"/>
        <v>0</v>
      </c>
      <c r="I242">
        <f t="shared" si="57"/>
        <v>0</v>
      </c>
      <c r="J242">
        <f t="shared" si="58"/>
        <v>0</v>
      </c>
      <c r="K242">
        <f t="shared" si="59"/>
        <v>0</v>
      </c>
      <c r="L242">
        <f t="shared" si="66"/>
        <v>0</v>
      </c>
      <c r="M242">
        <f t="shared" si="60"/>
        <v>0</v>
      </c>
      <c r="N242" s="29">
        <f t="shared" si="67"/>
        <v>0</v>
      </c>
      <c r="O242" s="29">
        <f t="shared" si="61"/>
        <v>0</v>
      </c>
      <c r="P242" s="29">
        <f t="shared" si="68"/>
        <v>0</v>
      </c>
      <c r="Q242">
        <f t="shared" si="69"/>
        <v>0</v>
      </c>
      <c r="R242" s="29">
        <f t="shared" si="70"/>
        <v>0</v>
      </c>
      <c r="S242" s="29">
        <f t="shared" si="62"/>
        <v>0</v>
      </c>
      <c r="T242" s="29">
        <f t="shared" si="71"/>
        <v>0</v>
      </c>
      <c r="U242">
        <f t="shared" si="72"/>
        <v>0</v>
      </c>
      <c r="V242" s="29">
        <f t="shared" si="73"/>
        <v>0</v>
      </c>
      <c r="W242" s="29">
        <f t="shared" si="63"/>
        <v>0</v>
      </c>
      <c r="X242" s="29">
        <f t="shared" si="74"/>
        <v>0</v>
      </c>
      <c r="Y242">
        <f t="shared" si="75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allocations'!$A$1:$L$317,4,FALSE)</f>
        <v>0</v>
      </c>
      <c r="E243" s="31">
        <f>VLOOKUP(B243,'Initial adjusted formula count'!$A$1:$P$317,12,FALSE)</f>
        <v>7.3529411764705899E-2</v>
      </c>
      <c r="F243">
        <f>VLOOKUP(B243,'Model allocations'!$A$1:$L$317,9,FALSE)</f>
        <v>0</v>
      </c>
      <c r="G243" s="30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29">
        <f t="shared" si="67"/>
        <v>0</v>
      </c>
      <c r="O243" s="29">
        <f t="shared" si="61"/>
        <v>0</v>
      </c>
      <c r="P243" s="29">
        <f t="shared" si="68"/>
        <v>0</v>
      </c>
      <c r="Q243">
        <f t="shared" si="69"/>
        <v>0</v>
      </c>
      <c r="R243" s="29">
        <f t="shared" si="70"/>
        <v>0</v>
      </c>
      <c r="S243" s="29">
        <f t="shared" si="62"/>
        <v>0</v>
      </c>
      <c r="T243" s="29">
        <f t="shared" si="71"/>
        <v>0</v>
      </c>
      <c r="U243">
        <f t="shared" si="72"/>
        <v>0</v>
      </c>
      <c r="V243" s="29">
        <f t="shared" si="73"/>
        <v>0</v>
      </c>
      <c r="W243" s="29">
        <f t="shared" si="63"/>
        <v>0</v>
      </c>
      <c r="X243" s="29">
        <f t="shared" si="74"/>
        <v>0</v>
      </c>
      <c r="Y243">
        <f t="shared" si="75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allocations'!$A$1:$L$317,4,FALSE)</f>
        <v>0</v>
      </c>
      <c r="E244" s="31">
        <f>VLOOKUP(B244,'Initial adjusted formula count'!$A$1:$P$317,12,FALSE)</f>
        <v>5.2729126123621503E-2</v>
      </c>
      <c r="F244">
        <f>VLOOKUP(B244,'Model allocations'!$A$1:$L$317,9,FALSE)</f>
        <v>0</v>
      </c>
      <c r="G244" s="30">
        <f t="shared" si="64"/>
        <v>0.85</v>
      </c>
      <c r="H244">
        <f t="shared" si="65"/>
        <v>0</v>
      </c>
      <c r="I244">
        <f t="shared" si="57"/>
        <v>0</v>
      </c>
      <c r="J244">
        <f t="shared" si="58"/>
        <v>0</v>
      </c>
      <c r="K244">
        <f t="shared" si="59"/>
        <v>0</v>
      </c>
      <c r="L244">
        <f t="shared" si="66"/>
        <v>0</v>
      </c>
      <c r="M244">
        <f t="shared" si="60"/>
        <v>0</v>
      </c>
      <c r="N244" s="29">
        <f t="shared" si="67"/>
        <v>0</v>
      </c>
      <c r="O244" s="29">
        <f t="shared" si="61"/>
        <v>0</v>
      </c>
      <c r="P244" s="29">
        <f t="shared" si="68"/>
        <v>0</v>
      </c>
      <c r="Q244">
        <f t="shared" si="69"/>
        <v>0</v>
      </c>
      <c r="R244" s="29">
        <f t="shared" si="70"/>
        <v>0</v>
      </c>
      <c r="S244" s="29">
        <f t="shared" si="62"/>
        <v>0</v>
      </c>
      <c r="T244" s="29">
        <f t="shared" si="71"/>
        <v>0</v>
      </c>
      <c r="U244">
        <f t="shared" si="72"/>
        <v>0</v>
      </c>
      <c r="V244" s="29">
        <f t="shared" si="73"/>
        <v>0</v>
      </c>
      <c r="W244" s="29">
        <f t="shared" si="63"/>
        <v>0</v>
      </c>
      <c r="X244" s="29">
        <f t="shared" si="74"/>
        <v>0</v>
      </c>
      <c r="Y244">
        <f t="shared" si="75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allocations'!$A$1:$L$317,4,FALSE)</f>
        <v>0</v>
      </c>
      <c r="E245" s="31">
        <f>VLOOKUP(B245,'Initial adjusted formula count'!$A$1:$P$317,12,FALSE)</f>
        <v>3.2316209604738001E-2</v>
      </c>
      <c r="F245">
        <f>VLOOKUP(B245,'Model allocations'!$A$1:$L$317,9,FALSE)</f>
        <v>0</v>
      </c>
      <c r="G245" s="30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29">
        <f t="shared" si="67"/>
        <v>0</v>
      </c>
      <c r="O245" s="29">
        <f t="shared" si="61"/>
        <v>0</v>
      </c>
      <c r="P245" s="29">
        <f t="shared" si="68"/>
        <v>0</v>
      </c>
      <c r="Q245">
        <f t="shared" si="69"/>
        <v>0</v>
      </c>
      <c r="R245" s="29">
        <f t="shared" si="70"/>
        <v>0</v>
      </c>
      <c r="S245" s="29">
        <f t="shared" si="62"/>
        <v>0</v>
      </c>
      <c r="T245" s="29">
        <f t="shared" si="71"/>
        <v>0</v>
      </c>
      <c r="U245">
        <f t="shared" si="72"/>
        <v>0</v>
      </c>
      <c r="V245" s="29">
        <f t="shared" si="73"/>
        <v>0</v>
      </c>
      <c r="W245" s="29">
        <f t="shared" si="63"/>
        <v>0</v>
      </c>
      <c r="X245" s="29">
        <f t="shared" si="74"/>
        <v>0</v>
      </c>
      <c r="Y245">
        <f t="shared" si="75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allocations'!$A$1:$L$317,4,FALSE)</f>
        <v>35363.357061013798</v>
      </c>
      <c r="E246" s="31">
        <f>VLOOKUP(B246,'Initial adjusted formula count'!$A$1:$P$317,12,FALSE)</f>
        <v>0.334426229508197</v>
      </c>
      <c r="F246">
        <f>VLOOKUP(B246,'Model allocations'!$A$1:$L$317,9,FALSE)</f>
        <v>47734.725938229873</v>
      </c>
      <c r="G246" s="30">
        <f t="shared" si="64"/>
        <v>0.95</v>
      </c>
      <c r="H246">
        <f t="shared" si="65"/>
        <v>33595.189207963107</v>
      </c>
      <c r="I246">
        <f t="shared" si="57"/>
        <v>0</v>
      </c>
      <c r="J246">
        <f t="shared" si="58"/>
        <v>47734.725938229873</v>
      </c>
      <c r="K246">
        <f t="shared" si="59"/>
        <v>47694.365852175935</v>
      </c>
      <c r="L246">
        <f t="shared" si="66"/>
        <v>47694.365852175935</v>
      </c>
      <c r="M246">
        <f t="shared" si="60"/>
        <v>0</v>
      </c>
      <c r="N246" s="29">
        <f t="shared" si="67"/>
        <v>47694.365852175935</v>
      </c>
      <c r="O246" s="29">
        <f t="shared" si="61"/>
        <v>47682.048531207263</v>
      </c>
      <c r="P246" s="29">
        <f t="shared" si="68"/>
        <v>47682.048531207263</v>
      </c>
      <c r="Q246">
        <f t="shared" si="69"/>
        <v>0</v>
      </c>
      <c r="R246" s="29">
        <f t="shared" si="70"/>
        <v>47682.048531207263</v>
      </c>
      <c r="S246" s="29">
        <f t="shared" si="62"/>
        <v>47682.048531207263</v>
      </c>
      <c r="T246" s="29">
        <f t="shared" si="71"/>
        <v>47682.048531207263</v>
      </c>
      <c r="U246">
        <f t="shared" si="72"/>
        <v>0</v>
      </c>
      <c r="V246" s="29">
        <f t="shared" si="73"/>
        <v>47682.048531207263</v>
      </c>
      <c r="W246" s="29">
        <f t="shared" si="63"/>
        <v>47682.048531207263</v>
      </c>
      <c r="X246" s="29">
        <f t="shared" si="74"/>
        <v>47682.048531207263</v>
      </c>
      <c r="Y246">
        <f t="shared" si="75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allocations'!$A$1:$L$317,4,FALSE)</f>
        <v>20855.313138546597</v>
      </c>
      <c r="E247" s="31">
        <f>VLOOKUP(B247,'Initial adjusted formula count'!$A$1:$P$317,12,FALSE)</f>
        <v>0.17066666666666699</v>
      </c>
      <c r="F247">
        <f>VLOOKUP(B247,'Model allocations'!$A$1:$L$317,9,FALSE)</f>
        <v>18769.781824691938</v>
      </c>
      <c r="G247" s="30">
        <f t="shared" si="64"/>
        <v>0.9</v>
      </c>
      <c r="H247">
        <f t="shared" si="65"/>
        <v>18769.781824691938</v>
      </c>
      <c r="I247">
        <f t="shared" si="57"/>
        <v>0</v>
      </c>
      <c r="J247">
        <f t="shared" si="58"/>
        <v>18769.781824691938</v>
      </c>
      <c r="K247">
        <f t="shared" si="59"/>
        <v>18753.91182659792</v>
      </c>
      <c r="L247">
        <f t="shared" si="66"/>
        <v>18753.91182659792</v>
      </c>
      <c r="M247">
        <f t="shared" si="60"/>
        <v>18769.781824691938</v>
      </c>
      <c r="N247" s="29">
        <f t="shared" si="67"/>
        <v>0</v>
      </c>
      <c r="O247" s="29">
        <f t="shared" si="61"/>
        <v>0</v>
      </c>
      <c r="P247" s="29">
        <f t="shared" si="68"/>
        <v>18769.781824691938</v>
      </c>
      <c r="Q247">
        <f t="shared" si="69"/>
        <v>0</v>
      </c>
      <c r="R247" s="29">
        <f t="shared" si="70"/>
        <v>0</v>
      </c>
      <c r="S247" s="29">
        <f t="shared" si="62"/>
        <v>0</v>
      </c>
      <c r="T247" s="29">
        <f t="shared" si="71"/>
        <v>18769.781824691938</v>
      </c>
      <c r="U247">
        <f t="shared" si="72"/>
        <v>0</v>
      </c>
      <c r="V247" s="29">
        <f t="shared" si="73"/>
        <v>0</v>
      </c>
      <c r="W247" s="29">
        <f t="shared" si="63"/>
        <v>0</v>
      </c>
      <c r="X247" s="29">
        <f t="shared" si="74"/>
        <v>18769.781824691938</v>
      </c>
      <c r="Y247">
        <f t="shared" si="75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allocations'!$A$1:$L$317,4,FALSE)</f>
        <v>0</v>
      </c>
      <c r="E248" s="31">
        <f>VLOOKUP(B248,'Initial adjusted formula count'!$A$1:$P$317,12,FALSE)</f>
        <v>8.5412914844352997E-2</v>
      </c>
      <c r="F248">
        <f>VLOOKUP(B248,'Model allocations'!$A$1:$L$317,9,FALSE)</f>
        <v>0</v>
      </c>
      <c r="G248" s="30">
        <f t="shared" si="64"/>
        <v>0.85</v>
      </c>
      <c r="H248">
        <f t="shared" si="65"/>
        <v>0</v>
      </c>
      <c r="I248">
        <f t="shared" si="57"/>
        <v>0</v>
      </c>
      <c r="J248">
        <f t="shared" si="58"/>
        <v>0</v>
      </c>
      <c r="K248">
        <f t="shared" si="59"/>
        <v>0</v>
      </c>
      <c r="L248">
        <f t="shared" si="66"/>
        <v>0</v>
      </c>
      <c r="M248">
        <f t="shared" si="60"/>
        <v>0</v>
      </c>
      <c r="N248" s="29">
        <f t="shared" si="67"/>
        <v>0</v>
      </c>
      <c r="O248" s="29">
        <f t="shared" si="61"/>
        <v>0</v>
      </c>
      <c r="P248" s="29">
        <f t="shared" si="68"/>
        <v>0</v>
      </c>
      <c r="Q248">
        <f t="shared" si="69"/>
        <v>0</v>
      </c>
      <c r="R248" s="29">
        <f t="shared" si="70"/>
        <v>0</v>
      </c>
      <c r="S248" s="29">
        <f t="shared" si="62"/>
        <v>0</v>
      </c>
      <c r="T248" s="29">
        <f t="shared" si="71"/>
        <v>0</v>
      </c>
      <c r="U248">
        <f t="shared" si="72"/>
        <v>0</v>
      </c>
      <c r="V248" s="29">
        <f t="shared" si="73"/>
        <v>0</v>
      </c>
      <c r="W248" s="29">
        <f t="shared" si="63"/>
        <v>0</v>
      </c>
      <c r="X248" s="29">
        <f t="shared" si="74"/>
        <v>0</v>
      </c>
      <c r="Y248">
        <f t="shared" si="75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allocations'!$A$1:$L$317,4,FALSE)</f>
        <v>0</v>
      </c>
      <c r="E249" s="31">
        <f>VLOOKUP(B249,'Initial adjusted formula count'!$A$1:$P$317,12,FALSE)</f>
        <v>8.49598163030999E-2</v>
      </c>
      <c r="F249">
        <f>VLOOKUP(B249,'Model allocations'!$A$1:$L$317,9,FALSE)</f>
        <v>0</v>
      </c>
      <c r="G249" s="30">
        <f t="shared" si="64"/>
        <v>0.85</v>
      </c>
      <c r="H249">
        <f t="shared" si="65"/>
        <v>0</v>
      </c>
      <c r="I249">
        <f t="shared" si="57"/>
        <v>0</v>
      </c>
      <c r="J249">
        <f t="shared" si="58"/>
        <v>0</v>
      </c>
      <c r="K249">
        <f t="shared" si="59"/>
        <v>0</v>
      </c>
      <c r="L249">
        <f t="shared" si="66"/>
        <v>0</v>
      </c>
      <c r="M249">
        <f t="shared" si="60"/>
        <v>0</v>
      </c>
      <c r="N249" s="29">
        <f t="shared" si="67"/>
        <v>0</v>
      </c>
      <c r="O249" s="29">
        <f t="shared" si="61"/>
        <v>0</v>
      </c>
      <c r="P249" s="29">
        <f t="shared" si="68"/>
        <v>0</v>
      </c>
      <c r="Q249">
        <f t="shared" si="69"/>
        <v>0</v>
      </c>
      <c r="R249" s="29">
        <f t="shared" si="70"/>
        <v>0</v>
      </c>
      <c r="S249" s="29">
        <f t="shared" si="62"/>
        <v>0</v>
      </c>
      <c r="T249" s="29">
        <f t="shared" si="71"/>
        <v>0</v>
      </c>
      <c r="U249">
        <f t="shared" si="72"/>
        <v>0</v>
      </c>
      <c r="V249" s="29">
        <f t="shared" si="73"/>
        <v>0</v>
      </c>
      <c r="W249" s="29">
        <f t="shared" si="63"/>
        <v>0</v>
      </c>
      <c r="X249" s="29">
        <f t="shared" si="74"/>
        <v>0</v>
      </c>
      <c r="Y249">
        <f t="shared" si="75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allocations'!$A$1:$L$317,4,FALSE)</f>
        <v>13601.291177313002</v>
      </c>
      <c r="E250" s="31">
        <f>VLOOKUP(B250,'Initial adjusted formula count'!$A$1:$P$317,12,FALSE)</f>
        <v>0.19327731092437</v>
      </c>
      <c r="F250">
        <f>VLOOKUP(B250,'Model allocations'!$A$1:$L$317,9,FALSE)</f>
        <v>16145.569067342451</v>
      </c>
      <c r="G250" s="30">
        <f t="shared" si="64"/>
        <v>0.9</v>
      </c>
      <c r="H250">
        <f t="shared" si="65"/>
        <v>12241.162059581702</v>
      </c>
      <c r="I250">
        <f t="shared" si="57"/>
        <v>0</v>
      </c>
      <c r="J250">
        <f t="shared" si="58"/>
        <v>16145.569067342451</v>
      </c>
      <c r="K250">
        <f t="shared" si="59"/>
        <v>16131.917861765383</v>
      </c>
      <c r="L250">
        <f t="shared" si="66"/>
        <v>16131.917861765383</v>
      </c>
      <c r="M250">
        <f t="shared" si="60"/>
        <v>0</v>
      </c>
      <c r="N250" s="29">
        <f t="shared" si="67"/>
        <v>16131.917861765383</v>
      </c>
      <c r="O250" s="29">
        <f t="shared" si="61"/>
        <v>16127.751709084803</v>
      </c>
      <c r="P250" s="29">
        <f t="shared" si="68"/>
        <v>16127.751709084803</v>
      </c>
      <c r="Q250">
        <f t="shared" si="69"/>
        <v>0</v>
      </c>
      <c r="R250" s="29">
        <f t="shared" si="70"/>
        <v>16127.751709084803</v>
      </c>
      <c r="S250" s="29">
        <f t="shared" si="62"/>
        <v>16127.751709084803</v>
      </c>
      <c r="T250" s="29">
        <f t="shared" si="71"/>
        <v>16127.751709084803</v>
      </c>
      <c r="U250">
        <f t="shared" si="72"/>
        <v>0</v>
      </c>
      <c r="V250" s="29">
        <f t="shared" si="73"/>
        <v>16127.751709084803</v>
      </c>
      <c r="W250" s="29">
        <f t="shared" si="63"/>
        <v>16127.751709084803</v>
      </c>
      <c r="X250" s="29">
        <f t="shared" si="74"/>
        <v>16127.751709084803</v>
      </c>
      <c r="Y250">
        <f t="shared" si="75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allocations'!$A$1:$L$317,4,FALSE)</f>
        <v>1362556.4679487601</v>
      </c>
      <c r="E251" s="31">
        <f>VLOOKUP(B251,'Initial adjusted formula count'!$A$1:$P$317,12,FALSE)</f>
        <v>0.141781222818606</v>
      </c>
      <c r="F251">
        <f>VLOOKUP(B251,'Model allocations'!$A$1:$L$317,9,FALSE)</f>
        <v>1163689.4775705228</v>
      </c>
      <c r="G251" s="30">
        <f t="shared" si="64"/>
        <v>0.85</v>
      </c>
      <c r="H251">
        <f t="shared" si="65"/>
        <v>1158172.997756446</v>
      </c>
      <c r="I251">
        <f t="shared" si="57"/>
        <v>0</v>
      </c>
      <c r="J251">
        <f t="shared" si="58"/>
        <v>1163689.4775705228</v>
      </c>
      <c r="K251">
        <f t="shared" si="59"/>
        <v>1162705.5689687307</v>
      </c>
      <c r="L251">
        <f t="shared" si="66"/>
        <v>1162705.5689687307</v>
      </c>
      <c r="M251">
        <f t="shared" si="60"/>
        <v>0</v>
      </c>
      <c r="N251" s="29">
        <f t="shared" si="67"/>
        <v>1162705.5689687307</v>
      </c>
      <c r="O251" s="29">
        <f t="shared" si="61"/>
        <v>1162405.2941369102</v>
      </c>
      <c r="P251" s="29">
        <f t="shared" si="68"/>
        <v>1162405.2941369102</v>
      </c>
      <c r="Q251">
        <f t="shared" si="69"/>
        <v>0</v>
      </c>
      <c r="R251" s="29">
        <f t="shared" si="70"/>
        <v>1162405.2941369102</v>
      </c>
      <c r="S251" s="29">
        <f t="shared" si="62"/>
        <v>1162405.2941369102</v>
      </c>
      <c r="T251" s="29">
        <f t="shared" si="71"/>
        <v>1162405.2941369102</v>
      </c>
      <c r="U251">
        <f t="shared" si="72"/>
        <v>0</v>
      </c>
      <c r="V251" s="29">
        <f t="shared" si="73"/>
        <v>1162405.2941369102</v>
      </c>
      <c r="W251" s="29">
        <f t="shared" si="63"/>
        <v>1162405.2941369102</v>
      </c>
      <c r="X251" s="29">
        <f t="shared" si="74"/>
        <v>1162405.2941369102</v>
      </c>
      <c r="Y251">
        <f t="shared" si="75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allocations'!$A$1:$L$317,4,FALSE)</f>
        <v>0</v>
      </c>
      <c r="E252" s="31">
        <f>VLOOKUP(B252,'Initial adjusted formula count'!$A$1:$P$317,12,FALSE)</f>
        <v>9.8326062486436605E-2</v>
      </c>
      <c r="F252">
        <f>VLOOKUP(B252,'Model allocations'!$A$1:$L$317,9,FALSE)</f>
        <v>0</v>
      </c>
      <c r="G252" s="30">
        <f t="shared" si="64"/>
        <v>0.85</v>
      </c>
      <c r="H252">
        <f t="shared" si="65"/>
        <v>0</v>
      </c>
      <c r="I252">
        <f t="shared" si="57"/>
        <v>0</v>
      </c>
      <c r="J252">
        <f t="shared" si="58"/>
        <v>0</v>
      </c>
      <c r="K252">
        <f t="shared" si="59"/>
        <v>0</v>
      </c>
      <c r="L252">
        <f t="shared" si="66"/>
        <v>0</v>
      </c>
      <c r="M252">
        <f t="shared" si="60"/>
        <v>0</v>
      </c>
      <c r="N252" s="29">
        <f t="shared" si="67"/>
        <v>0</v>
      </c>
      <c r="O252" s="29">
        <f t="shared" si="61"/>
        <v>0</v>
      </c>
      <c r="P252" s="29">
        <f t="shared" si="68"/>
        <v>0</v>
      </c>
      <c r="Q252">
        <f t="shared" si="69"/>
        <v>0</v>
      </c>
      <c r="R252" s="29">
        <f t="shared" si="70"/>
        <v>0</v>
      </c>
      <c r="S252" s="29">
        <f t="shared" si="62"/>
        <v>0</v>
      </c>
      <c r="T252" s="29">
        <f t="shared" si="71"/>
        <v>0</v>
      </c>
      <c r="U252">
        <f t="shared" si="72"/>
        <v>0</v>
      </c>
      <c r="V252" s="29">
        <f t="shared" si="73"/>
        <v>0</v>
      </c>
      <c r="W252" s="29">
        <f t="shared" si="63"/>
        <v>0</v>
      </c>
      <c r="X252" s="29">
        <f t="shared" si="74"/>
        <v>0</v>
      </c>
      <c r="Y252">
        <f t="shared" si="75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allocations'!$A$1:$L$317,4,FALSE)</f>
        <v>4987.140098348098</v>
      </c>
      <c r="E253" s="31">
        <f>VLOOKUP(B253,'Initial adjusted formula count'!$A$1:$P$317,12,FALSE)</f>
        <v>0.15503875968992201</v>
      </c>
      <c r="F253">
        <f>VLOOKUP(B253,'Model allocations'!$A$1:$L$317,9,FALSE)</f>
        <v>4679.8750919833192</v>
      </c>
      <c r="G253" s="30">
        <f t="shared" si="64"/>
        <v>0.9</v>
      </c>
      <c r="H253">
        <f t="shared" si="65"/>
        <v>4488.4260885132881</v>
      </c>
      <c r="I253">
        <f t="shared" si="57"/>
        <v>0</v>
      </c>
      <c r="J253">
        <f t="shared" si="58"/>
        <v>4679.8750919833192</v>
      </c>
      <c r="K253">
        <f t="shared" si="59"/>
        <v>4675.9182208015609</v>
      </c>
      <c r="L253">
        <f t="shared" si="66"/>
        <v>4675.9182208015609</v>
      </c>
      <c r="M253">
        <f t="shared" si="60"/>
        <v>0</v>
      </c>
      <c r="N253" s="29">
        <f t="shared" si="67"/>
        <v>4675.9182208015609</v>
      </c>
      <c r="O253" s="29">
        <f t="shared" si="61"/>
        <v>4674.7106403144362</v>
      </c>
      <c r="P253" s="29">
        <f t="shared" si="68"/>
        <v>4674.7106403144362</v>
      </c>
      <c r="Q253">
        <f t="shared" si="69"/>
        <v>0</v>
      </c>
      <c r="R253" s="29">
        <f t="shared" si="70"/>
        <v>4674.7106403144362</v>
      </c>
      <c r="S253" s="29">
        <f t="shared" si="62"/>
        <v>4674.7106403144362</v>
      </c>
      <c r="T253" s="29">
        <f t="shared" si="71"/>
        <v>4674.7106403144362</v>
      </c>
      <c r="U253">
        <f t="shared" si="72"/>
        <v>0</v>
      </c>
      <c r="V253" s="29">
        <f t="shared" si="73"/>
        <v>4674.7106403144362</v>
      </c>
      <c r="W253" s="29">
        <f t="shared" si="63"/>
        <v>4674.7106403144362</v>
      </c>
      <c r="X253" s="29">
        <f t="shared" si="74"/>
        <v>4674.7106403144362</v>
      </c>
      <c r="Y253">
        <f t="shared" si="75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allocations'!$A$1:$L$317,4,FALSE)</f>
        <v>0</v>
      </c>
      <c r="E254" s="31">
        <f>VLOOKUP(B254,'Initial adjusted formula count'!$A$1:$P$317,12,FALSE)</f>
        <v>0.104938271604938</v>
      </c>
      <c r="F254">
        <f>VLOOKUP(B254,'Model allocations'!$A$1:$L$317,9,FALSE)</f>
        <v>0</v>
      </c>
      <c r="G254" s="30">
        <f t="shared" si="64"/>
        <v>0.85</v>
      </c>
      <c r="H254">
        <f t="shared" si="65"/>
        <v>0</v>
      </c>
      <c r="I254">
        <f t="shared" si="57"/>
        <v>0</v>
      </c>
      <c r="J254">
        <f t="shared" si="58"/>
        <v>0</v>
      </c>
      <c r="K254">
        <f t="shared" si="59"/>
        <v>0</v>
      </c>
      <c r="L254">
        <f t="shared" si="66"/>
        <v>0</v>
      </c>
      <c r="M254">
        <f t="shared" si="60"/>
        <v>0</v>
      </c>
      <c r="N254" s="29">
        <f t="shared" si="67"/>
        <v>0</v>
      </c>
      <c r="O254" s="29">
        <f t="shared" si="61"/>
        <v>0</v>
      </c>
      <c r="P254" s="29">
        <f t="shared" si="68"/>
        <v>0</v>
      </c>
      <c r="Q254">
        <f t="shared" si="69"/>
        <v>0</v>
      </c>
      <c r="R254" s="29">
        <f t="shared" si="70"/>
        <v>0</v>
      </c>
      <c r="S254" s="29">
        <f t="shared" si="62"/>
        <v>0</v>
      </c>
      <c r="T254" s="29">
        <f t="shared" si="71"/>
        <v>0</v>
      </c>
      <c r="U254">
        <f t="shared" si="72"/>
        <v>0</v>
      </c>
      <c r="V254" s="29">
        <f t="shared" si="73"/>
        <v>0</v>
      </c>
      <c r="W254" s="29">
        <f t="shared" si="63"/>
        <v>0</v>
      </c>
      <c r="X254" s="29">
        <f t="shared" si="74"/>
        <v>0</v>
      </c>
      <c r="Y254">
        <f t="shared" si="75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allocations'!$A$1:$L$317,4,FALSE)</f>
        <v>0</v>
      </c>
      <c r="E255" s="31">
        <f>VLOOKUP(B255,'Initial adjusted formula count'!$A$1:$P$317,12,FALSE)</f>
        <v>7.9321158457849095E-2</v>
      </c>
      <c r="F255">
        <f>VLOOKUP(B255,'Model allocations'!$A$1:$L$317,9,FALSE)</f>
        <v>0</v>
      </c>
      <c r="G255" s="30">
        <f t="shared" si="64"/>
        <v>0.85</v>
      </c>
      <c r="H255">
        <f t="shared" si="65"/>
        <v>0</v>
      </c>
      <c r="I255">
        <f t="shared" si="57"/>
        <v>0</v>
      </c>
      <c r="J255">
        <f t="shared" si="58"/>
        <v>0</v>
      </c>
      <c r="K255">
        <f t="shared" si="59"/>
        <v>0</v>
      </c>
      <c r="L255">
        <f t="shared" si="66"/>
        <v>0</v>
      </c>
      <c r="M255">
        <f t="shared" si="60"/>
        <v>0</v>
      </c>
      <c r="N255" s="29">
        <f t="shared" si="67"/>
        <v>0</v>
      </c>
      <c r="O255" s="29">
        <f t="shared" si="61"/>
        <v>0</v>
      </c>
      <c r="P255" s="29">
        <f t="shared" si="68"/>
        <v>0</v>
      </c>
      <c r="Q255">
        <f t="shared" si="69"/>
        <v>0</v>
      </c>
      <c r="R255" s="29">
        <f t="shared" si="70"/>
        <v>0</v>
      </c>
      <c r="S255" s="29">
        <f t="shared" si="62"/>
        <v>0</v>
      </c>
      <c r="T255" s="29">
        <f t="shared" si="71"/>
        <v>0</v>
      </c>
      <c r="U255">
        <f t="shared" si="72"/>
        <v>0</v>
      </c>
      <c r="V255" s="29">
        <f t="shared" si="73"/>
        <v>0</v>
      </c>
      <c r="W255" s="29">
        <f t="shared" si="63"/>
        <v>0</v>
      </c>
      <c r="X255" s="29">
        <f t="shared" si="74"/>
        <v>0</v>
      </c>
      <c r="Y255">
        <f t="shared" si="75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allocations'!$A$1:$L$317,4,FALSE)</f>
        <v>0</v>
      </c>
      <c r="E256" s="31">
        <f>VLOOKUP(B256,'Initial adjusted formula count'!$A$1:$P$317,12,FALSE)</f>
        <v>0.04</v>
      </c>
      <c r="F256">
        <f>VLOOKUP(B256,'Model allocations'!$A$1:$L$317,9,FALSE)</f>
        <v>0</v>
      </c>
      <c r="G256" s="30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29">
        <f t="shared" si="67"/>
        <v>0</v>
      </c>
      <c r="O256" s="29">
        <f t="shared" si="61"/>
        <v>0</v>
      </c>
      <c r="P256" s="29">
        <f t="shared" si="68"/>
        <v>0</v>
      </c>
      <c r="Q256">
        <f t="shared" si="69"/>
        <v>0</v>
      </c>
      <c r="R256" s="29">
        <f t="shared" si="70"/>
        <v>0</v>
      </c>
      <c r="S256" s="29">
        <f t="shared" si="62"/>
        <v>0</v>
      </c>
      <c r="T256" s="29">
        <f t="shared" si="71"/>
        <v>0</v>
      </c>
      <c r="U256">
        <f t="shared" si="72"/>
        <v>0</v>
      </c>
      <c r="V256" s="29">
        <f t="shared" si="73"/>
        <v>0</v>
      </c>
      <c r="W256" s="29">
        <f t="shared" si="63"/>
        <v>0</v>
      </c>
      <c r="X256" s="29">
        <f t="shared" si="74"/>
        <v>0</v>
      </c>
      <c r="Y256">
        <f t="shared" si="75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allocations'!$A$1:$L$317,4,FALSE)</f>
        <v>3400.3227943282504</v>
      </c>
      <c r="E257" s="31">
        <f>VLOOKUP(B257,'Initial adjusted formula count'!$A$1:$P$317,12,FALSE)</f>
        <v>0.125</v>
      </c>
      <c r="F257">
        <f>VLOOKUP(B257,'Model allocations'!$A$1:$L$317,9,FALSE)</f>
        <v>2890.2743751790126</v>
      </c>
      <c r="G257" s="30">
        <f t="shared" si="64"/>
        <v>0.85</v>
      </c>
      <c r="H257">
        <f t="shared" si="65"/>
        <v>2890.2743751790126</v>
      </c>
      <c r="I257">
        <f t="shared" si="57"/>
        <v>0</v>
      </c>
      <c r="J257">
        <f t="shared" si="58"/>
        <v>2890.2743751790126</v>
      </c>
      <c r="K257">
        <f t="shared" si="59"/>
        <v>2887.8306254725062</v>
      </c>
      <c r="L257">
        <f t="shared" si="66"/>
        <v>2887.8306254725062</v>
      </c>
      <c r="M257">
        <f t="shared" si="60"/>
        <v>2890.2743751790126</v>
      </c>
      <c r="N257" s="29">
        <f t="shared" si="67"/>
        <v>0</v>
      </c>
      <c r="O257" s="29">
        <f t="shared" si="61"/>
        <v>0</v>
      </c>
      <c r="P257" s="29">
        <f t="shared" si="68"/>
        <v>2890.2743751790126</v>
      </c>
      <c r="Q257">
        <f t="shared" si="69"/>
        <v>0</v>
      </c>
      <c r="R257" s="29">
        <f t="shared" si="70"/>
        <v>0</v>
      </c>
      <c r="S257" s="29">
        <f t="shared" si="62"/>
        <v>0</v>
      </c>
      <c r="T257" s="29">
        <f t="shared" si="71"/>
        <v>2890.2743751790126</v>
      </c>
      <c r="U257">
        <f t="shared" si="72"/>
        <v>0</v>
      </c>
      <c r="V257" s="29">
        <f t="shared" si="73"/>
        <v>0</v>
      </c>
      <c r="W257" s="29">
        <f t="shared" si="63"/>
        <v>0</v>
      </c>
      <c r="X257" s="29">
        <f t="shared" si="74"/>
        <v>2890.2743751790126</v>
      </c>
      <c r="Y257">
        <f t="shared" si="75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allocations'!$A$1:$L$317,4,FALSE)</f>
        <v>0</v>
      </c>
      <c r="E258" s="31">
        <f>VLOOKUP(B258,'Initial adjusted formula count'!$A$1:$P$317,12,FALSE)</f>
        <v>0.133333333333333</v>
      </c>
      <c r="F258">
        <f>VLOOKUP(B258,'Model allocations'!$A$1:$L$317,9,FALSE)</f>
        <v>0</v>
      </c>
      <c r="G258" s="30">
        <f t="shared" si="64"/>
        <v>0.85</v>
      </c>
      <c r="H258">
        <f t="shared" si="6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6"/>
        <v>0</v>
      </c>
      <c r="M258">
        <f t="shared" si="60"/>
        <v>0</v>
      </c>
      <c r="N258" s="29">
        <f t="shared" si="67"/>
        <v>0</v>
      </c>
      <c r="O258" s="29">
        <f t="shared" si="61"/>
        <v>0</v>
      </c>
      <c r="P258" s="29">
        <f t="shared" si="68"/>
        <v>0</v>
      </c>
      <c r="Q258">
        <f t="shared" si="69"/>
        <v>0</v>
      </c>
      <c r="R258" s="29">
        <f t="shared" si="70"/>
        <v>0</v>
      </c>
      <c r="S258" s="29">
        <f t="shared" si="62"/>
        <v>0</v>
      </c>
      <c r="T258" s="29">
        <f t="shared" si="71"/>
        <v>0</v>
      </c>
      <c r="U258">
        <f t="shared" si="72"/>
        <v>0</v>
      </c>
      <c r="V258" s="29">
        <f t="shared" si="73"/>
        <v>0</v>
      </c>
      <c r="W258" s="29">
        <f t="shared" si="63"/>
        <v>0</v>
      </c>
      <c r="X258" s="29">
        <f t="shared" si="74"/>
        <v>0</v>
      </c>
      <c r="Y258">
        <f t="shared" si="75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allocations'!$A$1:$L$317,4,FALSE)</f>
        <v>0</v>
      </c>
      <c r="E259" s="31">
        <f>VLOOKUP(B259,'Initial adjusted formula count'!$A$1:$P$317,12,FALSE)</f>
        <v>6.3504016064256999E-2</v>
      </c>
      <c r="F259">
        <f>VLOOKUP(B259,'Model allocations'!$A$1:$L$317,9,FALSE)</f>
        <v>0</v>
      </c>
      <c r="G259" s="30">
        <f t="shared" si="64"/>
        <v>0.85</v>
      </c>
      <c r="H259">
        <f t="shared" si="65"/>
        <v>0</v>
      </c>
      <c r="I259">
        <f t="shared" ref="I259:I316" si="76">IF(F259&lt;H259,H259,0)</f>
        <v>0</v>
      </c>
      <c r="J259">
        <f t="shared" ref="J259:J316" si="77">IF(I259=0,F259,0)</f>
        <v>0</v>
      </c>
      <c r="K259">
        <f t="shared" ref="K259:K316" si="78">(J259/$J$3)*($F$3-$I$3)</f>
        <v>0</v>
      </c>
      <c r="L259">
        <f t="shared" si="66"/>
        <v>0</v>
      </c>
      <c r="M259">
        <f t="shared" ref="M259:M316" si="79">IF(L259&lt;H259,H259,0)</f>
        <v>0</v>
      </c>
      <c r="N259" s="29">
        <f t="shared" si="67"/>
        <v>0</v>
      </c>
      <c r="O259" s="29">
        <f t="shared" ref="O259:O316" si="80">((N259/$N$3)*($F$3-$I$3-$M$3))</f>
        <v>0</v>
      </c>
      <c r="P259" s="29">
        <f t="shared" si="68"/>
        <v>0</v>
      </c>
      <c r="Q259">
        <f t="shared" si="69"/>
        <v>0</v>
      </c>
      <c r="R259" s="29">
        <f t="shared" si="70"/>
        <v>0</v>
      </c>
      <c r="S259" s="29">
        <f t="shared" ref="S259:S316" si="81">((R259/$R$3)*($F$3-$I$3-$M$3-$Q$3))</f>
        <v>0</v>
      </c>
      <c r="T259" s="29">
        <f t="shared" si="71"/>
        <v>0</v>
      </c>
      <c r="U259">
        <f t="shared" si="72"/>
        <v>0</v>
      </c>
      <c r="V259" s="29">
        <f t="shared" si="73"/>
        <v>0</v>
      </c>
      <c r="W259" s="29">
        <f t="shared" ref="W259:W316" si="82">((V259/$V$3)*($F$3-$I$3-$M$3-$Q$3-$U$3))</f>
        <v>0</v>
      </c>
      <c r="X259" s="29">
        <f t="shared" si="74"/>
        <v>0</v>
      </c>
      <c r="Y259">
        <f t="shared" si="75"/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allocations'!$A$1:$L$317,4,FALSE)</f>
        <v>1797.067595648725</v>
      </c>
      <c r="E260" s="31">
        <f>VLOOKUP(B260,'Initial adjusted formula count'!$A$1:$P$317,12,FALSE)</f>
        <v>0.15094339622641501</v>
      </c>
      <c r="F260">
        <f>VLOOKUP(B260,'Model allocations'!$A$1:$L$317,9,FALSE)</f>
        <v>1617.3608360838525</v>
      </c>
      <c r="G260" s="30">
        <f t="shared" ref="G260:G316" si="83">IF(E260&lt;0.15,0.85,IF(AND(E260&gt;=0.15,E260&lt;0.3),0.9,0.95))</f>
        <v>0.9</v>
      </c>
      <c r="H260">
        <f t="shared" ref="H260:H316" si="84">IF(F260 = 0, 0, D260*G260)</f>
        <v>1617.3608360838525</v>
      </c>
      <c r="I260">
        <f t="shared" si="76"/>
        <v>0</v>
      </c>
      <c r="J260">
        <f t="shared" si="77"/>
        <v>1617.3608360838525</v>
      </c>
      <c r="K260">
        <f t="shared" si="78"/>
        <v>1615.9933447818373</v>
      </c>
      <c r="L260">
        <f t="shared" ref="L260:L316" si="85">I260+K260</f>
        <v>1615.9933447818373</v>
      </c>
      <c r="M260">
        <f t="shared" si="79"/>
        <v>1617.3608360838525</v>
      </c>
      <c r="N260" s="29">
        <f t="shared" ref="N260:N316" si="86">IF(I260+M260=0,L260,0)</f>
        <v>0</v>
      </c>
      <c r="O260" s="29">
        <f t="shared" si="80"/>
        <v>0</v>
      </c>
      <c r="P260" s="29">
        <f t="shared" ref="P260:P316" si="87">$I260+$M260+O260</f>
        <v>1617.3608360838525</v>
      </c>
      <c r="Q260">
        <f t="shared" ref="Q260:Q316" si="88">IF(P260&lt;H260,H260,0)</f>
        <v>0</v>
      </c>
      <c r="R260" s="29">
        <f t="shared" ref="R260:R316" si="89">IF($I260+$M260+$Q260=0,P260,0)</f>
        <v>0</v>
      </c>
      <c r="S260" s="29">
        <f t="shared" si="81"/>
        <v>0</v>
      </c>
      <c r="T260" s="29">
        <f t="shared" ref="T260:T316" si="90">$I260+$M260+$Q260+S260</f>
        <v>1617.3608360838525</v>
      </c>
      <c r="U260">
        <f t="shared" ref="U260:U316" si="91">IF(T260&lt;H260,H260,0)</f>
        <v>0</v>
      </c>
      <c r="V260" s="29">
        <f t="shared" ref="V260:V316" si="92">IF($I260+$M260+$Q260+U260=0,T260,0)</f>
        <v>0</v>
      </c>
      <c r="W260" s="29">
        <f t="shared" si="82"/>
        <v>0</v>
      </c>
      <c r="X260" s="29">
        <f t="shared" ref="X260:X316" si="93">$I260+$M260+$Q260+$U260+W260</f>
        <v>1617.3608360838525</v>
      </c>
      <c r="Y260">
        <f t="shared" ref="Y260:Y316" si="94">IF(X260&lt;H260,H260,0)</f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allocations'!$A$1:$L$317,4,FALSE)</f>
        <v>20873.00211974937</v>
      </c>
      <c r="E261" s="31">
        <f>VLOOKUP(B261,'Initial adjusted formula count'!$A$1:$P$317,12,FALSE)</f>
        <v>0.15274725274725301</v>
      </c>
      <c r="F261">
        <f>VLOOKUP(B261,'Model allocations'!$A$1:$L$317,9,FALSE)</f>
        <v>32525.131889284072</v>
      </c>
      <c r="G261" s="30">
        <f t="shared" si="83"/>
        <v>0.9</v>
      </c>
      <c r="H261">
        <f t="shared" si="84"/>
        <v>18785.701907774433</v>
      </c>
      <c r="I261">
        <f t="shared" si="76"/>
        <v>0</v>
      </c>
      <c r="J261">
        <f t="shared" si="77"/>
        <v>32525.131889284072</v>
      </c>
      <c r="K261">
        <f t="shared" si="78"/>
        <v>32497.631634570851</v>
      </c>
      <c r="L261">
        <f t="shared" si="85"/>
        <v>32497.631634570851</v>
      </c>
      <c r="M261">
        <f t="shared" si="79"/>
        <v>0</v>
      </c>
      <c r="N261" s="29">
        <f t="shared" si="86"/>
        <v>32497.631634570851</v>
      </c>
      <c r="O261" s="29">
        <f t="shared" si="80"/>
        <v>32489.238950185336</v>
      </c>
      <c r="P261" s="29">
        <f t="shared" si="87"/>
        <v>32489.238950185336</v>
      </c>
      <c r="Q261">
        <f t="shared" si="88"/>
        <v>0</v>
      </c>
      <c r="R261" s="29">
        <f t="shared" si="89"/>
        <v>32489.238950185336</v>
      </c>
      <c r="S261" s="29">
        <f t="shared" si="81"/>
        <v>32489.238950185336</v>
      </c>
      <c r="T261" s="29">
        <f t="shared" si="90"/>
        <v>32489.238950185336</v>
      </c>
      <c r="U261">
        <f t="shared" si="91"/>
        <v>0</v>
      </c>
      <c r="V261" s="29">
        <f t="shared" si="92"/>
        <v>32489.238950185336</v>
      </c>
      <c r="W261" s="29">
        <f t="shared" si="82"/>
        <v>32489.238950185336</v>
      </c>
      <c r="X261" s="29">
        <f t="shared" si="93"/>
        <v>32489.238950185336</v>
      </c>
      <c r="Y261">
        <f t="shared" si="94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allocations'!$A$1:$L$317,4,FALSE)</f>
        <v>0</v>
      </c>
      <c r="E262" s="31">
        <f>VLOOKUP(B262,'Initial adjusted formula count'!$A$1:$P$317,12,FALSE)</f>
        <v>8.5089463220675898E-2</v>
      </c>
      <c r="F262">
        <f>VLOOKUP(B262,'Model allocations'!$A$1:$L$317,9,FALSE)</f>
        <v>0</v>
      </c>
      <c r="G262" s="30">
        <f t="shared" si="83"/>
        <v>0.85</v>
      </c>
      <c r="H262">
        <f t="shared" si="84"/>
        <v>0</v>
      </c>
      <c r="I262">
        <f t="shared" si="76"/>
        <v>0</v>
      </c>
      <c r="J262">
        <f t="shared" si="77"/>
        <v>0</v>
      </c>
      <c r="K262">
        <f t="shared" si="78"/>
        <v>0</v>
      </c>
      <c r="L262">
        <f t="shared" si="85"/>
        <v>0</v>
      </c>
      <c r="M262">
        <f t="shared" si="79"/>
        <v>0</v>
      </c>
      <c r="N262" s="29">
        <f t="shared" si="86"/>
        <v>0</v>
      </c>
      <c r="O262" s="29">
        <f t="shared" si="80"/>
        <v>0</v>
      </c>
      <c r="P262" s="29">
        <f t="shared" si="87"/>
        <v>0</v>
      </c>
      <c r="Q262">
        <f t="shared" si="88"/>
        <v>0</v>
      </c>
      <c r="R262" s="29">
        <f t="shared" si="89"/>
        <v>0</v>
      </c>
      <c r="S262" s="29">
        <f t="shared" si="81"/>
        <v>0</v>
      </c>
      <c r="T262" s="29">
        <f t="shared" si="90"/>
        <v>0</v>
      </c>
      <c r="U262">
        <f t="shared" si="91"/>
        <v>0</v>
      </c>
      <c r="V262" s="29">
        <f t="shared" si="92"/>
        <v>0</v>
      </c>
      <c r="W262" s="29">
        <f t="shared" si="82"/>
        <v>0</v>
      </c>
      <c r="X262" s="29">
        <f t="shared" si="93"/>
        <v>0</v>
      </c>
      <c r="Y262">
        <f t="shared" si="94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allocations'!$A$1:$L$317,4,FALSE)</f>
        <v>23143.36486952041</v>
      </c>
      <c r="E263" s="31">
        <f>VLOOKUP(B263,'Initial adjusted formula count'!$A$1:$P$317,12,FALSE)</f>
        <v>0.131501871318111</v>
      </c>
      <c r="F263">
        <f>VLOOKUP(B263,'Model allocations'!$A$1:$L$317,9,FALSE)</f>
        <v>23665.126901443073</v>
      </c>
      <c r="G263" s="30">
        <f t="shared" si="83"/>
        <v>0.85</v>
      </c>
      <c r="H263">
        <f t="shared" si="84"/>
        <v>19671.860139092347</v>
      </c>
      <c r="I263">
        <f t="shared" si="76"/>
        <v>0</v>
      </c>
      <c r="J263">
        <f t="shared" si="77"/>
        <v>23665.126901443073</v>
      </c>
      <c r="K263">
        <f t="shared" si="78"/>
        <v>23645.117850601226</v>
      </c>
      <c r="L263">
        <f t="shared" si="85"/>
        <v>23645.117850601226</v>
      </c>
      <c r="M263">
        <f t="shared" si="79"/>
        <v>0</v>
      </c>
      <c r="N263" s="29">
        <f t="shared" si="86"/>
        <v>23645.117850601226</v>
      </c>
      <c r="O263" s="29">
        <f t="shared" si="80"/>
        <v>23639.011374485985</v>
      </c>
      <c r="P263" s="29">
        <f t="shared" si="87"/>
        <v>23639.011374485985</v>
      </c>
      <c r="Q263">
        <f t="shared" si="88"/>
        <v>0</v>
      </c>
      <c r="R263" s="29">
        <f t="shared" si="89"/>
        <v>23639.011374485985</v>
      </c>
      <c r="S263" s="29">
        <f t="shared" si="81"/>
        <v>23639.011374485985</v>
      </c>
      <c r="T263" s="29">
        <f t="shared" si="90"/>
        <v>23639.011374485985</v>
      </c>
      <c r="U263">
        <f t="shared" si="91"/>
        <v>0</v>
      </c>
      <c r="V263" s="29">
        <f t="shared" si="92"/>
        <v>23639.011374485985</v>
      </c>
      <c r="W263" s="29">
        <f t="shared" si="82"/>
        <v>23639.011374485985</v>
      </c>
      <c r="X263" s="29">
        <f t="shared" si="93"/>
        <v>23639.011374485985</v>
      </c>
      <c r="Y263">
        <f t="shared" si="94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allocations'!$A$1:$L$317,4,FALSE)</f>
        <v>0</v>
      </c>
      <c r="E264" s="31">
        <f>VLOOKUP(B264,'Initial adjusted formula count'!$A$1:$P$317,12,FALSE)</f>
        <v>0.121963084893929</v>
      </c>
      <c r="F264">
        <f>VLOOKUP(B264,'Model allocations'!$A$1:$L$317,9,FALSE)</f>
        <v>0</v>
      </c>
      <c r="G264" s="30">
        <f t="shared" si="83"/>
        <v>0.85</v>
      </c>
      <c r="H264">
        <f t="shared" si="84"/>
        <v>0</v>
      </c>
      <c r="I264">
        <f t="shared" si="76"/>
        <v>0</v>
      </c>
      <c r="J264">
        <f t="shared" si="77"/>
        <v>0</v>
      </c>
      <c r="K264">
        <f t="shared" si="78"/>
        <v>0</v>
      </c>
      <c r="L264">
        <f t="shared" si="85"/>
        <v>0</v>
      </c>
      <c r="M264">
        <f t="shared" si="79"/>
        <v>0</v>
      </c>
      <c r="N264" s="29">
        <f t="shared" si="86"/>
        <v>0</v>
      </c>
      <c r="O264" s="29">
        <f t="shared" si="80"/>
        <v>0</v>
      </c>
      <c r="P264" s="29">
        <f t="shared" si="87"/>
        <v>0</v>
      </c>
      <c r="Q264">
        <f t="shared" si="88"/>
        <v>0</v>
      </c>
      <c r="R264" s="29">
        <f t="shared" si="89"/>
        <v>0</v>
      </c>
      <c r="S264" s="29">
        <f t="shared" si="81"/>
        <v>0</v>
      </c>
      <c r="T264" s="29">
        <f t="shared" si="90"/>
        <v>0</v>
      </c>
      <c r="U264">
        <f t="shared" si="91"/>
        <v>0</v>
      </c>
      <c r="V264" s="29">
        <f t="shared" si="92"/>
        <v>0</v>
      </c>
      <c r="W264" s="29">
        <f t="shared" si="82"/>
        <v>0</v>
      </c>
      <c r="X264" s="29">
        <f t="shared" si="93"/>
        <v>0</v>
      </c>
      <c r="Y264">
        <f t="shared" si="94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allocations'!$A$1:$L$317,4,FALSE)</f>
        <v>5141.8366091035523</v>
      </c>
      <c r="E265" s="31">
        <f>VLOOKUP(B265,'Initial adjusted formula count'!$A$1:$P$317,12,FALSE)</f>
        <v>0.22807017543859601</v>
      </c>
      <c r="F265">
        <f>VLOOKUP(B265,'Model allocations'!$A$1:$L$317,9,FALSE)</f>
        <v>6083.8376195783148</v>
      </c>
      <c r="G265" s="30">
        <f t="shared" si="83"/>
        <v>0.9</v>
      </c>
      <c r="H265">
        <f t="shared" si="84"/>
        <v>4627.6529481931975</v>
      </c>
      <c r="I265">
        <f t="shared" si="76"/>
        <v>0</v>
      </c>
      <c r="J265">
        <f t="shared" si="77"/>
        <v>6083.8376195783148</v>
      </c>
      <c r="K265">
        <f t="shared" si="78"/>
        <v>6078.6936870420286</v>
      </c>
      <c r="L265">
        <f t="shared" si="85"/>
        <v>6078.6936870420286</v>
      </c>
      <c r="M265">
        <f t="shared" si="79"/>
        <v>0</v>
      </c>
      <c r="N265" s="29">
        <f t="shared" si="86"/>
        <v>6078.6936870420286</v>
      </c>
      <c r="O265" s="29">
        <f t="shared" si="80"/>
        <v>6077.1238324087672</v>
      </c>
      <c r="P265" s="29">
        <f t="shared" si="87"/>
        <v>6077.1238324087672</v>
      </c>
      <c r="Q265">
        <f t="shared" si="88"/>
        <v>0</v>
      </c>
      <c r="R265" s="29">
        <f t="shared" si="89"/>
        <v>6077.1238324087672</v>
      </c>
      <c r="S265" s="29">
        <f t="shared" si="81"/>
        <v>6077.1238324087672</v>
      </c>
      <c r="T265" s="29">
        <f t="shared" si="90"/>
        <v>6077.1238324087672</v>
      </c>
      <c r="U265">
        <f t="shared" si="91"/>
        <v>0</v>
      </c>
      <c r="V265" s="29">
        <f t="shared" si="92"/>
        <v>6077.1238324087672</v>
      </c>
      <c r="W265" s="29">
        <f t="shared" si="82"/>
        <v>6077.1238324087672</v>
      </c>
      <c r="X265" s="29">
        <f t="shared" si="93"/>
        <v>6077.1238324087672</v>
      </c>
      <c r="Y265">
        <f t="shared" si="94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allocations'!$A$1:$L$317,4,FALSE)</f>
        <v>0</v>
      </c>
      <c r="E266" s="31">
        <f>VLOOKUP(B266,'Initial adjusted formula count'!$A$1:$P$317,12,FALSE)</f>
        <v>5.3187511684427001E-2</v>
      </c>
      <c r="F266">
        <f>VLOOKUP(B266,'Model allocations'!$A$1:$L$317,9,FALSE)</f>
        <v>0</v>
      </c>
      <c r="G266" s="30">
        <f t="shared" si="83"/>
        <v>0.85</v>
      </c>
      <c r="H266">
        <f t="shared" si="84"/>
        <v>0</v>
      </c>
      <c r="I266">
        <f t="shared" si="76"/>
        <v>0</v>
      </c>
      <c r="J266">
        <f t="shared" si="77"/>
        <v>0</v>
      </c>
      <c r="K266">
        <f t="shared" si="78"/>
        <v>0</v>
      </c>
      <c r="L266">
        <f t="shared" si="85"/>
        <v>0</v>
      </c>
      <c r="M266">
        <f t="shared" si="79"/>
        <v>0</v>
      </c>
      <c r="N266" s="29">
        <f t="shared" si="86"/>
        <v>0</v>
      </c>
      <c r="O266" s="29">
        <f t="shared" si="80"/>
        <v>0</v>
      </c>
      <c r="P266" s="29">
        <f t="shared" si="87"/>
        <v>0</v>
      </c>
      <c r="Q266">
        <f t="shared" si="88"/>
        <v>0</v>
      </c>
      <c r="R266" s="29">
        <f t="shared" si="89"/>
        <v>0</v>
      </c>
      <c r="S266" s="29">
        <f t="shared" si="81"/>
        <v>0</v>
      </c>
      <c r="T266" s="29">
        <f t="shared" si="90"/>
        <v>0</v>
      </c>
      <c r="U266">
        <f t="shared" si="91"/>
        <v>0</v>
      </c>
      <c r="V266" s="29">
        <f t="shared" si="92"/>
        <v>0</v>
      </c>
      <c r="W266" s="29">
        <f t="shared" si="82"/>
        <v>0</v>
      </c>
      <c r="X266" s="29">
        <f t="shared" si="93"/>
        <v>0</v>
      </c>
      <c r="Y266">
        <f t="shared" si="94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allocations'!$A$1:$L$317,4,FALSE)</f>
        <v>270212.3180559515</v>
      </c>
      <c r="E267" s="31">
        <f>VLOOKUP(B267,'Initial adjusted formula count'!$A$1:$P$317,12,FALSE)</f>
        <v>0.21102692245687599</v>
      </c>
      <c r="F267">
        <f>VLOOKUP(B267,'Model allocations'!$A$1:$L$317,9,FALSE)</f>
        <v>306297.82477030816</v>
      </c>
      <c r="G267" s="30">
        <f t="shared" si="83"/>
        <v>0.9</v>
      </c>
      <c r="H267">
        <f t="shared" si="84"/>
        <v>243191.08625035637</v>
      </c>
      <c r="I267">
        <f t="shared" si="76"/>
        <v>0</v>
      </c>
      <c r="J267">
        <f t="shared" si="77"/>
        <v>306297.82477030816</v>
      </c>
      <c r="K267">
        <f t="shared" si="78"/>
        <v>306038.84755146207</v>
      </c>
      <c r="L267">
        <f t="shared" si="85"/>
        <v>306038.84755146207</v>
      </c>
      <c r="M267">
        <f t="shared" si="79"/>
        <v>0</v>
      </c>
      <c r="N267" s="29">
        <f t="shared" si="86"/>
        <v>306038.84755146207</v>
      </c>
      <c r="O267" s="29">
        <f t="shared" si="80"/>
        <v>305959.81140857976</v>
      </c>
      <c r="P267" s="29">
        <f t="shared" si="87"/>
        <v>305959.81140857976</v>
      </c>
      <c r="Q267">
        <f t="shared" si="88"/>
        <v>0</v>
      </c>
      <c r="R267" s="29">
        <f t="shared" si="89"/>
        <v>305959.81140857976</v>
      </c>
      <c r="S267" s="29">
        <f t="shared" si="81"/>
        <v>305959.81140857976</v>
      </c>
      <c r="T267" s="29">
        <f t="shared" si="90"/>
        <v>305959.81140857976</v>
      </c>
      <c r="U267">
        <f t="shared" si="91"/>
        <v>0</v>
      </c>
      <c r="V267" s="29">
        <f t="shared" si="92"/>
        <v>305959.81140857976</v>
      </c>
      <c r="W267" s="29">
        <f t="shared" si="82"/>
        <v>305959.81140857976</v>
      </c>
      <c r="X267" s="29">
        <f t="shared" si="93"/>
        <v>305959.81140857976</v>
      </c>
      <c r="Y267">
        <f t="shared" si="94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allocations'!$A$1:$L$317,4,FALSE)</f>
        <v>4132.1797824629894</v>
      </c>
      <c r="E268" s="31">
        <f>VLOOKUP(B268,'Initial adjusted formula count'!$A$1:$P$317,12,FALSE)</f>
        <v>0.194148516573487</v>
      </c>
      <c r="F268">
        <f>VLOOKUP(B268,'Model allocations'!$A$1:$L$317,9,FALSE)</f>
        <v>3895.628971059678</v>
      </c>
      <c r="G268" s="30">
        <f t="shared" si="83"/>
        <v>0.9</v>
      </c>
      <c r="H268">
        <f t="shared" si="84"/>
        <v>3718.9618042166903</v>
      </c>
      <c r="I268">
        <f t="shared" si="76"/>
        <v>0</v>
      </c>
      <c r="J268">
        <f t="shared" si="77"/>
        <v>3895.628971059678</v>
      </c>
      <c r="K268">
        <f t="shared" si="78"/>
        <v>3892.33518613862</v>
      </c>
      <c r="L268">
        <f t="shared" si="85"/>
        <v>3892.33518613862</v>
      </c>
      <c r="M268">
        <f t="shared" si="79"/>
        <v>0</v>
      </c>
      <c r="N268" s="29">
        <f t="shared" si="86"/>
        <v>3892.33518613862</v>
      </c>
      <c r="O268" s="29">
        <f t="shared" si="80"/>
        <v>3891.3299700937328</v>
      </c>
      <c r="P268" s="29">
        <f t="shared" si="87"/>
        <v>3891.3299700937328</v>
      </c>
      <c r="Q268">
        <f t="shared" si="88"/>
        <v>0</v>
      </c>
      <c r="R268" s="29">
        <f t="shared" si="89"/>
        <v>3891.3299700937328</v>
      </c>
      <c r="S268" s="29">
        <f t="shared" si="81"/>
        <v>3891.3299700937328</v>
      </c>
      <c r="T268" s="29">
        <f t="shared" si="90"/>
        <v>3891.3299700937328</v>
      </c>
      <c r="U268">
        <f t="shared" si="91"/>
        <v>0</v>
      </c>
      <c r="V268" s="29">
        <f t="shared" si="92"/>
        <v>3891.3299700937328</v>
      </c>
      <c r="W268" s="29">
        <f t="shared" si="82"/>
        <v>3891.3299700937328</v>
      </c>
      <c r="X268" s="29">
        <f t="shared" si="93"/>
        <v>3891.3299700937328</v>
      </c>
      <c r="Y268">
        <f t="shared" si="94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allocations'!$A$1:$L$317,4,FALSE)</f>
        <v>0</v>
      </c>
      <c r="E269" s="31">
        <f>VLOOKUP(B269,'Initial adjusted formula count'!$A$1:$P$317,12,FALSE)</f>
        <v>0.133023848319229</v>
      </c>
      <c r="F269">
        <f>VLOOKUP(B269,'Model allocations'!$A$1:$L$317,9,FALSE)</f>
        <v>0</v>
      </c>
      <c r="G269" s="30">
        <f t="shared" si="83"/>
        <v>0.85</v>
      </c>
      <c r="H269">
        <f t="shared" si="84"/>
        <v>0</v>
      </c>
      <c r="I269">
        <f t="shared" si="76"/>
        <v>0</v>
      </c>
      <c r="J269">
        <f t="shared" si="77"/>
        <v>0</v>
      </c>
      <c r="K269">
        <f t="shared" si="78"/>
        <v>0</v>
      </c>
      <c r="L269">
        <f t="shared" si="85"/>
        <v>0</v>
      </c>
      <c r="M269">
        <f t="shared" si="79"/>
        <v>0</v>
      </c>
      <c r="N269" s="29">
        <f t="shared" si="86"/>
        <v>0</v>
      </c>
      <c r="O269" s="29">
        <f t="shared" si="80"/>
        <v>0</v>
      </c>
      <c r="P269" s="29">
        <f t="shared" si="87"/>
        <v>0</v>
      </c>
      <c r="Q269">
        <f t="shared" si="88"/>
        <v>0</v>
      </c>
      <c r="R269" s="29">
        <f t="shared" si="89"/>
        <v>0</v>
      </c>
      <c r="S269" s="29">
        <f t="shared" si="81"/>
        <v>0</v>
      </c>
      <c r="T269" s="29">
        <f t="shared" si="90"/>
        <v>0</v>
      </c>
      <c r="U269">
        <f t="shared" si="91"/>
        <v>0</v>
      </c>
      <c r="V269" s="29">
        <f t="shared" si="92"/>
        <v>0</v>
      </c>
      <c r="W269" s="29">
        <f t="shared" si="82"/>
        <v>0</v>
      </c>
      <c r="X269" s="29">
        <f t="shared" si="93"/>
        <v>0</v>
      </c>
      <c r="Y269">
        <f t="shared" si="94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allocations'!$A$1:$L$317,4,FALSE)</f>
        <v>19721.872207103839</v>
      </c>
      <c r="E270" s="31">
        <f>VLOOKUP(B270,'Initial adjusted formula count'!$A$1:$P$317,12,FALSE)</f>
        <v>0.155619596541787</v>
      </c>
      <c r="F270">
        <f>VLOOKUP(B270,'Model allocations'!$A$1:$L$317,9,FALSE)</f>
        <v>17749.684986393455</v>
      </c>
      <c r="G270" s="30">
        <f t="shared" si="83"/>
        <v>0.9</v>
      </c>
      <c r="H270">
        <f t="shared" si="84"/>
        <v>17749.684986393455</v>
      </c>
      <c r="I270">
        <f t="shared" si="76"/>
        <v>0</v>
      </c>
      <c r="J270">
        <f t="shared" si="77"/>
        <v>17749.684986393455</v>
      </c>
      <c r="K270">
        <f t="shared" si="78"/>
        <v>17734.677488195848</v>
      </c>
      <c r="L270">
        <f t="shared" si="85"/>
        <v>17734.677488195848</v>
      </c>
      <c r="M270">
        <f t="shared" si="79"/>
        <v>17749.684986393455</v>
      </c>
      <c r="N270" s="29">
        <f t="shared" si="86"/>
        <v>0</v>
      </c>
      <c r="O270" s="29">
        <f t="shared" si="80"/>
        <v>0</v>
      </c>
      <c r="P270" s="29">
        <f t="shared" si="87"/>
        <v>17749.684986393455</v>
      </c>
      <c r="Q270">
        <f t="shared" si="88"/>
        <v>0</v>
      </c>
      <c r="R270" s="29">
        <f t="shared" si="89"/>
        <v>0</v>
      </c>
      <c r="S270" s="29">
        <f t="shared" si="81"/>
        <v>0</v>
      </c>
      <c r="T270" s="29">
        <f t="shared" si="90"/>
        <v>17749.684986393455</v>
      </c>
      <c r="U270">
        <f t="shared" si="91"/>
        <v>0</v>
      </c>
      <c r="V270" s="29">
        <f t="shared" si="92"/>
        <v>0</v>
      </c>
      <c r="W270" s="29">
        <f t="shared" si="82"/>
        <v>0</v>
      </c>
      <c r="X270" s="29">
        <f t="shared" si="93"/>
        <v>17749.684986393455</v>
      </c>
      <c r="Y270">
        <f t="shared" si="94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allocations'!$A$1:$L$317,4,FALSE)</f>
        <v>0</v>
      </c>
      <c r="E271" s="31">
        <f>VLOOKUP(B271,'Initial adjusted formula count'!$A$1:$P$317,12,FALSE)</f>
        <v>4.5519516217701998E-2</v>
      </c>
      <c r="F271">
        <f>VLOOKUP(B271,'Model allocations'!$A$1:$L$317,9,FALSE)</f>
        <v>0</v>
      </c>
      <c r="G271" s="30">
        <f t="shared" si="83"/>
        <v>0.85</v>
      </c>
      <c r="H271">
        <f t="shared" si="8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85"/>
        <v>0</v>
      </c>
      <c r="M271">
        <f t="shared" si="79"/>
        <v>0</v>
      </c>
      <c r="N271" s="29">
        <f t="shared" si="86"/>
        <v>0</v>
      </c>
      <c r="O271" s="29">
        <f t="shared" si="80"/>
        <v>0</v>
      </c>
      <c r="P271" s="29">
        <f t="shared" si="87"/>
        <v>0</v>
      </c>
      <c r="Q271">
        <f t="shared" si="88"/>
        <v>0</v>
      </c>
      <c r="R271" s="29">
        <f t="shared" si="89"/>
        <v>0</v>
      </c>
      <c r="S271" s="29">
        <f t="shared" si="81"/>
        <v>0</v>
      </c>
      <c r="T271" s="29">
        <f t="shared" si="90"/>
        <v>0</v>
      </c>
      <c r="U271">
        <f t="shared" si="91"/>
        <v>0</v>
      </c>
      <c r="V271" s="29">
        <f t="shared" si="92"/>
        <v>0</v>
      </c>
      <c r="W271" s="29">
        <f t="shared" si="82"/>
        <v>0</v>
      </c>
      <c r="X271" s="29">
        <f t="shared" si="93"/>
        <v>0</v>
      </c>
      <c r="Y271">
        <f t="shared" si="94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allocations'!$A$1:$L$317,4,FALSE)</f>
        <v>6347.2692160794022</v>
      </c>
      <c r="E272" s="31">
        <f>VLOOKUP(B272,'Initial adjusted formula count'!$A$1:$P$317,12,FALSE)</f>
        <v>0.112426035502959</v>
      </c>
      <c r="F272">
        <f>VLOOKUP(B272,'Model allocations'!$A$1:$L$317,9,FALSE)</f>
        <v>5395.1788336674917</v>
      </c>
      <c r="G272" s="30">
        <f t="shared" si="83"/>
        <v>0.85</v>
      </c>
      <c r="H272">
        <f t="shared" si="84"/>
        <v>5395.1788336674917</v>
      </c>
      <c r="I272">
        <f t="shared" si="76"/>
        <v>0</v>
      </c>
      <c r="J272">
        <f t="shared" si="77"/>
        <v>5395.1788336674917</v>
      </c>
      <c r="K272">
        <f t="shared" si="78"/>
        <v>5390.6171675486794</v>
      </c>
      <c r="L272">
        <f t="shared" si="85"/>
        <v>5390.6171675486794</v>
      </c>
      <c r="M272">
        <f t="shared" si="79"/>
        <v>5395.1788336674917</v>
      </c>
      <c r="N272" s="29">
        <f t="shared" si="86"/>
        <v>0</v>
      </c>
      <c r="O272" s="29">
        <f t="shared" si="80"/>
        <v>0</v>
      </c>
      <c r="P272" s="29">
        <f t="shared" si="87"/>
        <v>5395.1788336674917</v>
      </c>
      <c r="Q272">
        <f t="shared" si="88"/>
        <v>0</v>
      </c>
      <c r="R272" s="29">
        <f t="shared" si="89"/>
        <v>0</v>
      </c>
      <c r="S272" s="29">
        <f t="shared" si="81"/>
        <v>0</v>
      </c>
      <c r="T272" s="29">
        <f t="shared" si="90"/>
        <v>5395.1788336674917</v>
      </c>
      <c r="U272">
        <f t="shared" si="91"/>
        <v>0</v>
      </c>
      <c r="V272" s="29">
        <f t="shared" si="92"/>
        <v>0</v>
      </c>
      <c r="W272" s="29">
        <f t="shared" si="82"/>
        <v>0</v>
      </c>
      <c r="X272" s="29">
        <f t="shared" si="93"/>
        <v>5395.1788336674917</v>
      </c>
      <c r="Y272">
        <f t="shared" si="94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allocations'!$A$1:$L$317,4,FALSE)</f>
        <v>0</v>
      </c>
      <c r="E273" s="31">
        <f>VLOOKUP(B273,'Initial adjusted formula count'!$A$1:$P$317,12,FALSE)</f>
        <v>8.3388484447385794E-2</v>
      </c>
      <c r="F273">
        <f>VLOOKUP(B273,'Model allocations'!$A$1:$L$317,9,FALSE)</f>
        <v>0</v>
      </c>
      <c r="G273" s="30">
        <f t="shared" si="83"/>
        <v>0.85</v>
      </c>
      <c r="H273">
        <f t="shared" si="8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85"/>
        <v>0</v>
      </c>
      <c r="M273">
        <f t="shared" si="79"/>
        <v>0</v>
      </c>
      <c r="N273" s="29">
        <f t="shared" si="86"/>
        <v>0</v>
      </c>
      <c r="O273" s="29">
        <f t="shared" si="80"/>
        <v>0</v>
      </c>
      <c r="P273" s="29">
        <f t="shared" si="87"/>
        <v>0</v>
      </c>
      <c r="Q273">
        <f t="shared" si="88"/>
        <v>0</v>
      </c>
      <c r="R273" s="29">
        <f t="shared" si="89"/>
        <v>0</v>
      </c>
      <c r="S273" s="29">
        <f t="shared" si="81"/>
        <v>0</v>
      </c>
      <c r="T273" s="29">
        <f t="shared" si="90"/>
        <v>0</v>
      </c>
      <c r="U273">
        <f t="shared" si="91"/>
        <v>0</v>
      </c>
      <c r="V273" s="29">
        <f t="shared" si="92"/>
        <v>0</v>
      </c>
      <c r="W273" s="29">
        <f t="shared" si="82"/>
        <v>0</v>
      </c>
      <c r="X273" s="29">
        <f t="shared" si="93"/>
        <v>0</v>
      </c>
      <c r="Y273">
        <f t="shared" si="94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allocations'!$A$1:$L$317,4,FALSE)</f>
        <v>5575.6129485546735</v>
      </c>
      <c r="E274" s="31">
        <f>VLOOKUP(B274,'Initial adjusted formula count'!$A$1:$P$317,12,FALSE)</f>
        <v>0.15384615384615399</v>
      </c>
      <c r="F274">
        <f>VLOOKUP(B274,'Model allocations'!$A$1:$L$317,9,FALSE)</f>
        <v>7487.8001471733114</v>
      </c>
      <c r="G274" s="30">
        <f t="shared" si="83"/>
        <v>0.9</v>
      </c>
      <c r="H274">
        <f t="shared" si="84"/>
        <v>5018.0516536992063</v>
      </c>
      <c r="I274">
        <f t="shared" si="76"/>
        <v>0</v>
      </c>
      <c r="J274">
        <f t="shared" si="77"/>
        <v>7487.8001471733114</v>
      </c>
      <c r="K274">
        <f t="shared" si="78"/>
        <v>7481.4691532824972</v>
      </c>
      <c r="L274">
        <f t="shared" si="85"/>
        <v>7481.4691532824972</v>
      </c>
      <c r="M274">
        <f t="shared" si="79"/>
        <v>0</v>
      </c>
      <c r="N274" s="29">
        <f t="shared" si="86"/>
        <v>7481.4691532824972</v>
      </c>
      <c r="O274" s="29">
        <f t="shared" si="80"/>
        <v>7479.5370245030972</v>
      </c>
      <c r="P274" s="29">
        <f t="shared" si="87"/>
        <v>7479.5370245030972</v>
      </c>
      <c r="Q274">
        <f t="shared" si="88"/>
        <v>0</v>
      </c>
      <c r="R274" s="29">
        <f t="shared" si="89"/>
        <v>7479.5370245030972</v>
      </c>
      <c r="S274" s="29">
        <f t="shared" si="81"/>
        <v>7479.5370245030972</v>
      </c>
      <c r="T274" s="29">
        <f t="shared" si="90"/>
        <v>7479.5370245030972</v>
      </c>
      <c r="U274">
        <f t="shared" si="91"/>
        <v>0</v>
      </c>
      <c r="V274" s="29">
        <f t="shared" si="92"/>
        <v>7479.5370245030972</v>
      </c>
      <c r="W274" s="29">
        <f t="shared" si="82"/>
        <v>7479.5370245030972</v>
      </c>
      <c r="X274" s="29">
        <f t="shared" si="93"/>
        <v>7479.5370245030972</v>
      </c>
      <c r="Y274">
        <f t="shared" si="94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allocations'!$A$1:$L$317,4,FALSE)</f>
        <v>0</v>
      </c>
      <c r="E275" s="31">
        <f>VLOOKUP(B275,'Initial adjusted formula count'!$A$1:$P$317,12,FALSE)</f>
        <v>7.9861111111111105E-2</v>
      </c>
      <c r="F275">
        <f>VLOOKUP(B275,'Model allocations'!$A$1:$L$317,9,FALSE)</f>
        <v>0</v>
      </c>
      <c r="G275" s="30">
        <f t="shared" si="83"/>
        <v>0.85</v>
      </c>
      <c r="H275">
        <f t="shared" si="84"/>
        <v>0</v>
      </c>
      <c r="I275">
        <f t="shared" si="76"/>
        <v>0</v>
      </c>
      <c r="J275">
        <f t="shared" si="77"/>
        <v>0</v>
      </c>
      <c r="K275">
        <f t="shared" si="78"/>
        <v>0</v>
      </c>
      <c r="L275">
        <f t="shared" si="85"/>
        <v>0</v>
      </c>
      <c r="M275">
        <f t="shared" si="79"/>
        <v>0</v>
      </c>
      <c r="N275" s="29">
        <f t="shared" si="86"/>
        <v>0</v>
      </c>
      <c r="O275" s="29">
        <f t="shared" si="80"/>
        <v>0</v>
      </c>
      <c r="P275" s="29">
        <f t="shared" si="87"/>
        <v>0</v>
      </c>
      <c r="Q275">
        <f t="shared" si="88"/>
        <v>0</v>
      </c>
      <c r="R275" s="29">
        <f t="shared" si="89"/>
        <v>0</v>
      </c>
      <c r="S275" s="29">
        <f t="shared" si="81"/>
        <v>0</v>
      </c>
      <c r="T275" s="29">
        <f t="shared" si="90"/>
        <v>0</v>
      </c>
      <c r="U275">
        <f t="shared" si="91"/>
        <v>0</v>
      </c>
      <c r="V275" s="29">
        <f t="shared" si="92"/>
        <v>0</v>
      </c>
      <c r="W275" s="29">
        <f t="shared" si="82"/>
        <v>0</v>
      </c>
      <c r="X275" s="29">
        <f t="shared" si="93"/>
        <v>0</v>
      </c>
      <c r="Y275">
        <f t="shared" si="94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allocations'!$A$1:$L$317,4,FALSE)</f>
        <v>65645.822170462285</v>
      </c>
      <c r="E276" s="31">
        <f>VLOOKUP(B276,'Initial adjusted formula count'!$A$1:$P$317,12,FALSE)</f>
        <v>0.24545454545454501</v>
      </c>
      <c r="F276">
        <f>VLOOKUP(B276,'Model allocations'!$A$1:$L$317,9,FALSE)</f>
        <v>63178.313741774786</v>
      </c>
      <c r="G276" s="30">
        <f t="shared" si="83"/>
        <v>0.9</v>
      </c>
      <c r="H276">
        <f t="shared" si="84"/>
        <v>59081.239953416058</v>
      </c>
      <c r="I276">
        <f t="shared" si="76"/>
        <v>0</v>
      </c>
      <c r="J276">
        <f t="shared" si="77"/>
        <v>63178.313741774786</v>
      </c>
      <c r="K276">
        <f t="shared" si="78"/>
        <v>63124.895980821042</v>
      </c>
      <c r="L276">
        <f t="shared" si="85"/>
        <v>63124.895980821042</v>
      </c>
      <c r="M276">
        <f t="shared" si="79"/>
        <v>0</v>
      </c>
      <c r="N276" s="29">
        <f t="shared" si="86"/>
        <v>63124.895980821042</v>
      </c>
      <c r="O276" s="29">
        <f t="shared" si="80"/>
        <v>63108.593644244866</v>
      </c>
      <c r="P276" s="29">
        <f t="shared" si="87"/>
        <v>63108.593644244866</v>
      </c>
      <c r="Q276">
        <f t="shared" si="88"/>
        <v>0</v>
      </c>
      <c r="R276" s="29">
        <f t="shared" si="89"/>
        <v>63108.593644244866</v>
      </c>
      <c r="S276" s="29">
        <f t="shared" si="81"/>
        <v>63108.593644244866</v>
      </c>
      <c r="T276" s="29">
        <f t="shared" si="90"/>
        <v>63108.593644244866</v>
      </c>
      <c r="U276">
        <f t="shared" si="91"/>
        <v>0</v>
      </c>
      <c r="V276" s="29">
        <f t="shared" si="92"/>
        <v>63108.593644244866</v>
      </c>
      <c r="W276" s="29">
        <f t="shared" si="82"/>
        <v>63108.593644244866</v>
      </c>
      <c r="X276" s="29">
        <f t="shared" si="93"/>
        <v>63108.593644244866</v>
      </c>
      <c r="Y276">
        <f t="shared" si="94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allocations'!$A$1:$L$317,4,FALSE)</f>
        <v>163668.87050033311</v>
      </c>
      <c r="E277" s="31">
        <f>VLOOKUP(B277,'Initial adjusted formula count'!$A$1:$P$317,12,FALSE)</f>
        <v>0.19354838709677399</v>
      </c>
      <c r="F277">
        <f>VLOOKUP(B277,'Model allocations'!$A$1:$L$317,9,FALSE)</f>
        <v>157243.8030906395</v>
      </c>
      <c r="G277" s="30">
        <f t="shared" si="83"/>
        <v>0.9</v>
      </c>
      <c r="H277">
        <f t="shared" si="84"/>
        <v>147301.9834502998</v>
      </c>
      <c r="I277">
        <f t="shared" si="76"/>
        <v>0</v>
      </c>
      <c r="J277">
        <f t="shared" si="77"/>
        <v>157243.8030906395</v>
      </c>
      <c r="K277">
        <f t="shared" si="78"/>
        <v>157110.85221893241</v>
      </c>
      <c r="L277">
        <f t="shared" si="85"/>
        <v>157110.85221893241</v>
      </c>
      <c r="M277">
        <f t="shared" si="79"/>
        <v>0</v>
      </c>
      <c r="N277" s="29">
        <f t="shared" si="86"/>
        <v>157110.85221893241</v>
      </c>
      <c r="O277" s="29">
        <f t="shared" si="80"/>
        <v>157070.27751456504</v>
      </c>
      <c r="P277" s="29">
        <f t="shared" si="87"/>
        <v>157070.27751456504</v>
      </c>
      <c r="Q277">
        <f t="shared" si="88"/>
        <v>0</v>
      </c>
      <c r="R277" s="29">
        <f t="shared" si="89"/>
        <v>157070.27751456504</v>
      </c>
      <c r="S277" s="29">
        <f t="shared" si="81"/>
        <v>157070.27751456504</v>
      </c>
      <c r="T277" s="29">
        <f t="shared" si="90"/>
        <v>157070.27751456504</v>
      </c>
      <c r="U277">
        <f t="shared" si="91"/>
        <v>0</v>
      </c>
      <c r="V277" s="29">
        <f t="shared" si="92"/>
        <v>157070.27751456504</v>
      </c>
      <c r="W277" s="29">
        <f t="shared" si="82"/>
        <v>157070.27751456504</v>
      </c>
      <c r="X277" s="29">
        <f t="shared" si="93"/>
        <v>157070.27751456504</v>
      </c>
      <c r="Y277">
        <f t="shared" si="94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allocations'!$A$1:$L$317,4,FALSE)</f>
        <v>0</v>
      </c>
      <c r="E278" s="31">
        <f>VLOOKUP(B278,'Initial adjusted formula count'!$A$1:$P$317,12,FALSE)</f>
        <v>0.10958904109589</v>
      </c>
      <c r="F278">
        <f>VLOOKUP(B278,'Model allocations'!$A$1:$L$317,9,FALSE)</f>
        <v>0</v>
      </c>
      <c r="G278" s="30">
        <f t="shared" si="83"/>
        <v>0.85</v>
      </c>
      <c r="H278">
        <f t="shared" si="84"/>
        <v>0</v>
      </c>
      <c r="I278">
        <f t="shared" si="76"/>
        <v>0</v>
      </c>
      <c r="J278">
        <f t="shared" si="77"/>
        <v>0</v>
      </c>
      <c r="K278">
        <f t="shared" si="78"/>
        <v>0</v>
      </c>
      <c r="L278">
        <f t="shared" si="85"/>
        <v>0</v>
      </c>
      <c r="M278">
        <f t="shared" si="79"/>
        <v>0</v>
      </c>
      <c r="N278" s="29">
        <f t="shared" si="86"/>
        <v>0</v>
      </c>
      <c r="O278" s="29">
        <f t="shared" si="80"/>
        <v>0</v>
      </c>
      <c r="P278" s="29">
        <f t="shared" si="87"/>
        <v>0</v>
      </c>
      <c r="Q278">
        <f t="shared" si="88"/>
        <v>0</v>
      </c>
      <c r="R278" s="29">
        <f t="shared" si="89"/>
        <v>0</v>
      </c>
      <c r="S278" s="29">
        <f t="shared" si="81"/>
        <v>0</v>
      </c>
      <c r="T278" s="29">
        <f t="shared" si="90"/>
        <v>0</v>
      </c>
      <c r="U278">
        <f t="shared" si="91"/>
        <v>0</v>
      </c>
      <c r="V278" s="29">
        <f t="shared" si="92"/>
        <v>0</v>
      </c>
      <c r="W278" s="29">
        <f t="shared" si="82"/>
        <v>0</v>
      </c>
      <c r="X278" s="29">
        <f t="shared" si="93"/>
        <v>0</v>
      </c>
      <c r="Y278">
        <f t="shared" si="94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allocations'!$A$1:$L$317,4,FALSE)</f>
        <v>0</v>
      </c>
      <c r="E279" s="31">
        <f>VLOOKUP(B279,'Initial adjusted formula count'!$A$1:$P$317,12,FALSE)</f>
        <v>9.1025641025640994E-2</v>
      </c>
      <c r="F279">
        <f>VLOOKUP(B279,'Model allocations'!$A$1:$L$317,9,FALSE)</f>
        <v>0</v>
      </c>
      <c r="G279" s="30">
        <f t="shared" si="83"/>
        <v>0.85</v>
      </c>
      <c r="H279">
        <f t="shared" si="84"/>
        <v>0</v>
      </c>
      <c r="I279">
        <f t="shared" si="76"/>
        <v>0</v>
      </c>
      <c r="J279">
        <f t="shared" si="77"/>
        <v>0</v>
      </c>
      <c r="K279">
        <f t="shared" si="78"/>
        <v>0</v>
      </c>
      <c r="L279">
        <f t="shared" si="85"/>
        <v>0</v>
      </c>
      <c r="M279">
        <f t="shared" si="79"/>
        <v>0</v>
      </c>
      <c r="N279" s="29">
        <f t="shared" si="86"/>
        <v>0</v>
      </c>
      <c r="O279" s="29">
        <f t="shared" si="80"/>
        <v>0</v>
      </c>
      <c r="P279" s="29">
        <f t="shared" si="87"/>
        <v>0</v>
      </c>
      <c r="Q279">
        <f t="shared" si="88"/>
        <v>0</v>
      </c>
      <c r="R279" s="29">
        <f t="shared" si="89"/>
        <v>0</v>
      </c>
      <c r="S279" s="29">
        <f t="shared" si="81"/>
        <v>0</v>
      </c>
      <c r="T279" s="29">
        <f t="shared" si="90"/>
        <v>0</v>
      </c>
      <c r="U279">
        <f t="shared" si="91"/>
        <v>0</v>
      </c>
      <c r="V279" s="29">
        <f t="shared" si="92"/>
        <v>0</v>
      </c>
      <c r="W279" s="29">
        <f t="shared" si="82"/>
        <v>0</v>
      </c>
      <c r="X279" s="29">
        <f t="shared" si="93"/>
        <v>0</v>
      </c>
      <c r="Y279">
        <f t="shared" si="94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allocations'!$A$1:$L$317,4,FALSE)</f>
        <v>9141.0428606285368</v>
      </c>
      <c r="E280" s="31">
        <f>VLOOKUP(B280,'Initial adjusted formula count'!$A$1:$P$317,12,FALSE)</f>
        <v>0.20297029702970301</v>
      </c>
      <c r="F280">
        <f>VLOOKUP(B280,'Model allocations'!$A$1:$L$317,9,FALSE)</f>
        <v>9593.7439385658035</v>
      </c>
      <c r="G280" s="30">
        <f t="shared" si="83"/>
        <v>0.9</v>
      </c>
      <c r="H280">
        <f t="shared" si="84"/>
        <v>8226.9385745656837</v>
      </c>
      <c r="I280">
        <f t="shared" si="76"/>
        <v>0</v>
      </c>
      <c r="J280">
        <f t="shared" si="77"/>
        <v>9593.7439385658035</v>
      </c>
      <c r="K280">
        <f t="shared" si="78"/>
        <v>9585.6323526431988</v>
      </c>
      <c r="L280">
        <f t="shared" si="85"/>
        <v>9585.6323526431988</v>
      </c>
      <c r="M280">
        <f t="shared" si="79"/>
        <v>0</v>
      </c>
      <c r="N280" s="29">
        <f t="shared" si="86"/>
        <v>9585.6323526431988</v>
      </c>
      <c r="O280" s="29">
        <f t="shared" si="80"/>
        <v>9583.1568126445927</v>
      </c>
      <c r="P280" s="29">
        <f t="shared" si="87"/>
        <v>9583.1568126445927</v>
      </c>
      <c r="Q280">
        <f t="shared" si="88"/>
        <v>0</v>
      </c>
      <c r="R280" s="29">
        <f t="shared" si="89"/>
        <v>9583.1568126445927</v>
      </c>
      <c r="S280" s="29">
        <f t="shared" si="81"/>
        <v>9583.1568126445927</v>
      </c>
      <c r="T280" s="29">
        <f t="shared" si="90"/>
        <v>9583.1568126445927</v>
      </c>
      <c r="U280">
        <f t="shared" si="91"/>
        <v>0</v>
      </c>
      <c r="V280" s="29">
        <f t="shared" si="92"/>
        <v>9583.1568126445927</v>
      </c>
      <c r="W280" s="29">
        <f t="shared" si="82"/>
        <v>9583.1568126445927</v>
      </c>
      <c r="X280" s="29">
        <f t="shared" si="93"/>
        <v>9583.1568126445927</v>
      </c>
      <c r="Y280">
        <f t="shared" si="94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allocations'!$A$1:$L$317,4,FALSE)</f>
        <v>103359.49179727057</v>
      </c>
      <c r="E281" s="31">
        <f>VLOOKUP(B281,'Initial adjusted formula count'!$A$1:$P$317,12,FALSE)</f>
        <v>0.223243807033351</v>
      </c>
      <c r="F281">
        <f>VLOOKUP(B281,'Model allocations'!$A$1:$L$317,9,FALSE)</f>
        <v>117906.54898381492</v>
      </c>
      <c r="G281" s="30">
        <f t="shared" si="83"/>
        <v>0.9</v>
      </c>
      <c r="H281">
        <f t="shared" si="84"/>
        <v>93023.542617543513</v>
      </c>
      <c r="I281">
        <f t="shared" si="76"/>
        <v>0</v>
      </c>
      <c r="J281">
        <f t="shared" si="77"/>
        <v>117906.54898381492</v>
      </c>
      <c r="K281">
        <f t="shared" si="78"/>
        <v>117806.85806971042</v>
      </c>
      <c r="L281">
        <f t="shared" si="85"/>
        <v>117806.85806971042</v>
      </c>
      <c r="M281">
        <f t="shared" si="79"/>
        <v>0</v>
      </c>
      <c r="N281" s="29">
        <f t="shared" si="86"/>
        <v>117806.85806971042</v>
      </c>
      <c r="O281" s="29">
        <f t="shared" si="80"/>
        <v>117776.43382866585</v>
      </c>
      <c r="P281" s="29">
        <f t="shared" si="87"/>
        <v>117776.43382866585</v>
      </c>
      <c r="Q281">
        <f t="shared" si="88"/>
        <v>0</v>
      </c>
      <c r="R281" s="29">
        <f t="shared" si="89"/>
        <v>117776.43382866585</v>
      </c>
      <c r="S281" s="29">
        <f t="shared" si="81"/>
        <v>117776.43382866585</v>
      </c>
      <c r="T281" s="29">
        <f t="shared" si="90"/>
        <v>117776.43382866585</v>
      </c>
      <c r="U281">
        <f t="shared" si="91"/>
        <v>0</v>
      </c>
      <c r="V281" s="29">
        <f t="shared" si="92"/>
        <v>117776.43382866585</v>
      </c>
      <c r="W281" s="29">
        <f t="shared" si="82"/>
        <v>117776.43382866585</v>
      </c>
      <c r="X281" s="29">
        <f t="shared" si="93"/>
        <v>117776.43382866585</v>
      </c>
      <c r="Y281">
        <f t="shared" si="94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allocations'!$A$1:$L$317,4,FALSE)</f>
        <v>0</v>
      </c>
      <c r="E282" s="31">
        <f>VLOOKUP(B282,'Initial adjusted formula count'!$A$1:$P$317,12,FALSE)</f>
        <v>9.2258440046565804E-2</v>
      </c>
      <c r="F282">
        <f>VLOOKUP(B282,'Model allocations'!$A$1:$L$317,9,FALSE)</f>
        <v>0</v>
      </c>
      <c r="G282" s="30">
        <f t="shared" si="83"/>
        <v>0.85</v>
      </c>
      <c r="H282">
        <f t="shared" si="84"/>
        <v>0</v>
      </c>
      <c r="I282">
        <f t="shared" si="76"/>
        <v>0</v>
      </c>
      <c r="J282">
        <f t="shared" si="77"/>
        <v>0</v>
      </c>
      <c r="K282">
        <f t="shared" si="78"/>
        <v>0</v>
      </c>
      <c r="L282">
        <f t="shared" si="85"/>
        <v>0</v>
      </c>
      <c r="M282">
        <f t="shared" si="79"/>
        <v>0</v>
      </c>
      <c r="N282" s="29">
        <f t="shared" si="86"/>
        <v>0</v>
      </c>
      <c r="O282" s="29">
        <f t="shared" si="80"/>
        <v>0</v>
      </c>
      <c r="P282" s="29">
        <f t="shared" si="87"/>
        <v>0</v>
      </c>
      <c r="Q282">
        <f t="shared" si="88"/>
        <v>0</v>
      </c>
      <c r="R282" s="29">
        <f t="shared" si="89"/>
        <v>0</v>
      </c>
      <c r="S282" s="29">
        <f t="shared" si="81"/>
        <v>0</v>
      </c>
      <c r="T282" s="29">
        <f t="shared" si="90"/>
        <v>0</v>
      </c>
      <c r="U282">
        <f t="shared" si="91"/>
        <v>0</v>
      </c>
      <c r="V282" s="29">
        <f t="shared" si="92"/>
        <v>0</v>
      </c>
      <c r="W282" s="29">
        <f t="shared" si="82"/>
        <v>0</v>
      </c>
      <c r="X282" s="29">
        <f t="shared" si="93"/>
        <v>0</v>
      </c>
      <c r="Y282">
        <f t="shared" si="94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allocations'!$A$1:$L$317,4,FALSE)</f>
        <v>45791.013630287074</v>
      </c>
      <c r="E283" s="31">
        <f>VLOOKUP(B283,'Initial adjusted formula count'!$A$1:$P$317,12,FALSE)</f>
        <v>0.31111111111111101</v>
      </c>
      <c r="F283">
        <f>VLOOKUP(B283,'Model allocations'!$A$1:$L$317,9,FALSE)</f>
        <v>58966.426158989823</v>
      </c>
      <c r="G283" s="30">
        <f t="shared" si="83"/>
        <v>0.95</v>
      </c>
      <c r="H283">
        <f t="shared" si="84"/>
        <v>43501.462948772722</v>
      </c>
      <c r="I283">
        <f t="shared" si="76"/>
        <v>0</v>
      </c>
      <c r="J283">
        <f t="shared" si="77"/>
        <v>58966.426158989823</v>
      </c>
      <c r="K283">
        <f t="shared" si="78"/>
        <v>58916.56958209967</v>
      </c>
      <c r="L283">
        <f t="shared" si="85"/>
        <v>58916.56958209967</v>
      </c>
      <c r="M283">
        <f t="shared" si="79"/>
        <v>0</v>
      </c>
      <c r="N283" s="29">
        <f t="shared" si="86"/>
        <v>58916.56958209967</v>
      </c>
      <c r="O283" s="29">
        <f t="shared" si="80"/>
        <v>58901.354067961896</v>
      </c>
      <c r="P283" s="29">
        <f t="shared" si="87"/>
        <v>58901.354067961896</v>
      </c>
      <c r="Q283">
        <f t="shared" si="88"/>
        <v>0</v>
      </c>
      <c r="R283" s="29">
        <f t="shared" si="89"/>
        <v>58901.354067961896</v>
      </c>
      <c r="S283" s="29">
        <f t="shared" si="81"/>
        <v>58901.354067961896</v>
      </c>
      <c r="T283" s="29">
        <f t="shared" si="90"/>
        <v>58901.354067961896</v>
      </c>
      <c r="U283">
        <f t="shared" si="91"/>
        <v>0</v>
      </c>
      <c r="V283" s="29">
        <f t="shared" si="92"/>
        <v>58901.354067961896</v>
      </c>
      <c r="W283" s="29">
        <f t="shared" si="82"/>
        <v>58901.354067961896</v>
      </c>
      <c r="X283" s="29">
        <f t="shared" si="93"/>
        <v>58901.354067961896</v>
      </c>
      <c r="Y283">
        <f t="shared" si="94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allocations'!$A$1:$L$317,4,FALSE)</f>
        <v>0</v>
      </c>
      <c r="E284" s="31">
        <f>VLOOKUP(B284,'Initial adjusted formula count'!$A$1:$P$317,12,FALSE)</f>
        <v>8.2722513089005204E-2</v>
      </c>
      <c r="F284">
        <f>VLOOKUP(B284,'Model allocations'!$A$1:$L$317,9,FALSE)</f>
        <v>0</v>
      </c>
      <c r="G284" s="30">
        <f t="shared" si="83"/>
        <v>0.85</v>
      </c>
      <c r="H284">
        <f t="shared" si="84"/>
        <v>0</v>
      </c>
      <c r="I284">
        <f t="shared" si="76"/>
        <v>0</v>
      </c>
      <c r="J284">
        <f t="shared" si="77"/>
        <v>0</v>
      </c>
      <c r="K284">
        <f t="shared" si="78"/>
        <v>0</v>
      </c>
      <c r="L284">
        <f t="shared" si="85"/>
        <v>0</v>
      </c>
      <c r="M284">
        <f t="shared" si="79"/>
        <v>0</v>
      </c>
      <c r="N284" s="29">
        <f t="shared" si="86"/>
        <v>0</v>
      </c>
      <c r="O284" s="29">
        <f t="shared" si="80"/>
        <v>0</v>
      </c>
      <c r="P284" s="29">
        <f t="shared" si="87"/>
        <v>0</v>
      </c>
      <c r="Q284">
        <f t="shared" si="88"/>
        <v>0</v>
      </c>
      <c r="R284" s="29">
        <f t="shared" si="89"/>
        <v>0</v>
      </c>
      <c r="S284" s="29">
        <f t="shared" si="81"/>
        <v>0</v>
      </c>
      <c r="T284" s="29">
        <f t="shared" si="90"/>
        <v>0</v>
      </c>
      <c r="U284">
        <f t="shared" si="91"/>
        <v>0</v>
      </c>
      <c r="V284" s="29">
        <f t="shared" si="92"/>
        <v>0</v>
      </c>
      <c r="W284" s="29">
        <f t="shared" si="82"/>
        <v>0</v>
      </c>
      <c r="X284" s="29">
        <f t="shared" si="93"/>
        <v>0</v>
      </c>
      <c r="Y284">
        <f t="shared" si="94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allocations'!$A$1:$L$317,4,FALSE)</f>
        <v>14961.4202950443</v>
      </c>
      <c r="E285" s="31">
        <f>VLOOKUP(B285,'Initial adjusted formula count'!$A$1:$P$317,12,FALSE)</f>
        <v>0.26206896551724101</v>
      </c>
      <c r="F285">
        <f>VLOOKUP(B285,'Model allocations'!$A$1:$L$317,9,FALSE)</f>
        <v>17783.525349536612</v>
      </c>
      <c r="G285" s="30">
        <f t="shared" si="83"/>
        <v>0.9</v>
      </c>
      <c r="H285">
        <f t="shared" si="84"/>
        <v>13465.27826553987</v>
      </c>
      <c r="I285">
        <f t="shared" si="76"/>
        <v>0</v>
      </c>
      <c r="J285">
        <f t="shared" si="77"/>
        <v>17783.525349536612</v>
      </c>
      <c r="K285">
        <f t="shared" si="78"/>
        <v>17768.489239045928</v>
      </c>
      <c r="L285">
        <f t="shared" si="85"/>
        <v>17768.489239045928</v>
      </c>
      <c r="M285">
        <f t="shared" si="79"/>
        <v>0</v>
      </c>
      <c r="N285" s="29">
        <f t="shared" si="86"/>
        <v>17768.489239045928</v>
      </c>
      <c r="O285" s="29">
        <f t="shared" si="80"/>
        <v>17763.900433194853</v>
      </c>
      <c r="P285" s="29">
        <f t="shared" si="87"/>
        <v>17763.900433194853</v>
      </c>
      <c r="Q285">
        <f t="shared" si="88"/>
        <v>0</v>
      </c>
      <c r="R285" s="29">
        <f t="shared" si="89"/>
        <v>17763.900433194853</v>
      </c>
      <c r="S285" s="29">
        <f t="shared" si="81"/>
        <v>17763.900433194853</v>
      </c>
      <c r="T285" s="29">
        <f t="shared" si="90"/>
        <v>17763.900433194853</v>
      </c>
      <c r="U285">
        <f t="shared" si="91"/>
        <v>0</v>
      </c>
      <c r="V285" s="29">
        <f t="shared" si="92"/>
        <v>17763.900433194853</v>
      </c>
      <c r="W285" s="29">
        <f t="shared" si="82"/>
        <v>17763.900433194853</v>
      </c>
      <c r="X285" s="29">
        <f t="shared" si="93"/>
        <v>17763.900433194853</v>
      </c>
      <c r="Y285">
        <f t="shared" si="94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allocations'!$A$1:$L$317,4,FALSE)</f>
        <v>0</v>
      </c>
      <c r="E286" s="31">
        <f>VLOOKUP(B286,'Initial adjusted formula count'!$A$1:$P$317,12,FALSE)</f>
        <v>0.110056601252549</v>
      </c>
      <c r="F286">
        <f>VLOOKUP(B286,'Model allocations'!$A$1:$L$317,9,FALSE)</f>
        <v>0</v>
      </c>
      <c r="G286" s="30">
        <f t="shared" si="83"/>
        <v>0.85</v>
      </c>
      <c r="H286">
        <f t="shared" si="84"/>
        <v>0</v>
      </c>
      <c r="I286">
        <f t="shared" si="76"/>
        <v>0</v>
      </c>
      <c r="J286">
        <f t="shared" si="77"/>
        <v>0</v>
      </c>
      <c r="K286">
        <f t="shared" si="78"/>
        <v>0</v>
      </c>
      <c r="L286">
        <f t="shared" si="85"/>
        <v>0</v>
      </c>
      <c r="M286">
        <f t="shared" si="79"/>
        <v>0</v>
      </c>
      <c r="N286" s="29">
        <f t="shared" si="86"/>
        <v>0</v>
      </c>
      <c r="O286" s="29">
        <f t="shared" si="80"/>
        <v>0</v>
      </c>
      <c r="P286" s="29">
        <f t="shared" si="87"/>
        <v>0</v>
      </c>
      <c r="Q286">
        <f t="shared" si="88"/>
        <v>0</v>
      </c>
      <c r="R286" s="29">
        <f t="shared" si="89"/>
        <v>0</v>
      </c>
      <c r="S286" s="29">
        <f t="shared" si="81"/>
        <v>0</v>
      </c>
      <c r="T286" s="29">
        <f t="shared" si="90"/>
        <v>0</v>
      </c>
      <c r="U286">
        <f t="shared" si="91"/>
        <v>0</v>
      </c>
      <c r="V286" s="29">
        <f t="shared" si="92"/>
        <v>0</v>
      </c>
      <c r="W286" s="29">
        <f t="shared" si="82"/>
        <v>0</v>
      </c>
      <c r="X286" s="29">
        <f t="shared" si="93"/>
        <v>0</v>
      </c>
      <c r="Y286">
        <f t="shared" si="94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allocations'!$A$1:$L$317,4,FALSE)</f>
        <v>0</v>
      </c>
      <c r="E287" s="31">
        <f>VLOOKUP(B287,'Initial adjusted formula count'!$A$1:$P$317,12,FALSE)</f>
        <v>7.8389830508474603E-2</v>
      </c>
      <c r="F287">
        <f>VLOOKUP(B287,'Model allocations'!$A$1:$L$317,9,FALSE)</f>
        <v>0</v>
      </c>
      <c r="G287" s="30">
        <f t="shared" si="83"/>
        <v>0.85</v>
      </c>
      <c r="H287">
        <f t="shared" si="84"/>
        <v>0</v>
      </c>
      <c r="I287">
        <f t="shared" si="76"/>
        <v>0</v>
      </c>
      <c r="J287">
        <f t="shared" si="77"/>
        <v>0</v>
      </c>
      <c r="K287">
        <f t="shared" si="78"/>
        <v>0</v>
      </c>
      <c r="L287">
        <f t="shared" si="85"/>
        <v>0</v>
      </c>
      <c r="M287">
        <f t="shared" si="79"/>
        <v>0</v>
      </c>
      <c r="N287" s="29">
        <f t="shared" si="86"/>
        <v>0</v>
      </c>
      <c r="O287" s="29">
        <f t="shared" si="80"/>
        <v>0</v>
      </c>
      <c r="P287" s="29">
        <f t="shared" si="87"/>
        <v>0</v>
      </c>
      <c r="Q287">
        <f t="shared" si="88"/>
        <v>0</v>
      </c>
      <c r="R287" s="29">
        <f t="shared" si="89"/>
        <v>0</v>
      </c>
      <c r="S287" s="29">
        <f t="shared" si="81"/>
        <v>0</v>
      </c>
      <c r="T287" s="29">
        <f t="shared" si="90"/>
        <v>0</v>
      </c>
      <c r="U287">
        <f t="shared" si="91"/>
        <v>0</v>
      </c>
      <c r="V287" s="29">
        <f t="shared" si="92"/>
        <v>0</v>
      </c>
      <c r="W287" s="29">
        <f t="shared" si="82"/>
        <v>0</v>
      </c>
      <c r="X287" s="29">
        <f t="shared" si="93"/>
        <v>0</v>
      </c>
      <c r="Y287">
        <f t="shared" si="94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allocations'!$A$1:$L$317,4,FALSE)</f>
        <v>24935.700491740503</v>
      </c>
      <c r="E288" s="31">
        <f>VLOOKUP(B288,'Initial adjusted formula count'!$A$1:$P$317,12,FALSE)</f>
        <v>0.180555555555556</v>
      </c>
      <c r="F288">
        <f>VLOOKUP(B288,'Model allocations'!$A$1:$L$317,9,FALSE)</f>
        <v>22442.130442566453</v>
      </c>
      <c r="G288" s="30">
        <f t="shared" si="83"/>
        <v>0.9</v>
      </c>
      <c r="H288">
        <f t="shared" si="84"/>
        <v>22442.130442566453</v>
      </c>
      <c r="I288">
        <f t="shared" si="76"/>
        <v>0</v>
      </c>
      <c r="J288">
        <f t="shared" si="77"/>
        <v>22442.130442566453</v>
      </c>
      <c r="K288">
        <f t="shared" si="78"/>
        <v>22423.155444845343</v>
      </c>
      <c r="L288">
        <f t="shared" si="85"/>
        <v>22423.155444845343</v>
      </c>
      <c r="M288">
        <f t="shared" si="79"/>
        <v>22442.130442566453</v>
      </c>
      <c r="N288" s="29">
        <f t="shared" si="86"/>
        <v>0</v>
      </c>
      <c r="O288" s="29">
        <f t="shared" si="80"/>
        <v>0</v>
      </c>
      <c r="P288" s="29">
        <f t="shared" si="87"/>
        <v>22442.130442566453</v>
      </c>
      <c r="Q288">
        <f t="shared" si="88"/>
        <v>0</v>
      </c>
      <c r="R288" s="29">
        <f t="shared" si="89"/>
        <v>0</v>
      </c>
      <c r="S288" s="29">
        <f t="shared" si="81"/>
        <v>0</v>
      </c>
      <c r="T288" s="29">
        <f t="shared" si="90"/>
        <v>22442.130442566453</v>
      </c>
      <c r="U288">
        <f t="shared" si="91"/>
        <v>0</v>
      </c>
      <c r="V288" s="29">
        <f t="shared" si="92"/>
        <v>0</v>
      </c>
      <c r="W288" s="29">
        <f t="shared" si="82"/>
        <v>0</v>
      </c>
      <c r="X288" s="29">
        <f t="shared" si="93"/>
        <v>22442.130442566453</v>
      </c>
      <c r="Y288">
        <f t="shared" si="94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allocations'!$A$1:$L$317,4,FALSE)</f>
        <v>79567.553387281034</v>
      </c>
      <c r="E289" s="31">
        <f>VLOOKUP(B289,'Initial adjusted formula count'!$A$1:$P$317,12,FALSE)</f>
        <v>0.148957298907646</v>
      </c>
      <c r="F289">
        <f>VLOOKUP(B289,'Model allocations'!$A$1:$L$317,9,FALSE)</f>
        <v>67632.420379188872</v>
      </c>
      <c r="G289" s="30">
        <f t="shared" si="83"/>
        <v>0.85</v>
      </c>
      <c r="H289">
        <f t="shared" si="84"/>
        <v>67632.420379188872</v>
      </c>
      <c r="I289">
        <f t="shared" si="76"/>
        <v>0</v>
      </c>
      <c r="J289">
        <f t="shared" si="77"/>
        <v>67632.420379188872</v>
      </c>
      <c r="K289">
        <f t="shared" si="78"/>
        <v>67575.236636056623</v>
      </c>
      <c r="L289">
        <f t="shared" si="85"/>
        <v>67575.236636056623</v>
      </c>
      <c r="M289">
        <f t="shared" si="79"/>
        <v>67632.420379188872</v>
      </c>
      <c r="N289" s="29">
        <f t="shared" si="86"/>
        <v>0</v>
      </c>
      <c r="O289" s="29">
        <f t="shared" si="80"/>
        <v>0</v>
      </c>
      <c r="P289" s="29">
        <f t="shared" si="87"/>
        <v>67632.420379188872</v>
      </c>
      <c r="Q289">
        <f t="shared" si="88"/>
        <v>0</v>
      </c>
      <c r="R289" s="29">
        <f t="shared" si="89"/>
        <v>0</v>
      </c>
      <c r="S289" s="29">
        <f t="shared" si="81"/>
        <v>0</v>
      </c>
      <c r="T289" s="29">
        <f t="shared" si="90"/>
        <v>67632.420379188872</v>
      </c>
      <c r="U289">
        <f t="shared" si="91"/>
        <v>0</v>
      </c>
      <c r="V289" s="29">
        <f t="shared" si="92"/>
        <v>0</v>
      </c>
      <c r="W289" s="29">
        <f t="shared" si="82"/>
        <v>0</v>
      </c>
      <c r="X289" s="29">
        <f t="shared" si="93"/>
        <v>67632.420379188872</v>
      </c>
      <c r="Y289">
        <f t="shared" si="94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allocations'!$A$1:$L$317,4,FALSE)</f>
        <v>0</v>
      </c>
      <c r="E290" s="31">
        <f>VLOOKUP(B290,'Initial adjusted formula count'!$A$1:$P$317,12,FALSE)</f>
        <v>0.134545454545455</v>
      </c>
      <c r="F290">
        <f>VLOOKUP(B290,'Model allocations'!$A$1:$L$317,9,FALSE)</f>
        <v>0</v>
      </c>
      <c r="G290" s="30">
        <f t="shared" si="83"/>
        <v>0.85</v>
      </c>
      <c r="H290">
        <f t="shared" si="84"/>
        <v>0</v>
      </c>
      <c r="I290">
        <f t="shared" si="76"/>
        <v>0</v>
      </c>
      <c r="J290">
        <f t="shared" si="77"/>
        <v>0</v>
      </c>
      <c r="K290">
        <f t="shared" si="78"/>
        <v>0</v>
      </c>
      <c r="L290">
        <f t="shared" si="85"/>
        <v>0</v>
      </c>
      <c r="M290">
        <f t="shared" si="79"/>
        <v>0</v>
      </c>
      <c r="N290" s="29">
        <f t="shared" si="86"/>
        <v>0</v>
      </c>
      <c r="O290" s="29">
        <f t="shared" si="80"/>
        <v>0</v>
      </c>
      <c r="P290" s="29">
        <f t="shared" si="87"/>
        <v>0</v>
      </c>
      <c r="Q290">
        <f t="shared" si="88"/>
        <v>0</v>
      </c>
      <c r="R290" s="29">
        <f t="shared" si="89"/>
        <v>0</v>
      </c>
      <c r="S290" s="29">
        <f t="shared" si="81"/>
        <v>0</v>
      </c>
      <c r="T290" s="29">
        <f t="shared" si="90"/>
        <v>0</v>
      </c>
      <c r="U290">
        <f t="shared" si="91"/>
        <v>0</v>
      </c>
      <c r="V290" s="29">
        <f t="shared" si="92"/>
        <v>0</v>
      </c>
      <c r="W290" s="29">
        <f t="shared" si="82"/>
        <v>0</v>
      </c>
      <c r="X290" s="29">
        <f t="shared" si="93"/>
        <v>0</v>
      </c>
      <c r="Y290">
        <f t="shared" si="94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allocations'!$A$1:$L$317,4,FALSE)</f>
        <v>0</v>
      </c>
      <c r="E291" s="31">
        <f>VLOOKUP(B291,'Initial adjusted formula count'!$A$1:$P$317,12,FALSE)</f>
        <v>0.179202423018677</v>
      </c>
      <c r="F291">
        <f>VLOOKUP(B291,'Model allocations'!$A$1:$L$317,9,FALSE)</f>
        <v>249203.34864811169</v>
      </c>
      <c r="G291" s="30">
        <f t="shared" si="83"/>
        <v>0.9</v>
      </c>
      <c r="H291">
        <f t="shared" si="84"/>
        <v>0</v>
      </c>
      <c r="I291">
        <f t="shared" si="76"/>
        <v>0</v>
      </c>
      <c r="J291">
        <f t="shared" si="77"/>
        <v>249203.34864811169</v>
      </c>
      <c r="K291">
        <f t="shared" si="78"/>
        <v>248992.64525768303</v>
      </c>
      <c r="L291">
        <f t="shared" si="85"/>
        <v>248992.64525768303</v>
      </c>
      <c r="M291">
        <f t="shared" si="79"/>
        <v>0</v>
      </c>
      <c r="N291" s="29">
        <f t="shared" si="86"/>
        <v>248992.64525768303</v>
      </c>
      <c r="O291" s="29">
        <f t="shared" si="80"/>
        <v>248928.34159674367</v>
      </c>
      <c r="P291" s="29">
        <f t="shared" si="87"/>
        <v>248928.34159674367</v>
      </c>
      <c r="Q291">
        <f t="shared" si="88"/>
        <v>0</v>
      </c>
      <c r="R291" s="29">
        <f t="shared" si="89"/>
        <v>248928.34159674367</v>
      </c>
      <c r="S291" s="29">
        <f t="shared" si="81"/>
        <v>248928.34159674367</v>
      </c>
      <c r="T291" s="29">
        <f t="shared" si="90"/>
        <v>248928.34159674367</v>
      </c>
      <c r="U291">
        <f t="shared" si="91"/>
        <v>0</v>
      </c>
      <c r="V291" s="29">
        <f t="shared" si="92"/>
        <v>248928.34159674367</v>
      </c>
      <c r="W291" s="29">
        <f t="shared" si="82"/>
        <v>248928.34159674367</v>
      </c>
      <c r="X291" s="29">
        <f t="shared" si="93"/>
        <v>248928.34159674367</v>
      </c>
      <c r="Y291">
        <f t="shared" si="94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allocations'!$A$1:$L$317,4,FALSE)</f>
        <v>193591.71109042165</v>
      </c>
      <c r="E292" s="31">
        <f>VLOOKUP(B292,'Initial adjusted formula count'!$A$1:$P$317,12,FALSE)</f>
        <v>0.21741621311945</v>
      </c>
      <c r="F292">
        <f>VLOOKUP(B292,'Model allocations'!$A$1:$L$317,9,FALSE)</f>
        <v>177601.25974076692</v>
      </c>
      <c r="G292" s="30">
        <f t="shared" si="83"/>
        <v>0.9</v>
      </c>
      <c r="H292">
        <f t="shared" si="84"/>
        <v>174232.53998137949</v>
      </c>
      <c r="I292">
        <f t="shared" si="76"/>
        <v>0</v>
      </c>
      <c r="J292">
        <f t="shared" si="77"/>
        <v>177601.25974076692</v>
      </c>
      <c r="K292">
        <f t="shared" si="78"/>
        <v>177451.09647941918</v>
      </c>
      <c r="L292">
        <f t="shared" si="85"/>
        <v>177451.09647941918</v>
      </c>
      <c r="M292">
        <f t="shared" si="79"/>
        <v>0</v>
      </c>
      <c r="N292" s="29">
        <f t="shared" si="86"/>
        <v>177451.09647941918</v>
      </c>
      <c r="O292" s="29">
        <f t="shared" si="80"/>
        <v>177405.26879993279</v>
      </c>
      <c r="P292" s="29">
        <f t="shared" si="87"/>
        <v>177405.26879993279</v>
      </c>
      <c r="Q292">
        <f t="shared" si="88"/>
        <v>0</v>
      </c>
      <c r="R292" s="29">
        <f t="shared" si="89"/>
        <v>177405.26879993279</v>
      </c>
      <c r="S292" s="29">
        <f t="shared" si="81"/>
        <v>177405.26879993279</v>
      </c>
      <c r="T292" s="29">
        <f t="shared" si="90"/>
        <v>177405.26879993279</v>
      </c>
      <c r="U292">
        <f t="shared" si="91"/>
        <v>0</v>
      </c>
      <c r="V292" s="29">
        <f t="shared" si="92"/>
        <v>177405.26879993279</v>
      </c>
      <c r="W292" s="29">
        <f t="shared" si="82"/>
        <v>177405.26879993279</v>
      </c>
      <c r="X292" s="29">
        <f t="shared" si="93"/>
        <v>177405.26879993279</v>
      </c>
      <c r="Y292">
        <f t="shared" si="94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allocations'!$A$1:$L$317,4,FALSE)</f>
        <v>39670.432600496242</v>
      </c>
      <c r="E293" s="31">
        <f>VLOOKUP(B293,'Initial adjusted formula count'!$A$1:$P$317,12,FALSE)</f>
        <v>0.23183391003460199</v>
      </c>
      <c r="F293">
        <f>VLOOKUP(B293,'Model allocations'!$A$1:$L$317,9,FALSE)</f>
        <v>47032.744674432353</v>
      </c>
      <c r="G293" s="30">
        <f t="shared" si="83"/>
        <v>0.9</v>
      </c>
      <c r="H293">
        <f t="shared" si="84"/>
        <v>35703.389340446622</v>
      </c>
      <c r="I293">
        <f t="shared" si="76"/>
        <v>0</v>
      </c>
      <c r="J293">
        <f t="shared" si="77"/>
        <v>47032.744674432353</v>
      </c>
      <c r="K293">
        <f t="shared" si="78"/>
        <v>46992.978119055682</v>
      </c>
      <c r="L293">
        <f t="shared" si="85"/>
        <v>46992.978119055682</v>
      </c>
      <c r="M293">
        <f t="shared" si="79"/>
        <v>0</v>
      </c>
      <c r="N293" s="29">
        <f t="shared" si="86"/>
        <v>46992.978119055682</v>
      </c>
      <c r="O293" s="29">
        <f t="shared" si="80"/>
        <v>46980.841935160075</v>
      </c>
      <c r="P293" s="29">
        <f t="shared" si="87"/>
        <v>46980.841935160075</v>
      </c>
      <c r="Q293">
        <f t="shared" si="88"/>
        <v>0</v>
      </c>
      <c r="R293" s="29">
        <f t="shared" si="89"/>
        <v>46980.841935160075</v>
      </c>
      <c r="S293" s="29">
        <f t="shared" si="81"/>
        <v>46980.841935160075</v>
      </c>
      <c r="T293" s="29">
        <f t="shared" si="90"/>
        <v>46980.841935160075</v>
      </c>
      <c r="U293">
        <f t="shared" si="91"/>
        <v>0</v>
      </c>
      <c r="V293" s="29">
        <f t="shared" si="92"/>
        <v>46980.841935160075</v>
      </c>
      <c r="W293" s="29">
        <f t="shared" si="82"/>
        <v>46980.841935160075</v>
      </c>
      <c r="X293" s="29">
        <f t="shared" si="93"/>
        <v>46980.841935160075</v>
      </c>
      <c r="Y293">
        <f t="shared" si="94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allocations'!$A$1:$L$317,4,FALSE)</f>
        <v>0</v>
      </c>
      <c r="E294" s="31">
        <f>VLOOKUP(B294,'Initial adjusted formula count'!$A$1:$P$317,12,FALSE)</f>
        <v>6.73051343442405E-2</v>
      </c>
      <c r="F294">
        <f>VLOOKUP(B294,'Model allocations'!$A$1:$L$317,9,FALSE)</f>
        <v>0</v>
      </c>
      <c r="G294" s="30">
        <f t="shared" si="83"/>
        <v>0.85</v>
      </c>
      <c r="H294">
        <f t="shared" si="84"/>
        <v>0</v>
      </c>
      <c r="I294">
        <f t="shared" si="76"/>
        <v>0</v>
      </c>
      <c r="J294">
        <f t="shared" si="77"/>
        <v>0</v>
      </c>
      <c r="K294">
        <f t="shared" si="78"/>
        <v>0</v>
      </c>
      <c r="L294">
        <f t="shared" si="85"/>
        <v>0</v>
      </c>
      <c r="M294">
        <f t="shared" si="79"/>
        <v>0</v>
      </c>
      <c r="N294" s="29">
        <f t="shared" si="86"/>
        <v>0</v>
      </c>
      <c r="O294" s="29">
        <f t="shared" si="80"/>
        <v>0</v>
      </c>
      <c r="P294" s="29">
        <f t="shared" si="87"/>
        <v>0</v>
      </c>
      <c r="Q294">
        <f t="shared" si="88"/>
        <v>0</v>
      </c>
      <c r="R294" s="29">
        <f t="shared" si="89"/>
        <v>0</v>
      </c>
      <c r="S294" s="29">
        <f t="shared" si="81"/>
        <v>0</v>
      </c>
      <c r="T294" s="29">
        <f t="shared" si="90"/>
        <v>0</v>
      </c>
      <c r="U294">
        <f t="shared" si="91"/>
        <v>0</v>
      </c>
      <c r="V294" s="29">
        <f t="shared" si="92"/>
        <v>0</v>
      </c>
      <c r="W294" s="29">
        <f t="shared" si="82"/>
        <v>0</v>
      </c>
      <c r="X294" s="29">
        <f t="shared" si="93"/>
        <v>0</v>
      </c>
      <c r="Y294">
        <f t="shared" si="94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allocations'!$A$1:$L$317,4,FALSE)</f>
        <v>1818.4223737979735</v>
      </c>
      <c r="E295" s="31">
        <f>VLOOKUP(B295,'Initial adjusted formula count'!$A$1:$P$317,12,FALSE)</f>
        <v>3.03030303030303E-2</v>
      </c>
      <c r="F295">
        <f>VLOOKUP(B295,'Model allocations'!$A$1:$L$317,9,FALSE)</f>
        <v>1545.6590177282774</v>
      </c>
      <c r="G295" s="30">
        <f t="shared" si="83"/>
        <v>0.85</v>
      </c>
      <c r="H295">
        <f t="shared" si="84"/>
        <v>1545.6590177282774</v>
      </c>
      <c r="I295">
        <f t="shared" si="76"/>
        <v>0</v>
      </c>
      <c r="J295">
        <f t="shared" si="77"/>
        <v>1545.6590177282774</v>
      </c>
      <c r="K295">
        <f t="shared" si="78"/>
        <v>1544.3521508773756</v>
      </c>
      <c r="L295">
        <f t="shared" si="85"/>
        <v>1544.3521508773756</v>
      </c>
      <c r="M295">
        <f t="shared" si="79"/>
        <v>1545.6590177282774</v>
      </c>
      <c r="N295" s="29">
        <f t="shared" si="86"/>
        <v>0</v>
      </c>
      <c r="O295" s="29">
        <f t="shared" si="80"/>
        <v>0</v>
      </c>
      <c r="P295" s="29">
        <f t="shared" si="87"/>
        <v>1545.6590177282774</v>
      </c>
      <c r="Q295">
        <f t="shared" si="88"/>
        <v>0</v>
      </c>
      <c r="R295" s="29">
        <f t="shared" si="89"/>
        <v>0</v>
      </c>
      <c r="S295" s="29">
        <f t="shared" si="81"/>
        <v>0</v>
      </c>
      <c r="T295" s="29">
        <f t="shared" si="90"/>
        <v>1545.6590177282774</v>
      </c>
      <c r="U295">
        <f t="shared" si="91"/>
        <v>0</v>
      </c>
      <c r="V295" s="29">
        <f t="shared" si="92"/>
        <v>0</v>
      </c>
      <c r="W295" s="29">
        <f t="shared" si="82"/>
        <v>0</v>
      </c>
      <c r="X295" s="29">
        <f t="shared" si="93"/>
        <v>1545.6590177282774</v>
      </c>
      <c r="Y295">
        <f t="shared" si="94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allocations'!$A$1:$L$317,4,FALSE)</f>
        <v>9352.6410749949355</v>
      </c>
      <c r="E296" s="31">
        <f>VLOOKUP(B296,'Initial adjusted formula count'!$A$1:$P$317,12,FALSE)</f>
        <v>0.11782477341389699</v>
      </c>
      <c r="F296">
        <f>VLOOKUP(B296,'Model allocations'!$A$1:$L$317,9,FALSE)</f>
        <v>7949.7449137456952</v>
      </c>
      <c r="G296" s="30">
        <f t="shared" si="83"/>
        <v>0.85</v>
      </c>
      <c r="H296">
        <f t="shared" si="84"/>
        <v>7949.7449137456952</v>
      </c>
      <c r="I296">
        <f t="shared" si="76"/>
        <v>0</v>
      </c>
      <c r="J296">
        <f t="shared" si="77"/>
        <v>7949.7449137456952</v>
      </c>
      <c r="K296">
        <f t="shared" si="78"/>
        <v>7943.0233419231017</v>
      </c>
      <c r="L296">
        <f t="shared" si="85"/>
        <v>7943.0233419231017</v>
      </c>
      <c r="M296">
        <f t="shared" si="79"/>
        <v>7949.7449137456952</v>
      </c>
      <c r="N296" s="29">
        <f t="shared" si="86"/>
        <v>0</v>
      </c>
      <c r="O296" s="29">
        <f t="shared" si="80"/>
        <v>0</v>
      </c>
      <c r="P296" s="29">
        <f t="shared" si="87"/>
        <v>7949.7449137456952</v>
      </c>
      <c r="Q296">
        <f t="shared" si="88"/>
        <v>0</v>
      </c>
      <c r="R296" s="29">
        <f t="shared" si="89"/>
        <v>0</v>
      </c>
      <c r="S296" s="29">
        <f t="shared" si="81"/>
        <v>0</v>
      </c>
      <c r="T296" s="29">
        <f t="shared" si="90"/>
        <v>7949.7449137456952</v>
      </c>
      <c r="U296">
        <f t="shared" si="91"/>
        <v>0</v>
      </c>
      <c r="V296" s="29">
        <f t="shared" si="92"/>
        <v>0</v>
      </c>
      <c r="W296" s="29">
        <f t="shared" si="82"/>
        <v>0</v>
      </c>
      <c r="X296" s="29">
        <f t="shared" si="93"/>
        <v>7949.7449137456952</v>
      </c>
      <c r="Y296">
        <f t="shared" si="94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allocations'!$A$1:$L$317,4,FALSE)</f>
        <v>15425.509827310645</v>
      </c>
      <c r="E297" s="31">
        <f>VLOOKUP(B297,'Initial adjusted formula count'!$A$1:$P$317,12,FALSE)</f>
        <v>0.230283911671924</v>
      </c>
      <c r="F297">
        <f>VLOOKUP(B297,'Model allocations'!$A$1:$L$317,9,FALSE)</f>
        <v>17081.544085739108</v>
      </c>
      <c r="G297" s="30">
        <f t="shared" si="83"/>
        <v>0.9</v>
      </c>
      <c r="H297">
        <f t="shared" si="84"/>
        <v>13882.958844579582</v>
      </c>
      <c r="I297">
        <f t="shared" si="76"/>
        <v>0</v>
      </c>
      <c r="J297">
        <f t="shared" si="77"/>
        <v>17081.544085739108</v>
      </c>
      <c r="K297">
        <f t="shared" si="78"/>
        <v>17067.10150592569</v>
      </c>
      <c r="L297">
        <f t="shared" si="85"/>
        <v>17067.10150592569</v>
      </c>
      <c r="M297">
        <f t="shared" si="79"/>
        <v>0</v>
      </c>
      <c r="N297" s="29">
        <f t="shared" si="86"/>
        <v>17067.10150592569</v>
      </c>
      <c r="O297" s="29">
        <f t="shared" si="80"/>
        <v>17062.693837147683</v>
      </c>
      <c r="P297" s="29">
        <f t="shared" si="87"/>
        <v>17062.693837147683</v>
      </c>
      <c r="Q297">
        <f t="shared" si="88"/>
        <v>0</v>
      </c>
      <c r="R297" s="29">
        <f t="shared" si="89"/>
        <v>17062.693837147683</v>
      </c>
      <c r="S297" s="29">
        <f t="shared" si="81"/>
        <v>17062.693837147683</v>
      </c>
      <c r="T297" s="29">
        <f t="shared" si="90"/>
        <v>17062.693837147683</v>
      </c>
      <c r="U297">
        <f t="shared" si="91"/>
        <v>0</v>
      </c>
      <c r="V297" s="29">
        <f t="shared" si="92"/>
        <v>17062.693837147683</v>
      </c>
      <c r="W297" s="29">
        <f t="shared" si="82"/>
        <v>17062.693837147683</v>
      </c>
      <c r="X297" s="29">
        <f t="shared" si="93"/>
        <v>17062.693837147683</v>
      </c>
      <c r="Y297">
        <f t="shared" si="94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allocations'!$A$1:$L$317,4,FALSE)</f>
        <v>175350.9872106596</v>
      </c>
      <c r="E298" s="31">
        <f>VLOOKUP(B298,'Initial adjusted formula count'!$A$1:$P$317,12,FALSE)</f>
        <v>0.132873693120831</v>
      </c>
      <c r="F298">
        <f>VLOOKUP(B298,'Model allocations'!$A$1:$L$317,9,FALSE)</f>
        <v>148924.58416689432</v>
      </c>
      <c r="G298" s="30">
        <f t="shared" si="83"/>
        <v>0.85</v>
      </c>
      <c r="H298">
        <f t="shared" si="84"/>
        <v>149048.33912906065</v>
      </c>
      <c r="I298">
        <f t="shared" si="76"/>
        <v>149048.33912906065</v>
      </c>
      <c r="J298">
        <f t="shared" si="77"/>
        <v>0</v>
      </c>
      <c r="K298">
        <f t="shared" si="78"/>
        <v>0</v>
      </c>
      <c r="L298">
        <f t="shared" si="85"/>
        <v>149048.33912906065</v>
      </c>
      <c r="M298">
        <f t="shared" si="79"/>
        <v>0</v>
      </c>
      <c r="N298" s="29">
        <f t="shared" si="86"/>
        <v>0</v>
      </c>
      <c r="O298" s="29">
        <f t="shared" si="80"/>
        <v>0</v>
      </c>
      <c r="P298" s="29">
        <f t="shared" si="87"/>
        <v>149048.33912906065</v>
      </c>
      <c r="Q298">
        <f t="shared" si="88"/>
        <v>0</v>
      </c>
      <c r="R298" s="29">
        <f t="shared" si="89"/>
        <v>0</v>
      </c>
      <c r="S298" s="29">
        <f t="shared" si="81"/>
        <v>0</v>
      </c>
      <c r="T298" s="29">
        <f t="shared" si="90"/>
        <v>149048.33912906065</v>
      </c>
      <c r="U298">
        <f t="shared" si="91"/>
        <v>0</v>
      </c>
      <c r="V298" s="29">
        <f t="shared" si="92"/>
        <v>0</v>
      </c>
      <c r="W298" s="29">
        <f t="shared" si="82"/>
        <v>0</v>
      </c>
      <c r="X298" s="29">
        <f t="shared" si="93"/>
        <v>149048.33912906065</v>
      </c>
      <c r="Y298">
        <f t="shared" si="94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allocations'!$A$1:$L$317,4,FALSE)</f>
        <v>0</v>
      </c>
      <c r="E299" s="31">
        <f>VLOOKUP(B299,'Initial adjusted formula count'!$A$1:$P$317,12,FALSE)</f>
        <v>0.108668730650155</v>
      </c>
      <c r="F299">
        <f>VLOOKUP(B299,'Model allocations'!$A$1:$L$317,9,FALSE)</f>
        <v>0</v>
      </c>
      <c r="G299" s="30">
        <f t="shared" si="83"/>
        <v>0.85</v>
      </c>
      <c r="H299">
        <f t="shared" si="84"/>
        <v>0</v>
      </c>
      <c r="I299">
        <f t="shared" si="76"/>
        <v>0</v>
      </c>
      <c r="J299">
        <f t="shared" si="77"/>
        <v>0</v>
      </c>
      <c r="K299">
        <f t="shared" si="78"/>
        <v>0</v>
      </c>
      <c r="L299">
        <f t="shared" si="85"/>
        <v>0</v>
      </c>
      <c r="M299">
        <f t="shared" si="79"/>
        <v>0</v>
      </c>
      <c r="N299" s="29">
        <f t="shared" si="86"/>
        <v>0</v>
      </c>
      <c r="O299" s="29">
        <f t="shared" si="80"/>
        <v>0</v>
      </c>
      <c r="P299" s="29">
        <f t="shared" si="87"/>
        <v>0</v>
      </c>
      <c r="Q299">
        <f t="shared" si="88"/>
        <v>0</v>
      </c>
      <c r="R299" s="29">
        <f t="shared" si="89"/>
        <v>0</v>
      </c>
      <c r="S299" s="29">
        <f t="shared" si="81"/>
        <v>0</v>
      </c>
      <c r="T299" s="29">
        <f t="shared" si="90"/>
        <v>0</v>
      </c>
      <c r="U299">
        <f t="shared" si="91"/>
        <v>0</v>
      </c>
      <c r="V299" s="29">
        <f t="shared" si="92"/>
        <v>0</v>
      </c>
      <c r="W299" s="29">
        <f t="shared" si="82"/>
        <v>0</v>
      </c>
      <c r="X299" s="29">
        <f t="shared" si="93"/>
        <v>0</v>
      </c>
      <c r="Y299">
        <f t="shared" si="94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allocations'!$A$1:$L$317,4,FALSE)</f>
        <v>0</v>
      </c>
      <c r="E300" s="31">
        <f>VLOOKUP(B300,'Initial adjusted formula count'!$A$1:$P$317,12,FALSE)</f>
        <v>0.11717011128775801</v>
      </c>
      <c r="F300">
        <f>VLOOKUP(B300,'Model allocations'!$A$1:$L$317,9,FALSE)</f>
        <v>0</v>
      </c>
      <c r="G300" s="30">
        <f t="shared" si="83"/>
        <v>0.85</v>
      </c>
      <c r="H300">
        <f t="shared" si="84"/>
        <v>0</v>
      </c>
      <c r="I300">
        <f t="shared" si="76"/>
        <v>0</v>
      </c>
      <c r="J300">
        <f t="shared" si="77"/>
        <v>0</v>
      </c>
      <c r="K300">
        <f t="shared" si="78"/>
        <v>0</v>
      </c>
      <c r="L300">
        <f t="shared" si="85"/>
        <v>0</v>
      </c>
      <c r="M300">
        <f t="shared" si="79"/>
        <v>0</v>
      </c>
      <c r="N300" s="29">
        <f t="shared" si="86"/>
        <v>0</v>
      </c>
      <c r="O300" s="29">
        <f t="shared" si="80"/>
        <v>0</v>
      </c>
      <c r="P300" s="29">
        <f t="shared" si="87"/>
        <v>0</v>
      </c>
      <c r="Q300">
        <f t="shared" si="88"/>
        <v>0</v>
      </c>
      <c r="R300" s="29">
        <f t="shared" si="89"/>
        <v>0</v>
      </c>
      <c r="S300" s="29">
        <f t="shared" si="81"/>
        <v>0</v>
      </c>
      <c r="T300" s="29">
        <f t="shared" si="90"/>
        <v>0</v>
      </c>
      <c r="U300">
        <f t="shared" si="91"/>
        <v>0</v>
      </c>
      <c r="V300" s="29">
        <f t="shared" si="92"/>
        <v>0</v>
      </c>
      <c r="W300" s="29">
        <f t="shared" si="82"/>
        <v>0</v>
      </c>
      <c r="X300" s="29">
        <f t="shared" si="93"/>
        <v>0</v>
      </c>
      <c r="Y300">
        <f t="shared" si="94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allocations'!$A$1:$L$317,4,FALSE)</f>
        <v>0</v>
      </c>
      <c r="E301" s="31">
        <f>VLOOKUP(B301,'Initial adjusted formula count'!$A$1:$P$317,12,FALSE)</f>
        <v>7.0283347368702204E-2</v>
      </c>
      <c r="F301">
        <f>VLOOKUP(B301,'Model allocations'!$A$1:$L$317,9,FALSE)</f>
        <v>0</v>
      </c>
      <c r="G301" s="30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29">
        <f t="shared" si="86"/>
        <v>0</v>
      </c>
      <c r="O301" s="29">
        <f t="shared" si="80"/>
        <v>0</v>
      </c>
      <c r="P301" s="29">
        <f t="shared" si="87"/>
        <v>0</v>
      </c>
      <c r="Q301">
        <f t="shared" si="88"/>
        <v>0</v>
      </c>
      <c r="R301" s="29">
        <f t="shared" si="89"/>
        <v>0</v>
      </c>
      <c r="S301" s="29">
        <f t="shared" si="81"/>
        <v>0</v>
      </c>
      <c r="T301" s="29">
        <f t="shared" si="90"/>
        <v>0</v>
      </c>
      <c r="U301">
        <f t="shared" si="91"/>
        <v>0</v>
      </c>
      <c r="V301" s="29">
        <f t="shared" si="92"/>
        <v>0</v>
      </c>
      <c r="W301" s="29">
        <f t="shared" si="82"/>
        <v>0</v>
      </c>
      <c r="X301" s="29">
        <f t="shared" si="93"/>
        <v>0</v>
      </c>
      <c r="Y301">
        <f t="shared" si="94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allocations'!$A$1:$L$317,4,FALSE)</f>
        <v>20144.150007681394</v>
      </c>
      <c r="E302" s="31">
        <f>VLOOKUP(B302,'Initial adjusted formula count'!$A$1:$P$317,12,FALSE)</f>
        <v>0.19789473684210501</v>
      </c>
      <c r="F302">
        <f>VLOOKUP(B302,'Model allocations'!$A$1:$L$317,9,FALSE)</f>
        <v>21995.412932321593</v>
      </c>
      <c r="G302" s="30">
        <f t="shared" si="83"/>
        <v>0.9</v>
      </c>
      <c r="H302">
        <f t="shared" si="84"/>
        <v>18129.735006913255</v>
      </c>
      <c r="I302">
        <f t="shared" si="76"/>
        <v>0</v>
      </c>
      <c r="J302">
        <f t="shared" si="77"/>
        <v>21995.412932321593</v>
      </c>
      <c r="K302">
        <f t="shared" si="78"/>
        <v>21976.815637767329</v>
      </c>
      <c r="L302">
        <f t="shared" si="85"/>
        <v>21976.815637767329</v>
      </c>
      <c r="M302">
        <f t="shared" si="79"/>
        <v>0</v>
      </c>
      <c r="N302" s="29">
        <f t="shared" si="86"/>
        <v>21976.815637767329</v>
      </c>
      <c r="O302" s="29">
        <f t="shared" si="80"/>
        <v>21971.140009477844</v>
      </c>
      <c r="P302" s="29">
        <f t="shared" si="87"/>
        <v>21971.140009477844</v>
      </c>
      <c r="Q302">
        <f t="shared" si="88"/>
        <v>0</v>
      </c>
      <c r="R302" s="29">
        <f t="shared" si="89"/>
        <v>21971.140009477844</v>
      </c>
      <c r="S302" s="29">
        <f t="shared" si="81"/>
        <v>21971.140009477844</v>
      </c>
      <c r="T302" s="29">
        <f t="shared" si="90"/>
        <v>21971.140009477844</v>
      </c>
      <c r="U302">
        <f t="shared" si="91"/>
        <v>0</v>
      </c>
      <c r="V302" s="29">
        <f t="shared" si="92"/>
        <v>21971.140009477844</v>
      </c>
      <c r="W302" s="29">
        <f t="shared" si="82"/>
        <v>21971.140009477844</v>
      </c>
      <c r="X302" s="29">
        <f t="shared" si="93"/>
        <v>21971.140009477844</v>
      </c>
      <c r="Y302">
        <f t="shared" si="94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allocations'!$A$1:$L$317,4,FALSE)</f>
        <v>0</v>
      </c>
      <c r="E303" s="31">
        <f>VLOOKUP(B303,'Initial adjusted formula count'!$A$1:$P$317,12,FALSE)</f>
        <v>4.0786136939983099E-2</v>
      </c>
      <c r="F303">
        <f>VLOOKUP(B303,'Model allocations'!$A$1:$L$317,9,FALSE)</f>
        <v>0</v>
      </c>
      <c r="G303" s="30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29">
        <f t="shared" si="86"/>
        <v>0</v>
      </c>
      <c r="O303" s="29">
        <f t="shared" si="80"/>
        <v>0</v>
      </c>
      <c r="P303" s="29">
        <f t="shared" si="87"/>
        <v>0</v>
      </c>
      <c r="Q303">
        <f t="shared" si="88"/>
        <v>0</v>
      </c>
      <c r="R303" s="29">
        <f t="shared" si="89"/>
        <v>0</v>
      </c>
      <c r="S303" s="29">
        <f t="shared" si="81"/>
        <v>0</v>
      </c>
      <c r="T303" s="29">
        <f t="shared" si="90"/>
        <v>0</v>
      </c>
      <c r="U303">
        <f t="shared" si="91"/>
        <v>0</v>
      </c>
      <c r="V303" s="29">
        <f t="shared" si="92"/>
        <v>0</v>
      </c>
      <c r="W303" s="29">
        <f t="shared" si="82"/>
        <v>0</v>
      </c>
      <c r="X303" s="29">
        <f t="shared" si="93"/>
        <v>0</v>
      </c>
      <c r="Y303">
        <f t="shared" si="94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allocations'!$A$1:$L$317,4,FALSE)</f>
        <v>0</v>
      </c>
      <c r="E304" s="31">
        <f>VLOOKUP(B304,'Initial adjusted formula count'!$A$1:$P$317,12,FALSE)</f>
        <v>0.121852152721365</v>
      </c>
      <c r="F304">
        <f>VLOOKUP(B304,'Model allocations'!$A$1:$L$317,9,FALSE)</f>
        <v>0</v>
      </c>
      <c r="G304" s="30">
        <f t="shared" si="83"/>
        <v>0.85</v>
      </c>
      <c r="H304">
        <f t="shared" si="84"/>
        <v>0</v>
      </c>
      <c r="I304">
        <f t="shared" si="76"/>
        <v>0</v>
      </c>
      <c r="J304">
        <f t="shared" si="77"/>
        <v>0</v>
      </c>
      <c r="K304">
        <f t="shared" si="78"/>
        <v>0</v>
      </c>
      <c r="L304">
        <f t="shared" si="85"/>
        <v>0</v>
      </c>
      <c r="M304">
        <f t="shared" si="79"/>
        <v>0</v>
      </c>
      <c r="N304" s="29">
        <f t="shared" si="86"/>
        <v>0</v>
      </c>
      <c r="O304" s="29">
        <f t="shared" si="80"/>
        <v>0</v>
      </c>
      <c r="P304" s="29">
        <f t="shared" si="87"/>
        <v>0</v>
      </c>
      <c r="Q304">
        <f t="shared" si="88"/>
        <v>0</v>
      </c>
      <c r="R304" s="29">
        <f t="shared" si="89"/>
        <v>0</v>
      </c>
      <c r="S304" s="29">
        <f t="shared" si="81"/>
        <v>0</v>
      </c>
      <c r="T304" s="29">
        <f t="shared" si="90"/>
        <v>0</v>
      </c>
      <c r="U304">
        <f t="shared" si="91"/>
        <v>0</v>
      </c>
      <c r="V304" s="29">
        <f t="shared" si="92"/>
        <v>0</v>
      </c>
      <c r="W304" s="29">
        <f t="shared" si="82"/>
        <v>0</v>
      </c>
      <c r="X304" s="29">
        <f t="shared" si="93"/>
        <v>0</v>
      </c>
      <c r="Y304">
        <f t="shared" si="94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allocations'!$A$1:$L$317,4,FALSE)</f>
        <v>8179.312435133852</v>
      </c>
      <c r="E305" s="31">
        <f>VLOOKUP(B305,'Initial adjusted formula count'!$A$1:$P$317,12,FALSE)</f>
        <v>0.18500267811471999</v>
      </c>
      <c r="F305">
        <f>VLOOKUP(B305,'Model allocations'!$A$1:$L$317,9,FALSE)</f>
        <v>6334.6926281470951</v>
      </c>
      <c r="G305" s="30">
        <f t="shared" si="83"/>
        <v>0.9</v>
      </c>
      <c r="H305">
        <f t="shared" si="84"/>
        <v>7361.3811916204668</v>
      </c>
      <c r="I305">
        <f t="shared" si="76"/>
        <v>7361.3811916204668</v>
      </c>
      <c r="J305">
        <f t="shared" si="77"/>
        <v>0</v>
      </c>
      <c r="K305">
        <f t="shared" si="78"/>
        <v>0</v>
      </c>
      <c r="L305">
        <f t="shared" si="85"/>
        <v>7361.3811916204668</v>
      </c>
      <c r="M305">
        <f t="shared" si="79"/>
        <v>0</v>
      </c>
      <c r="N305" s="29">
        <f t="shared" si="86"/>
        <v>0</v>
      </c>
      <c r="O305" s="29">
        <f t="shared" si="80"/>
        <v>0</v>
      </c>
      <c r="P305" s="29">
        <f t="shared" si="87"/>
        <v>7361.3811916204668</v>
      </c>
      <c r="Q305">
        <f t="shared" si="88"/>
        <v>0</v>
      </c>
      <c r="R305" s="29">
        <f t="shared" si="89"/>
        <v>0</v>
      </c>
      <c r="S305" s="29">
        <f t="shared" si="81"/>
        <v>0</v>
      </c>
      <c r="T305" s="29">
        <f t="shared" si="90"/>
        <v>7361.3811916204668</v>
      </c>
      <c r="U305">
        <f t="shared" si="91"/>
        <v>0</v>
      </c>
      <c r="V305" s="29">
        <f t="shared" si="92"/>
        <v>0</v>
      </c>
      <c r="W305" s="29">
        <f t="shared" si="82"/>
        <v>0</v>
      </c>
      <c r="X305" s="29">
        <f t="shared" si="93"/>
        <v>7361.3811916204668</v>
      </c>
      <c r="Y305">
        <f t="shared" si="94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allocations'!$A$1:$L$317,4,FALSE)</f>
        <v>0</v>
      </c>
      <c r="E306" s="31">
        <f>VLOOKUP(B306,'Initial adjusted formula count'!$A$1:$P$317,12,FALSE)</f>
        <v>0.12831858407079599</v>
      </c>
      <c r="F306">
        <f>VLOOKUP(B306,'Model allocations'!$A$1:$L$317,9,FALSE)</f>
        <v>0</v>
      </c>
      <c r="G306" s="30">
        <f t="shared" si="83"/>
        <v>0.85</v>
      </c>
      <c r="H306">
        <f t="shared" si="84"/>
        <v>0</v>
      </c>
      <c r="I306">
        <f t="shared" si="76"/>
        <v>0</v>
      </c>
      <c r="J306">
        <f t="shared" si="77"/>
        <v>0</v>
      </c>
      <c r="K306">
        <f t="shared" si="78"/>
        <v>0</v>
      </c>
      <c r="L306">
        <f t="shared" si="85"/>
        <v>0</v>
      </c>
      <c r="M306">
        <f t="shared" si="79"/>
        <v>0</v>
      </c>
      <c r="N306" s="29">
        <f t="shared" si="86"/>
        <v>0</v>
      </c>
      <c r="O306" s="29">
        <f t="shared" si="80"/>
        <v>0</v>
      </c>
      <c r="P306" s="29">
        <f t="shared" si="87"/>
        <v>0</v>
      </c>
      <c r="Q306">
        <f t="shared" si="88"/>
        <v>0</v>
      </c>
      <c r="R306" s="29">
        <f t="shared" si="89"/>
        <v>0</v>
      </c>
      <c r="S306" s="29">
        <f t="shared" si="81"/>
        <v>0</v>
      </c>
      <c r="T306" s="29">
        <f t="shared" si="90"/>
        <v>0</v>
      </c>
      <c r="U306">
        <f t="shared" si="91"/>
        <v>0</v>
      </c>
      <c r="V306" s="29">
        <f t="shared" si="92"/>
        <v>0</v>
      </c>
      <c r="W306" s="29">
        <f t="shared" si="82"/>
        <v>0</v>
      </c>
      <c r="X306" s="29">
        <f t="shared" si="93"/>
        <v>0</v>
      </c>
      <c r="Y306">
        <f t="shared" si="94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allocations'!$A$1:$L$317,4,FALSE)</f>
        <v>11321.525852586967</v>
      </c>
      <c r="E307" s="31">
        <f>VLOOKUP(B307,'Initial adjusted formula count'!$A$1:$P$317,12,FALSE)</f>
        <v>8.4639498432601906E-2</v>
      </c>
      <c r="F307">
        <f>VLOOKUP(B307,'Model allocations'!$A$1:$L$317,9,FALSE)</f>
        <v>9623.296974698922</v>
      </c>
      <c r="G307" s="30">
        <f t="shared" si="83"/>
        <v>0.85</v>
      </c>
      <c r="H307">
        <f t="shared" si="84"/>
        <v>9623.296974698922</v>
      </c>
      <c r="I307">
        <f t="shared" si="76"/>
        <v>0</v>
      </c>
      <c r="J307">
        <f t="shared" si="77"/>
        <v>9623.296974698922</v>
      </c>
      <c r="K307">
        <f t="shared" si="78"/>
        <v>9615.1604014519307</v>
      </c>
      <c r="L307">
        <f t="shared" si="85"/>
        <v>9615.1604014519307</v>
      </c>
      <c r="M307">
        <f t="shared" si="79"/>
        <v>9623.296974698922</v>
      </c>
      <c r="N307" s="29">
        <f t="shared" si="86"/>
        <v>0</v>
      </c>
      <c r="O307" s="29">
        <f t="shared" si="80"/>
        <v>0</v>
      </c>
      <c r="P307" s="29">
        <f t="shared" si="87"/>
        <v>9623.296974698922</v>
      </c>
      <c r="Q307">
        <f t="shared" si="88"/>
        <v>0</v>
      </c>
      <c r="R307" s="29">
        <f t="shared" si="89"/>
        <v>0</v>
      </c>
      <c r="S307" s="29">
        <f t="shared" si="81"/>
        <v>0</v>
      </c>
      <c r="T307" s="29">
        <f t="shared" si="90"/>
        <v>9623.296974698922</v>
      </c>
      <c r="U307">
        <f t="shared" si="91"/>
        <v>0</v>
      </c>
      <c r="V307" s="29">
        <f t="shared" si="92"/>
        <v>0</v>
      </c>
      <c r="W307" s="29">
        <f t="shared" si="82"/>
        <v>0</v>
      </c>
      <c r="X307" s="29">
        <f t="shared" si="93"/>
        <v>9623.296974698922</v>
      </c>
      <c r="Y307">
        <f t="shared" si="94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allocations'!$A$1:$L$317,4,FALSE)</f>
        <v>2510.0445587040394</v>
      </c>
      <c r="E308" s="31">
        <f>VLOOKUP(B308,'Initial adjusted formula count'!$A$1:$P$317,12,FALSE)</f>
        <v>0.14285714285714299</v>
      </c>
      <c r="F308">
        <f>VLOOKUP(B308,'Model allocations'!$A$1:$L$317,9,FALSE)</f>
        <v>2133.5378748984335</v>
      </c>
      <c r="G308" s="30">
        <f t="shared" si="83"/>
        <v>0.85</v>
      </c>
      <c r="H308">
        <f t="shared" si="84"/>
        <v>2133.5378748984335</v>
      </c>
      <c r="I308">
        <f t="shared" si="76"/>
        <v>0</v>
      </c>
      <c r="J308">
        <f t="shared" si="77"/>
        <v>2133.5378748984335</v>
      </c>
      <c r="K308">
        <f t="shared" si="78"/>
        <v>2131.733951852103</v>
      </c>
      <c r="L308">
        <f t="shared" si="85"/>
        <v>2131.733951852103</v>
      </c>
      <c r="M308">
        <f t="shared" si="79"/>
        <v>2133.5378748984335</v>
      </c>
      <c r="N308" s="29">
        <f t="shared" si="86"/>
        <v>0</v>
      </c>
      <c r="O308" s="29">
        <f t="shared" si="80"/>
        <v>0</v>
      </c>
      <c r="P308" s="29">
        <f t="shared" si="87"/>
        <v>2133.5378748984335</v>
      </c>
      <c r="Q308">
        <f t="shared" si="88"/>
        <v>0</v>
      </c>
      <c r="R308" s="29">
        <f t="shared" si="89"/>
        <v>0</v>
      </c>
      <c r="S308" s="29">
        <f t="shared" si="81"/>
        <v>0</v>
      </c>
      <c r="T308" s="29">
        <f t="shared" si="90"/>
        <v>2133.5378748984335</v>
      </c>
      <c r="U308">
        <f t="shared" si="91"/>
        <v>0</v>
      </c>
      <c r="V308" s="29">
        <f t="shared" si="92"/>
        <v>0</v>
      </c>
      <c r="W308" s="29">
        <f t="shared" si="82"/>
        <v>0</v>
      </c>
      <c r="X308" s="29">
        <f t="shared" si="93"/>
        <v>2133.5378748984335</v>
      </c>
      <c r="Y308">
        <f t="shared" si="94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allocations'!$A$1:$L$317,4,FALSE)</f>
        <v>22063.996591020456</v>
      </c>
      <c r="E309" s="31">
        <f>VLOOKUP(B309,'Initial adjusted formula count'!$A$1:$P$317,12,FALSE)</f>
        <v>0.118004866180049</v>
      </c>
      <c r="F309">
        <f>VLOOKUP(B309,'Model allocations'!$A$1:$L$317,9,FALSE)</f>
        <v>18754.397102367388</v>
      </c>
      <c r="G309" s="30">
        <f t="shared" si="83"/>
        <v>0.85</v>
      </c>
      <c r="H309">
        <f t="shared" si="84"/>
        <v>18754.397102367388</v>
      </c>
      <c r="I309">
        <f t="shared" si="76"/>
        <v>0</v>
      </c>
      <c r="J309">
        <f t="shared" si="77"/>
        <v>18754.397102367388</v>
      </c>
      <c r="K309">
        <f t="shared" si="78"/>
        <v>18738.540112177045</v>
      </c>
      <c r="L309">
        <f t="shared" si="85"/>
        <v>18738.540112177045</v>
      </c>
      <c r="M309">
        <f t="shared" si="79"/>
        <v>18754.397102367388</v>
      </c>
      <c r="N309" s="29">
        <f t="shared" si="86"/>
        <v>0</v>
      </c>
      <c r="O309" s="29">
        <f t="shared" si="80"/>
        <v>0</v>
      </c>
      <c r="P309" s="29">
        <f t="shared" si="87"/>
        <v>18754.397102367388</v>
      </c>
      <c r="Q309">
        <f t="shared" si="88"/>
        <v>0</v>
      </c>
      <c r="R309" s="29">
        <f t="shared" si="89"/>
        <v>0</v>
      </c>
      <c r="S309" s="29">
        <f t="shared" si="81"/>
        <v>0</v>
      </c>
      <c r="T309" s="29">
        <f t="shared" si="90"/>
        <v>18754.397102367388</v>
      </c>
      <c r="U309">
        <f t="shared" si="91"/>
        <v>0</v>
      </c>
      <c r="V309" s="29">
        <f t="shared" si="92"/>
        <v>0</v>
      </c>
      <c r="W309" s="29">
        <f t="shared" si="82"/>
        <v>0</v>
      </c>
      <c r="X309" s="29">
        <f t="shared" si="93"/>
        <v>18754.397102367388</v>
      </c>
      <c r="Y309">
        <f t="shared" si="94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allocations'!$A$1:$L$317,4,FALSE)</f>
        <v>0</v>
      </c>
      <c r="E310" s="31">
        <f>VLOOKUP(B310,'Initial adjusted formula count'!$A$1:$P$317,12,FALSE)</f>
        <v>0.19047619047618999</v>
      </c>
      <c r="F310">
        <f>VLOOKUP(B310,'Model allocations'!$A$1:$L$317,9,FALSE)</f>
        <v>6551.8251287766461</v>
      </c>
      <c r="G310" s="30">
        <f t="shared" si="83"/>
        <v>0.9</v>
      </c>
      <c r="H310">
        <f t="shared" si="84"/>
        <v>0</v>
      </c>
      <c r="I310">
        <f t="shared" si="76"/>
        <v>0</v>
      </c>
      <c r="J310">
        <f t="shared" si="77"/>
        <v>6551.8251287766461</v>
      </c>
      <c r="K310">
        <f t="shared" si="78"/>
        <v>6546.2855091221836</v>
      </c>
      <c r="L310">
        <f t="shared" si="85"/>
        <v>6546.2855091221836</v>
      </c>
      <c r="M310">
        <f t="shared" si="79"/>
        <v>0</v>
      </c>
      <c r="N310" s="29">
        <f t="shared" si="86"/>
        <v>6546.2855091221836</v>
      </c>
      <c r="O310" s="29">
        <f t="shared" si="80"/>
        <v>6544.5948964402096</v>
      </c>
      <c r="P310" s="29">
        <f t="shared" si="87"/>
        <v>6544.5948964402096</v>
      </c>
      <c r="Q310">
        <f t="shared" si="88"/>
        <v>0</v>
      </c>
      <c r="R310" s="29">
        <f t="shared" si="89"/>
        <v>6544.5948964402096</v>
      </c>
      <c r="S310" s="29">
        <f t="shared" si="81"/>
        <v>6544.5948964402096</v>
      </c>
      <c r="T310" s="29">
        <f t="shared" si="90"/>
        <v>6544.5948964402096</v>
      </c>
      <c r="U310">
        <f t="shared" si="91"/>
        <v>0</v>
      </c>
      <c r="V310" s="29">
        <f t="shared" si="92"/>
        <v>6544.5948964402096</v>
      </c>
      <c r="W310" s="29">
        <f t="shared" si="82"/>
        <v>6544.5948964402096</v>
      </c>
      <c r="X310" s="29">
        <f t="shared" si="93"/>
        <v>6544.5948964402096</v>
      </c>
      <c r="Y310">
        <f t="shared" si="94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allocations'!$A$1:$L$317,4,FALSE)</f>
        <v>3627.0109806168002</v>
      </c>
      <c r="E311" s="31">
        <f>VLOOKUP(B311,'Initial adjusted formula count'!$A$1:$P$317,12,FALSE)</f>
        <v>0.70454545454545403</v>
      </c>
      <c r="F311">
        <f>VLOOKUP(B311,'Model allocations'!$A$1:$L$317,9,FALSE)</f>
        <v>7253.8063925741435</v>
      </c>
      <c r="G311" s="30">
        <f t="shared" si="83"/>
        <v>0.95</v>
      </c>
      <c r="H311">
        <f t="shared" si="84"/>
        <v>3445.6604315859599</v>
      </c>
      <c r="I311">
        <f t="shared" si="76"/>
        <v>0</v>
      </c>
      <c r="J311">
        <f t="shared" si="77"/>
        <v>7253.8063925741435</v>
      </c>
      <c r="K311">
        <f t="shared" si="78"/>
        <v>7247.6732422424184</v>
      </c>
      <c r="L311">
        <f t="shared" si="85"/>
        <v>7247.6732422424184</v>
      </c>
      <c r="M311">
        <f t="shared" si="79"/>
        <v>0</v>
      </c>
      <c r="N311" s="29">
        <f t="shared" si="86"/>
        <v>7247.6732422424184</v>
      </c>
      <c r="O311" s="29">
        <f t="shared" si="80"/>
        <v>7245.801492487376</v>
      </c>
      <c r="P311" s="29">
        <f t="shared" si="87"/>
        <v>7245.801492487376</v>
      </c>
      <c r="Q311">
        <f t="shared" si="88"/>
        <v>0</v>
      </c>
      <c r="R311" s="29">
        <f t="shared" si="89"/>
        <v>7245.801492487376</v>
      </c>
      <c r="S311" s="29">
        <f t="shared" si="81"/>
        <v>7245.801492487376</v>
      </c>
      <c r="T311" s="29">
        <f t="shared" si="90"/>
        <v>7245.801492487376</v>
      </c>
      <c r="U311">
        <f t="shared" si="91"/>
        <v>0</v>
      </c>
      <c r="V311" s="29">
        <f t="shared" si="92"/>
        <v>7245.801492487376</v>
      </c>
      <c r="W311" s="29">
        <f t="shared" si="82"/>
        <v>7245.801492487376</v>
      </c>
      <c r="X311" s="29">
        <f t="shared" si="93"/>
        <v>7245.801492487376</v>
      </c>
      <c r="Y311">
        <f t="shared" si="94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allocations'!$A$1:$L$317,4,FALSE)</f>
        <v>0</v>
      </c>
      <c r="E312" s="31">
        <f>VLOOKUP(B312,'Initial adjusted formula count'!$A$1:$P$317,12,FALSE)</f>
        <v>9.79151154132539E-2</v>
      </c>
      <c r="F312">
        <f>VLOOKUP(B312,'Model allocations'!$A$1:$L$317,9,FALSE)</f>
        <v>0</v>
      </c>
      <c r="G312" s="30">
        <f t="shared" si="83"/>
        <v>0.85</v>
      </c>
      <c r="H312">
        <f t="shared" si="84"/>
        <v>0</v>
      </c>
      <c r="I312">
        <f t="shared" si="76"/>
        <v>0</v>
      </c>
      <c r="J312">
        <f t="shared" si="77"/>
        <v>0</v>
      </c>
      <c r="K312">
        <f t="shared" si="78"/>
        <v>0</v>
      </c>
      <c r="L312">
        <f t="shared" si="85"/>
        <v>0</v>
      </c>
      <c r="M312">
        <f t="shared" si="79"/>
        <v>0</v>
      </c>
      <c r="N312" s="29">
        <f t="shared" si="86"/>
        <v>0</v>
      </c>
      <c r="O312" s="29">
        <f t="shared" si="80"/>
        <v>0</v>
      </c>
      <c r="P312" s="29">
        <f t="shared" si="87"/>
        <v>0</v>
      </c>
      <c r="Q312">
        <f t="shared" si="88"/>
        <v>0</v>
      </c>
      <c r="R312" s="29">
        <f t="shared" si="89"/>
        <v>0</v>
      </c>
      <c r="S312" s="29">
        <f t="shared" si="81"/>
        <v>0</v>
      </c>
      <c r="T312" s="29">
        <f t="shared" si="90"/>
        <v>0</v>
      </c>
      <c r="U312">
        <f t="shared" si="91"/>
        <v>0</v>
      </c>
      <c r="V312" s="29">
        <f t="shared" si="92"/>
        <v>0</v>
      </c>
      <c r="W312" s="29">
        <f t="shared" si="82"/>
        <v>0</v>
      </c>
      <c r="X312" s="29">
        <f t="shared" si="93"/>
        <v>0</v>
      </c>
      <c r="Y312">
        <f t="shared" si="94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allocations'!$A$1:$L$317,4,FALSE)</f>
        <v>971812.25461901387</v>
      </c>
      <c r="E313" s="31">
        <f>VLOOKUP(B313,'Initial adjusted formula count'!$A$1:$P$317,12,FALSE)</f>
        <v>0.26801815431164899</v>
      </c>
      <c r="F313">
        <f>VLOOKUP(B313,'Model allocations'!$A$1:$L$317,9,FALSE)</f>
        <v>1036358.339119706</v>
      </c>
      <c r="G313" s="30">
        <f t="shared" si="83"/>
        <v>0.9</v>
      </c>
      <c r="H313">
        <f t="shared" si="84"/>
        <v>874631.02915711247</v>
      </c>
      <c r="I313">
        <f t="shared" si="76"/>
        <v>0</v>
      </c>
      <c r="J313">
        <f t="shared" si="77"/>
        <v>1036358.339119706</v>
      </c>
      <c r="K313">
        <f t="shared" si="78"/>
        <v>1035482.0899965054</v>
      </c>
      <c r="L313">
        <f t="shared" si="85"/>
        <v>1035482.0899965054</v>
      </c>
      <c r="M313">
        <f t="shared" si="79"/>
        <v>0</v>
      </c>
      <c r="N313" s="29">
        <f t="shared" si="86"/>
        <v>1035482.0899965054</v>
      </c>
      <c r="O313" s="29">
        <f t="shared" si="80"/>
        <v>1035214.6712976317</v>
      </c>
      <c r="P313" s="29">
        <f t="shared" si="87"/>
        <v>1035214.6712976317</v>
      </c>
      <c r="Q313">
        <f t="shared" si="88"/>
        <v>0</v>
      </c>
      <c r="R313" s="29">
        <f t="shared" si="89"/>
        <v>1035214.6712976317</v>
      </c>
      <c r="S313" s="29">
        <f t="shared" si="81"/>
        <v>1035214.6712976317</v>
      </c>
      <c r="T313" s="29">
        <f t="shared" si="90"/>
        <v>1035214.6712976317</v>
      </c>
      <c r="U313">
        <f t="shared" si="91"/>
        <v>0</v>
      </c>
      <c r="V313" s="29">
        <f t="shared" si="92"/>
        <v>1035214.6712976317</v>
      </c>
      <c r="W313" s="29">
        <f t="shared" si="82"/>
        <v>1035214.6712976317</v>
      </c>
      <c r="X313" s="29">
        <f t="shared" si="93"/>
        <v>1035214.6712976317</v>
      </c>
      <c r="Y313">
        <f t="shared" si="94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allocations'!$A$1:$L$317,4,FALSE)</f>
        <v>0</v>
      </c>
      <c r="E314" s="31">
        <f>VLOOKUP(B314,'Initial adjusted formula count'!$A$1:$P$317,12,FALSE)</f>
        <v>8.3779238648524698E-2</v>
      </c>
      <c r="F314">
        <f>VLOOKUP(B314,'Model allocations'!$A$1:$L$317,9,FALSE)</f>
        <v>0</v>
      </c>
      <c r="G314" s="30">
        <f t="shared" si="83"/>
        <v>0.85</v>
      </c>
      <c r="H314">
        <f t="shared" si="84"/>
        <v>0</v>
      </c>
      <c r="I314">
        <f t="shared" si="76"/>
        <v>0</v>
      </c>
      <c r="J314">
        <f t="shared" si="77"/>
        <v>0</v>
      </c>
      <c r="K314">
        <f t="shared" si="78"/>
        <v>0</v>
      </c>
      <c r="L314">
        <f t="shared" si="85"/>
        <v>0</v>
      </c>
      <c r="M314">
        <f t="shared" si="79"/>
        <v>0</v>
      </c>
      <c r="N314" s="29">
        <f t="shared" si="86"/>
        <v>0</v>
      </c>
      <c r="O314" s="29">
        <f t="shared" si="80"/>
        <v>0</v>
      </c>
      <c r="P314" s="29">
        <f t="shared" si="87"/>
        <v>0</v>
      </c>
      <c r="Q314">
        <f t="shared" si="88"/>
        <v>0</v>
      </c>
      <c r="R314" s="29">
        <f t="shared" si="89"/>
        <v>0</v>
      </c>
      <c r="S314" s="29">
        <f t="shared" si="81"/>
        <v>0</v>
      </c>
      <c r="T314" s="29">
        <f t="shared" si="90"/>
        <v>0</v>
      </c>
      <c r="U314">
        <f t="shared" si="91"/>
        <v>0</v>
      </c>
      <c r="V314" s="29">
        <f t="shared" si="92"/>
        <v>0</v>
      </c>
      <c r="W314" s="29">
        <f t="shared" si="82"/>
        <v>0</v>
      </c>
      <c r="X314" s="29">
        <f t="shared" si="93"/>
        <v>0</v>
      </c>
      <c r="Y314">
        <f t="shared" si="94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allocations'!$A$1:$L$317,4,FALSE)</f>
        <v>28667.351012567196</v>
      </c>
      <c r="E315" s="31">
        <f>VLOOKUP(B315,'Initial adjusted formula count'!$A$1:$P$317,12,FALSE)</f>
        <v>0.124688279301746</v>
      </c>
      <c r="F315">
        <f>VLOOKUP(B315,'Model allocations'!$A$1:$L$317,9,FALSE)</f>
        <v>24367.248360682115</v>
      </c>
      <c r="G315" s="30">
        <f t="shared" si="83"/>
        <v>0.85</v>
      </c>
      <c r="H315">
        <f t="shared" si="84"/>
        <v>24367.248360682115</v>
      </c>
      <c r="I315">
        <f t="shared" si="76"/>
        <v>0</v>
      </c>
      <c r="J315">
        <f t="shared" si="77"/>
        <v>24367.248360682115</v>
      </c>
      <c r="K315">
        <f t="shared" si="78"/>
        <v>24346.645660626658</v>
      </c>
      <c r="L315">
        <f t="shared" si="85"/>
        <v>24346.645660626658</v>
      </c>
      <c r="M315">
        <f t="shared" si="79"/>
        <v>24367.248360682115</v>
      </c>
      <c r="N315" s="29">
        <f t="shared" si="86"/>
        <v>0</v>
      </c>
      <c r="O315" s="29">
        <f t="shared" si="80"/>
        <v>0</v>
      </c>
      <c r="P315" s="29">
        <f t="shared" si="87"/>
        <v>24367.248360682115</v>
      </c>
      <c r="Q315">
        <f t="shared" si="88"/>
        <v>0</v>
      </c>
      <c r="R315" s="29">
        <f t="shared" si="89"/>
        <v>0</v>
      </c>
      <c r="S315" s="29">
        <f t="shared" si="81"/>
        <v>0</v>
      </c>
      <c r="T315" s="29">
        <f t="shared" si="90"/>
        <v>24367.248360682115</v>
      </c>
      <c r="U315">
        <f t="shared" si="91"/>
        <v>0</v>
      </c>
      <c r="V315" s="29">
        <f t="shared" si="92"/>
        <v>0</v>
      </c>
      <c r="W315" s="29">
        <f t="shared" si="82"/>
        <v>0</v>
      </c>
      <c r="X315" s="29">
        <f t="shared" si="93"/>
        <v>24367.248360682115</v>
      </c>
      <c r="Y315">
        <f t="shared" si="94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allocations'!$A$1:$L$317,4,FALSE)</f>
        <v>214313.73646299259</v>
      </c>
      <c r="E316" s="31">
        <f>VLOOKUP(B316,'Initial adjusted formula count'!$A$1:$P$317,12,FALSE)</f>
        <v>1</v>
      </c>
      <c r="F316">
        <f>VLOOKUP(B316,'Model allocations'!$A$1:$L$317,9,FALSE)</f>
        <v>203598.04963984294</v>
      </c>
      <c r="G316" s="30">
        <f t="shared" si="83"/>
        <v>0.95</v>
      </c>
      <c r="H316">
        <f t="shared" si="84"/>
        <v>203598.04963984294</v>
      </c>
      <c r="I316">
        <f t="shared" si="76"/>
        <v>0</v>
      </c>
      <c r="J316">
        <f t="shared" si="77"/>
        <v>203598.04963984294</v>
      </c>
      <c r="K316">
        <f t="shared" si="78"/>
        <v>203425.90588825819</v>
      </c>
      <c r="L316">
        <f t="shared" si="85"/>
        <v>203425.90588825819</v>
      </c>
      <c r="M316">
        <f t="shared" si="79"/>
        <v>203598.04963984294</v>
      </c>
      <c r="N316" s="29">
        <f t="shared" si="86"/>
        <v>0</v>
      </c>
      <c r="O316" s="29">
        <f t="shared" si="80"/>
        <v>0</v>
      </c>
      <c r="P316" s="29">
        <f t="shared" si="87"/>
        <v>203598.04963984294</v>
      </c>
      <c r="Q316">
        <f t="shared" si="88"/>
        <v>0</v>
      </c>
      <c r="R316" s="29">
        <f t="shared" si="89"/>
        <v>0</v>
      </c>
      <c r="S316" s="29">
        <f t="shared" si="81"/>
        <v>0</v>
      </c>
      <c r="T316" s="29">
        <f t="shared" si="90"/>
        <v>203598.04963984294</v>
      </c>
      <c r="U316">
        <f t="shared" si="91"/>
        <v>0</v>
      </c>
      <c r="V316" s="29">
        <f t="shared" si="92"/>
        <v>0</v>
      </c>
      <c r="W316" s="29">
        <f t="shared" si="82"/>
        <v>0</v>
      </c>
      <c r="X316" s="29">
        <f t="shared" si="93"/>
        <v>203598.04963984294</v>
      </c>
      <c r="Y316">
        <f t="shared" si="94"/>
        <v>0</v>
      </c>
    </row>
    <row r="317" spans="1:25" x14ac:dyDescent="0.25">
      <c r="A317" t="s">
        <v>1429</v>
      </c>
      <c r="B317" t="s">
        <v>1421</v>
      </c>
      <c r="C317" t="s">
        <v>1422</v>
      </c>
      <c r="D317">
        <f>VLOOKUP(B317,'Model allocations'!$A$1:$L$317,4,FALSE)</f>
        <v>0</v>
      </c>
      <c r="E317" s="31">
        <f>VLOOKUP(B317,'Initial adjusted formula count'!$A$1:$P$317,12,FALSE)</f>
        <v>0.176337460229611</v>
      </c>
      <c r="F317">
        <f>VLOOKUP(B317,'Model allocations'!$A$1:$L$317,9,FALSE)</f>
        <v>0</v>
      </c>
      <c r="G317" s="30">
        <f t="shared" ref="G317:G318" si="95">IF(E317&lt;0.15,0.85,IF(AND(E317&gt;=0.15,E317&lt;0.3),0.9,0.95))</f>
        <v>0.9</v>
      </c>
      <c r="H317">
        <f t="shared" ref="H317:H318" si="96">IF(F317 = 0, 0, D317*G317)</f>
        <v>0</v>
      </c>
      <c r="I317">
        <f t="shared" ref="I317:I318" si="97">IF(F317&lt;H317,H317,0)</f>
        <v>0</v>
      </c>
      <c r="J317">
        <f t="shared" ref="J317:J318" si="98">IF(I317=0,F317,0)</f>
        <v>0</v>
      </c>
      <c r="K317">
        <f t="shared" ref="K317:K318" si="99">(J317/$J$3)*($F$3-$I$3)</f>
        <v>0</v>
      </c>
      <c r="L317">
        <f t="shared" ref="L317:L318" si="100">I317+K317</f>
        <v>0</v>
      </c>
      <c r="M317">
        <f t="shared" ref="M317:M318" si="101">IF(L317&lt;H317,H317,0)</f>
        <v>0</v>
      </c>
      <c r="N317" s="29">
        <f t="shared" ref="N317:N318" si="102">IF(I317+M317=0,L317,0)</f>
        <v>0</v>
      </c>
      <c r="O317" s="29">
        <f t="shared" ref="O317:O318" si="103">((N317/$N$3)*($F$3-$I$3-$M$3))</f>
        <v>0</v>
      </c>
      <c r="P317" s="29">
        <f t="shared" ref="P317:P318" si="104">$I317+$M317+O317</f>
        <v>0</v>
      </c>
      <c r="Q317">
        <f t="shared" ref="Q317:Q318" si="105">IF(P317&lt;H317,H317,0)</f>
        <v>0</v>
      </c>
      <c r="R317" s="29">
        <f t="shared" ref="R317:R318" si="106">IF($I317+$M317+$Q317=0,P317,0)</f>
        <v>0</v>
      </c>
      <c r="S317" s="29">
        <f t="shared" ref="S317:S318" si="107">((R317/$R$3)*($F$3-$I$3-$M$3-$Q$3))</f>
        <v>0</v>
      </c>
      <c r="T317" s="29">
        <f t="shared" ref="T317:T318" si="108">$I317+$M317+$Q317+S317</f>
        <v>0</v>
      </c>
      <c r="U317">
        <f t="shared" ref="U317:U318" si="109">IF(T317&lt;H317,H317,0)</f>
        <v>0</v>
      </c>
      <c r="V317" s="29">
        <f t="shared" ref="V317:V318" si="110">IF($I317+$M317+$Q317+U317=0,T317,0)</f>
        <v>0</v>
      </c>
      <c r="W317" s="29">
        <f t="shared" ref="W317:W318" si="111">((V317/$V$3)*($F$3-$I$3-$M$3-$Q$3-$U$3))</f>
        <v>0</v>
      </c>
      <c r="X317" s="29">
        <f t="shared" ref="X317:X318" si="112">$I317+$M317+$Q317+$U317+W317</f>
        <v>0</v>
      </c>
      <c r="Y317">
        <f t="shared" ref="Y317:Y318" si="113">IF(X317&lt;H317,H317,0)</f>
        <v>0</v>
      </c>
    </row>
    <row r="318" spans="1:25" x14ac:dyDescent="0.25">
      <c r="A318" t="s">
        <v>1430</v>
      </c>
      <c r="B318" t="s">
        <v>1423</v>
      </c>
      <c r="C318" t="s">
        <v>1424</v>
      </c>
      <c r="D318">
        <f>VLOOKUP(B318,'Model allocations'!$A$1:$L$317,4,FALSE)</f>
        <v>0</v>
      </c>
      <c r="E318" s="31">
        <f>VLOOKUP(B318,'Initial adjusted formula count'!$A$1:$P$317,12,FALSE)</f>
        <v>0.14068098658834399</v>
      </c>
      <c r="F318">
        <f>VLOOKUP(B318,'Model allocations'!$A$1:$L$317,9,FALSE)</f>
        <v>0</v>
      </c>
      <c r="G318" s="30">
        <f t="shared" si="95"/>
        <v>0.85</v>
      </c>
      <c r="H318">
        <f t="shared" si="96"/>
        <v>0</v>
      </c>
      <c r="I318">
        <f t="shared" si="97"/>
        <v>0</v>
      </c>
      <c r="J318">
        <f t="shared" si="98"/>
        <v>0</v>
      </c>
      <c r="K318">
        <f t="shared" si="99"/>
        <v>0</v>
      </c>
      <c r="L318">
        <f t="shared" si="100"/>
        <v>0</v>
      </c>
      <c r="M318">
        <f t="shared" si="101"/>
        <v>0</v>
      </c>
      <c r="N318" s="29">
        <f t="shared" si="102"/>
        <v>0</v>
      </c>
      <c r="O318" s="29">
        <f t="shared" si="103"/>
        <v>0</v>
      </c>
      <c r="P318" s="29">
        <f t="shared" si="104"/>
        <v>0</v>
      </c>
      <c r="Q318">
        <f t="shared" si="105"/>
        <v>0</v>
      </c>
      <c r="R318" s="29">
        <f t="shared" si="106"/>
        <v>0</v>
      </c>
      <c r="S318" s="29">
        <f t="shared" si="107"/>
        <v>0</v>
      </c>
      <c r="T318" s="29">
        <f t="shared" si="108"/>
        <v>0</v>
      </c>
      <c r="U318">
        <f t="shared" si="109"/>
        <v>0</v>
      </c>
      <c r="V318" s="29">
        <f t="shared" si="110"/>
        <v>0</v>
      </c>
      <c r="W318" s="29">
        <f t="shared" si="111"/>
        <v>0</v>
      </c>
      <c r="X318" s="29">
        <f t="shared" si="112"/>
        <v>0</v>
      </c>
      <c r="Y318">
        <f t="shared" si="113"/>
        <v>0</v>
      </c>
    </row>
  </sheetData>
  <sheetProtection algorithmName="SHA-512" hashValue="+XMJBSdB7nwydGPfJj0knNlWCOLEVgn2OWJ6zuyXpYlIkibSB6ijZ2c6pMg2MB6bEBcO4F+uSBTphaPUOV47eQ==" saltValue="l719I67/Q7Vu66V4XLBVXQ==" spinCount="100000" sheet="1" objects="1" scenarios="1"/>
  <autoFilter ref="A3:Y318" xr:uid="{960B0794-1783-4202-AA7F-A166F63BFA92}"/>
  <conditionalFormatting sqref="B1:B316">
    <cfRule type="duplicateValues" dxfId="2" priority="12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CECE1-CFB0-4124-B246-34444E47CF8A}">
  <dimension ref="A1:Z326"/>
  <sheetViews>
    <sheetView topLeftCell="A239" workbookViewId="0">
      <selection activeCell="A264" sqref="A264:XFD264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38.7109375" customWidth="1"/>
    <col min="7" max="7" width="16.28515625" customWidth="1"/>
    <col min="8" max="8" width="13.57031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2.57031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3.57031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</cols>
  <sheetData>
    <row r="1" spans="1:26" x14ac:dyDescent="0.25">
      <c r="A1" s="1"/>
      <c r="B1" s="5"/>
      <c r="C1" s="4"/>
      <c r="F1" s="79" t="str">
        <f>IF(ROUND($F$3,2)=ROUND(SUM(Model_allocations[Targeted Allocation]),2), "Good","Check district list")</f>
        <v>Good</v>
      </c>
      <c r="G1" s="27">
        <f>F3</f>
        <v>75357036.085869446</v>
      </c>
      <c r="Y1" t="str" cm="1">
        <f t="array" ref="Y1">Assumptions[TARGETED GRANTS]</f>
        <v>75369720</v>
      </c>
      <c r="Z1" s="46">
        <f>X3-Y1</f>
        <v>-12683.9141305089</v>
      </c>
    </row>
    <row r="2" spans="1:26" ht="76.5" x14ac:dyDescent="0.25">
      <c r="A2" s="1" t="s">
        <v>0</v>
      </c>
      <c r="B2" s="5" t="s">
        <v>4</v>
      </c>
      <c r="C2" s="3" t="s">
        <v>1279</v>
      </c>
      <c r="D2" s="33" t="s">
        <v>1376</v>
      </c>
      <c r="E2" s="36" t="s">
        <v>1296</v>
      </c>
      <c r="F2" s="33" t="s">
        <v>1297</v>
      </c>
      <c r="G2" s="35" t="s">
        <v>654</v>
      </c>
      <c r="H2" s="34" t="s">
        <v>1377</v>
      </c>
      <c r="I2" s="34" t="s">
        <v>1368</v>
      </c>
      <c r="J2" s="34" t="s">
        <v>1369</v>
      </c>
      <c r="K2" s="34" t="s">
        <v>1370</v>
      </c>
      <c r="L2" s="34" t="s">
        <v>1371</v>
      </c>
      <c r="M2" s="32" t="s">
        <v>1293</v>
      </c>
      <c r="N2" s="34" t="s">
        <v>1369</v>
      </c>
      <c r="O2" s="32" t="s">
        <v>1370</v>
      </c>
      <c r="P2" s="32" t="s">
        <v>1371</v>
      </c>
      <c r="Q2" s="32" t="s">
        <v>1372</v>
      </c>
      <c r="R2" s="32" t="s">
        <v>1369</v>
      </c>
      <c r="S2" s="32" t="s">
        <v>1370</v>
      </c>
      <c r="T2" s="32" t="s">
        <v>1371</v>
      </c>
      <c r="U2" s="32" t="s">
        <v>1373</v>
      </c>
      <c r="V2" s="32" t="s">
        <v>1369</v>
      </c>
      <c r="W2" s="32" t="s">
        <v>1370</v>
      </c>
      <c r="X2" s="32" t="s">
        <v>1371</v>
      </c>
      <c r="Y2" s="32" t="s">
        <v>1374</v>
      </c>
      <c r="Z2" s="32"/>
    </row>
    <row r="3" spans="1:26" x14ac:dyDescent="0.25">
      <c r="A3" s="1"/>
      <c r="B3" s="5"/>
      <c r="C3" s="6"/>
      <c r="D3" s="33">
        <f>SUM(D4:D318)</f>
        <v>72720737.976101339</v>
      </c>
      <c r="E3" s="33"/>
      <c r="F3" s="82" cm="1">
        <f t="array" ref="F3">SUM(IF(ISERROR($F$4:$F$318),"",$F$4:$F$318))</f>
        <v>75357036.085869446</v>
      </c>
      <c r="G3" s="33"/>
      <c r="H3" s="33" cm="1">
        <f t="array" ref="H3">SUM(IF(ISERROR($H$4:$H$318),"",$H$4:$H$318))</f>
        <v>62932037.284076266</v>
      </c>
      <c r="I3" s="33" cm="1">
        <f t="array" ref="I3">SUM(IF(ISERROR($I$4:$I$318),"",$I$4:$I$318))</f>
        <v>1368876.8707263169</v>
      </c>
      <c r="J3" s="33" cm="1">
        <f t="array" ref="J3">SUM(IF(ISERROR($J$4:$J$318),"",$J$4:$J$318))</f>
        <v>74030380.607243553</v>
      </c>
      <c r="K3" s="33" cm="1">
        <f t="array" ref="K3">SUM(IF(ISERROR($K$4:$K$318),"",$K$4:$K$318))</f>
        <v>73988159.215143114</v>
      </c>
      <c r="L3" s="33" cm="1">
        <f t="array" ref="L3">SUM(IF(ISERROR($L$4:$L$318),0,$L$4:$L$318))</f>
        <v>75357036.085869431</v>
      </c>
      <c r="M3" s="33" cm="1">
        <f t="array" ref="M3">SUM(IF(ISERROR($M$4:$M$318),0,$M$4:$M$318))</f>
        <v>7987531.5831738198</v>
      </c>
      <c r="N3" s="33" cm="1">
        <f t="array" ref="N3">SUM(IF(ISERROR($N$4:$N$318),0,$N$4:$N$318))</f>
        <v>66005115.813205689</v>
      </c>
      <c r="O3" s="33" cm="1">
        <f t="array" ref="O3">SUM(IF(ISERROR($O$4:$O$318),0,$O$4:$O$318))</f>
        <v>66000627.631969288</v>
      </c>
      <c r="P3" s="33" cm="1">
        <f t="array" ref="P3">SUM(IF(ISERROR($P$4:$P$318),0,$P$4:$P$318))</f>
        <v>75357036.085869476</v>
      </c>
      <c r="Q3" s="33" cm="1">
        <f t="array" ref="Q3">SUM(IF(ISERROR($Q$4:$Q$318),0,$Q$4:$Q$318))</f>
        <v>0</v>
      </c>
      <c r="R3" s="33" cm="1">
        <f t="array" ref="R3">SUM(IF(ISERROR($R$4:$R$318),0,$R$4:$R$318))</f>
        <v>66000627.631969288</v>
      </c>
      <c r="S3" s="33" cm="1">
        <f t="array" ref="S3">SUM(IF(ISERROR($S$4:$S$318),0,$S$4:$S$318))</f>
        <v>66000627.63196931</v>
      </c>
      <c r="T3" s="33" cm="1">
        <f t="array" ref="T3">SUM(IF(ISERROR($T$4:$T$318),0,$T$4:$T$318))</f>
        <v>75357036.085869491</v>
      </c>
      <c r="U3" s="33" cm="1">
        <f t="array" ref="U3">SUM(IF(ISERROR($U$4:$U$318),0,$U$4:$U$318))</f>
        <v>0</v>
      </c>
      <c r="V3" s="33" cm="1">
        <f t="array" ref="V3">SUM(IF(ISERROR($V$4:$V$318),0,$V$4:$V$318))</f>
        <v>66000627.63196931</v>
      </c>
      <c r="W3" s="33" cm="1">
        <f t="array" ref="W3">SUM(IF(ISERROR($W$4:$W$318),0,$W$4:$W$318))</f>
        <v>66000627.63196931</v>
      </c>
      <c r="X3" s="33" cm="1">
        <f t="array" ref="X3">SUM(IF(ISERROR($X$4:$X$318),0,$X$4:$X$318))</f>
        <v>75357036.085869491</v>
      </c>
      <c r="Y3" s="33" cm="1">
        <f t="array" ref="Y3">SUM(IF(ISERROR($Y$4:$Y$318),0,$Y$4:$Y$318))</f>
        <v>0</v>
      </c>
      <c r="Z3" s="32"/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allocations'!$A$1:$L$317,5,FALSE)</f>
        <v>436283.3428980321</v>
      </c>
      <c r="E4" s="31">
        <f>VLOOKUP(B4,'Initial adjusted formula count'!$A$1:$P$317,12,FALSE)</f>
        <v>0.20096783376031899</v>
      </c>
      <c r="F4">
        <f>VLOOKUP(B4,'Model allocations'!$A$1:$L$317,10,FALSE)</f>
        <v>392541.4916933378</v>
      </c>
      <c r="G4" s="30">
        <f>IF(E4&lt;0.15,0.85,IF(AND(E4&gt;=0.15,E4&lt;0.3),0.9,0.95))</f>
        <v>0.9</v>
      </c>
      <c r="H4">
        <f>IF(F4 = 0, 0, D4*G4)</f>
        <v>392655.00860822888</v>
      </c>
      <c r="I4">
        <f t="shared" ref="I4:I67" si="0">IF(F4&lt;H4,H4,0)</f>
        <v>392655.00860822888</v>
      </c>
      <c r="J4">
        <f t="shared" ref="J4:J67" si="1">IF(I4=0,F4,0)</f>
        <v>0</v>
      </c>
      <c r="K4">
        <f t="shared" ref="K4:K67" si="2">(J4/$J$3)*($F$3-$I$3)</f>
        <v>0</v>
      </c>
      <c r="L4">
        <f>I4+K4</f>
        <v>392655.00860822888</v>
      </c>
      <c r="M4">
        <f t="shared" ref="M4:M67" si="3">IF(L4&lt;H4,H4,0)</f>
        <v>0</v>
      </c>
      <c r="N4" s="29">
        <f>IF($I4+$M4=0,L4,0)</f>
        <v>0</v>
      </c>
      <c r="O4" s="29">
        <f t="shared" ref="O4:O67" si="4">((N4/$N$3)*($F$3-$I$3-$M$3))</f>
        <v>0</v>
      </c>
      <c r="P4" s="29">
        <f>$I4+$M4+O4</f>
        <v>392655.00860822888</v>
      </c>
      <c r="Q4">
        <f>IF(P4&lt;H4,H4,0)</f>
        <v>0</v>
      </c>
      <c r="R4" s="29">
        <f>IF($I4+$M4+$Q4=0,P4,0)</f>
        <v>0</v>
      </c>
      <c r="S4" s="29">
        <f t="shared" ref="S4:S67" si="5">((R4/$R$3)*($F$3-$I$3-$M$3-$Q$3))</f>
        <v>0</v>
      </c>
      <c r="T4" s="29">
        <f>$I4+$M4+$Q4+S4</f>
        <v>392655.00860822888</v>
      </c>
      <c r="U4">
        <f>IF(T4&lt;H4,H4,0)</f>
        <v>0</v>
      </c>
      <c r="V4" s="29">
        <f>IF($I4+$M4+$Q4+U4=0,T4,0)</f>
        <v>0</v>
      </c>
      <c r="W4" s="29">
        <f t="shared" ref="W4:W67" si="6">((V4/$V$3)*($F$3-$I$3-$M$3-$Q$3-$U$3))</f>
        <v>0</v>
      </c>
      <c r="X4" s="29">
        <f>$I4+$M4+$Q4+$U4+W4</f>
        <v>392655.00860822888</v>
      </c>
      <c r="Y4">
        <f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allocations'!$A$1:$L$317,5,FALSE)</f>
        <v>15639.281750893295</v>
      </c>
      <c r="E5" s="31">
        <f>VLOOKUP(B5,'Initial adjusted formula count'!$A$1:$P$317,12,FALSE)</f>
        <v>8.8235294117647106E-2</v>
      </c>
      <c r="F5">
        <f>VLOOKUP(B5,'Model allocations'!$A$1:$L$317,10,FALSE)</f>
        <v>27677.575935116536</v>
      </c>
      <c r="G5" s="30">
        <f t="shared" ref="G5:G68" si="7">IF(E5&lt;0.15,0.85,IF(AND(E5&gt;=0.15,E5&lt;0.3),0.9,0.95))</f>
        <v>0.85</v>
      </c>
      <c r="H5">
        <f t="shared" ref="H5:H68" si="8">IF(F5 = 0, 0, D5*G5)</f>
        <v>13293.389488259299</v>
      </c>
      <c r="I5">
        <f t="shared" si="0"/>
        <v>0</v>
      </c>
      <c r="J5">
        <f t="shared" si="1"/>
        <v>27677.575935116536</v>
      </c>
      <c r="K5">
        <f t="shared" si="2"/>
        <v>27661.790715908417</v>
      </c>
      <c r="L5">
        <f t="shared" ref="L5:L68" si="9">I5+K5</f>
        <v>27661.790715908417</v>
      </c>
      <c r="M5">
        <f t="shared" si="3"/>
        <v>0</v>
      </c>
      <c r="N5" s="29">
        <f t="shared" ref="N5:N68" si="10">IF($I5+$M5=0,L5,0)</f>
        <v>27661.790715908417</v>
      </c>
      <c r="O5" s="29">
        <f t="shared" si="4"/>
        <v>27659.909783975701</v>
      </c>
      <c r="P5" s="29">
        <f t="shared" ref="P5:P68" si="11">$I5+$M5+O5</f>
        <v>27659.909783975701</v>
      </c>
      <c r="Q5">
        <f t="shared" ref="Q5:Q68" si="12">IF(P5&lt;H5,H5,0)</f>
        <v>0</v>
      </c>
      <c r="R5" s="29">
        <f t="shared" ref="R5:R68" si="13">IF($I5+$M5+$Q5=0,P5,0)</f>
        <v>27659.909783975701</v>
      </c>
      <c r="S5" s="29">
        <f t="shared" si="5"/>
        <v>27659.909783975712</v>
      </c>
      <c r="T5" s="29">
        <f t="shared" ref="T5:T68" si="14">$I5+$M5+$Q5+S5</f>
        <v>27659.909783975712</v>
      </c>
      <c r="U5">
        <f t="shared" ref="U5:U68" si="15">IF(T5&lt;H5,H5,0)</f>
        <v>0</v>
      </c>
      <c r="V5" s="29">
        <f t="shared" ref="V5:V68" si="16">IF($I5+$M5+$Q5+U5=0,T5,0)</f>
        <v>27659.909783975712</v>
      </c>
      <c r="W5" s="29">
        <f t="shared" si="6"/>
        <v>27659.909783975712</v>
      </c>
      <c r="X5" s="29">
        <f t="shared" ref="X5:X68" si="17">$I5+$M5+$Q5+$U5+W5</f>
        <v>27659.909783975712</v>
      </c>
      <c r="Y5">
        <f t="shared" ref="Y5:Y68" si="18">IF(X5&lt;H5,H5,0)</f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allocations'!$A$1:$L$317,5,FALSE)</f>
        <v>0</v>
      </c>
      <c r="E6" s="31">
        <f>VLOOKUP(B6,'Initial adjusted formula count'!$A$1:$P$317,12,FALSE)</f>
        <v>0.18181818181818199</v>
      </c>
      <c r="F6">
        <f>VLOOKUP(B6,'Model allocations'!$A$1:$L$317,10,FALSE)</f>
        <v>8358.5650288235192</v>
      </c>
      <c r="G6" s="30">
        <f t="shared" si="7"/>
        <v>0.9</v>
      </c>
      <c r="H6">
        <f t="shared" si="8"/>
        <v>0</v>
      </c>
      <c r="I6">
        <f t="shared" si="0"/>
        <v>0</v>
      </c>
      <c r="J6">
        <f t="shared" si="1"/>
        <v>8358.5650288235192</v>
      </c>
      <c r="K6">
        <f t="shared" si="2"/>
        <v>8353.7979284981666</v>
      </c>
      <c r="L6">
        <f t="shared" si="9"/>
        <v>8353.7979284981666</v>
      </c>
      <c r="M6">
        <f t="shared" si="3"/>
        <v>0</v>
      </c>
      <c r="N6" s="29">
        <f t="shared" si="10"/>
        <v>8353.7979284981666</v>
      </c>
      <c r="O6" s="29">
        <f t="shared" si="4"/>
        <v>8353.2298913293307</v>
      </c>
      <c r="P6" s="29">
        <f t="shared" si="11"/>
        <v>8353.2298913293307</v>
      </c>
      <c r="Q6">
        <f t="shared" si="12"/>
        <v>0</v>
      </c>
      <c r="R6" s="29">
        <f t="shared" si="13"/>
        <v>8353.2298913293307</v>
      </c>
      <c r="S6" s="29">
        <f t="shared" si="5"/>
        <v>8353.2298913293325</v>
      </c>
      <c r="T6" s="29">
        <f t="shared" si="14"/>
        <v>8353.2298913293325</v>
      </c>
      <c r="U6">
        <f t="shared" si="15"/>
        <v>0</v>
      </c>
      <c r="V6" s="29">
        <f t="shared" si="16"/>
        <v>8353.2298913293325</v>
      </c>
      <c r="W6" s="29">
        <f t="shared" si="6"/>
        <v>8353.2298913293325</v>
      </c>
      <c r="X6" s="29">
        <f t="shared" si="17"/>
        <v>8353.2298913293325</v>
      </c>
      <c r="Y6">
        <f t="shared" si="18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allocations'!$A$1:$L$317,5,FALSE)</f>
        <v>109886.53230232923</v>
      </c>
      <c r="E7" s="31">
        <f>VLOOKUP(B7,'Initial adjusted formula count'!$A$1:$P$317,12,FALSE)</f>
        <v>8.5037674919268003E-2</v>
      </c>
      <c r="F7">
        <f>VLOOKUP(B7,'Model allocations'!$A$1:$L$317,10,FALSE)</f>
        <v>99387.659039736653</v>
      </c>
      <c r="G7" s="30">
        <f t="shared" si="7"/>
        <v>0.85</v>
      </c>
      <c r="H7">
        <f t="shared" si="8"/>
        <v>93403.552456979844</v>
      </c>
      <c r="I7">
        <f t="shared" si="0"/>
        <v>0</v>
      </c>
      <c r="J7">
        <f t="shared" si="1"/>
        <v>99387.659039736653</v>
      </c>
      <c r="K7">
        <f t="shared" si="2"/>
        <v>99330.975752580212</v>
      </c>
      <c r="L7">
        <f t="shared" si="9"/>
        <v>99330.975752580212</v>
      </c>
      <c r="M7">
        <f t="shared" si="3"/>
        <v>0</v>
      </c>
      <c r="N7" s="29">
        <f t="shared" si="10"/>
        <v>99330.975752580212</v>
      </c>
      <c r="O7" s="29">
        <f t="shared" si="4"/>
        <v>99324.221497003644</v>
      </c>
      <c r="P7" s="29">
        <f t="shared" si="11"/>
        <v>99324.221497003644</v>
      </c>
      <c r="Q7">
        <f t="shared" si="12"/>
        <v>0</v>
      </c>
      <c r="R7" s="29">
        <f t="shared" si="13"/>
        <v>99324.221497003644</v>
      </c>
      <c r="S7" s="29">
        <f t="shared" si="5"/>
        <v>99324.221497003688</v>
      </c>
      <c r="T7" s="29">
        <f t="shared" si="14"/>
        <v>99324.221497003688</v>
      </c>
      <c r="U7">
        <f t="shared" si="15"/>
        <v>0</v>
      </c>
      <c r="V7" s="29">
        <f t="shared" si="16"/>
        <v>99324.221497003688</v>
      </c>
      <c r="W7" s="29">
        <f t="shared" si="6"/>
        <v>99324.221497003688</v>
      </c>
      <c r="X7" s="29">
        <f t="shared" si="17"/>
        <v>99324.221497003688</v>
      </c>
      <c r="Y7">
        <f t="shared" si="18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allocations'!$A$1:$L$317,5,FALSE)</f>
        <v>231708.3059408665</v>
      </c>
      <c r="E8" s="31">
        <f>VLOOKUP(B8,'Initial adjusted formula count'!$A$1:$P$317,12,FALSE)</f>
        <v>9.0970124202752606E-2</v>
      </c>
      <c r="F8">
        <f>VLOOKUP(B8,'Model allocations'!$A$1:$L$317,10,FALSE)</f>
        <v>227291.60843686611</v>
      </c>
      <c r="G8" s="30">
        <f t="shared" si="7"/>
        <v>0.85</v>
      </c>
      <c r="H8">
        <f t="shared" si="8"/>
        <v>196952.06004973652</v>
      </c>
      <c r="I8">
        <f t="shared" si="0"/>
        <v>0</v>
      </c>
      <c r="J8">
        <f t="shared" si="1"/>
        <v>227291.60843686611</v>
      </c>
      <c r="K8">
        <f t="shared" si="2"/>
        <v>227161.97830336913</v>
      </c>
      <c r="L8">
        <f t="shared" si="9"/>
        <v>227161.97830336913</v>
      </c>
      <c r="M8">
        <f t="shared" si="3"/>
        <v>0</v>
      </c>
      <c r="N8" s="29">
        <f t="shared" si="10"/>
        <v>227161.97830336913</v>
      </c>
      <c r="O8" s="29">
        <f t="shared" si="4"/>
        <v>227146.5318623459</v>
      </c>
      <c r="P8" s="29">
        <f t="shared" si="11"/>
        <v>227146.5318623459</v>
      </c>
      <c r="Q8">
        <f t="shared" si="12"/>
        <v>0</v>
      </c>
      <c r="R8" s="29">
        <f t="shared" si="13"/>
        <v>227146.5318623459</v>
      </c>
      <c r="S8" s="29">
        <f t="shared" si="5"/>
        <v>227146.53186234599</v>
      </c>
      <c r="T8" s="29">
        <f t="shared" si="14"/>
        <v>227146.53186234599</v>
      </c>
      <c r="U8">
        <f t="shared" si="15"/>
        <v>0</v>
      </c>
      <c r="V8" s="29">
        <f t="shared" si="16"/>
        <v>227146.53186234599</v>
      </c>
      <c r="W8" s="29">
        <f t="shared" si="6"/>
        <v>227146.53186234599</v>
      </c>
      <c r="X8" s="29">
        <f t="shared" si="17"/>
        <v>227146.53186234599</v>
      </c>
      <c r="Y8">
        <f t="shared" si="18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allocations'!$A$1:$L$317,5,FALSE)</f>
        <v>21364.210085989966</v>
      </c>
      <c r="E9" s="31">
        <f>VLOOKUP(B9,'Initial adjusted formula count'!$A$1:$P$317,12,FALSE)</f>
        <v>5.72597137014315E-2</v>
      </c>
      <c r="F9">
        <f>VLOOKUP(B9,'Model allocations'!$A$1:$L$317,10,FALSE)</f>
        <v>18095.972343413392</v>
      </c>
      <c r="G9" s="30">
        <f t="shared" si="7"/>
        <v>0.85</v>
      </c>
      <c r="H9">
        <f t="shared" si="8"/>
        <v>18159.578573091469</v>
      </c>
      <c r="I9">
        <f t="shared" si="0"/>
        <v>18159.578573091469</v>
      </c>
      <c r="J9">
        <f t="shared" si="1"/>
        <v>0</v>
      </c>
      <c r="K9">
        <f t="shared" si="2"/>
        <v>0</v>
      </c>
      <c r="L9">
        <f t="shared" si="9"/>
        <v>18159.578573091469</v>
      </c>
      <c r="M9">
        <f t="shared" si="3"/>
        <v>0</v>
      </c>
      <c r="N9" s="29">
        <f t="shared" si="10"/>
        <v>0</v>
      </c>
      <c r="O9" s="29">
        <f t="shared" si="4"/>
        <v>0</v>
      </c>
      <c r="P9" s="29">
        <f t="shared" si="11"/>
        <v>18159.578573091469</v>
      </c>
      <c r="Q9">
        <f t="shared" si="12"/>
        <v>0</v>
      </c>
      <c r="R9" s="29">
        <f t="shared" si="13"/>
        <v>0</v>
      </c>
      <c r="S9" s="29">
        <f t="shared" si="5"/>
        <v>0</v>
      </c>
      <c r="T9" s="29">
        <f t="shared" si="14"/>
        <v>18159.578573091469</v>
      </c>
      <c r="U9">
        <f t="shared" si="15"/>
        <v>0</v>
      </c>
      <c r="V9" s="29">
        <f t="shared" si="16"/>
        <v>0</v>
      </c>
      <c r="W9" s="29">
        <f t="shared" si="6"/>
        <v>0</v>
      </c>
      <c r="X9" s="29">
        <f t="shared" si="17"/>
        <v>18159.578573091469</v>
      </c>
      <c r="Y9">
        <f t="shared" si="18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allocations'!$A$1:$L$317,5,FALSE)</f>
        <v>1878154.2702684619</v>
      </c>
      <c r="E10" s="31">
        <f>VLOOKUP(B10,'Initial adjusted formula count'!$A$1:$P$317,12,FALSE)</f>
        <v>0.15617690257302899</v>
      </c>
      <c r="F10">
        <f>VLOOKUP(B10,'Model allocations'!$A$1:$L$317,10,FALSE)</f>
        <v>1788768.1841096915</v>
      </c>
      <c r="G10" s="30">
        <f t="shared" si="7"/>
        <v>0.9</v>
      </c>
      <c r="H10">
        <f t="shared" si="8"/>
        <v>1690338.8432416157</v>
      </c>
      <c r="I10">
        <f t="shared" si="0"/>
        <v>0</v>
      </c>
      <c r="J10">
        <f t="shared" si="1"/>
        <v>1788768.1841096915</v>
      </c>
      <c r="K10">
        <f t="shared" si="2"/>
        <v>1787748.0045258699</v>
      </c>
      <c r="L10">
        <f t="shared" si="9"/>
        <v>1787748.0045258699</v>
      </c>
      <c r="M10">
        <f t="shared" si="3"/>
        <v>0</v>
      </c>
      <c r="N10" s="29">
        <f t="shared" si="10"/>
        <v>1787748.0045258699</v>
      </c>
      <c r="O10" s="29">
        <f t="shared" si="4"/>
        <v>1787626.442174976</v>
      </c>
      <c r="P10" s="29">
        <f t="shared" si="11"/>
        <v>1787626.442174976</v>
      </c>
      <c r="Q10">
        <f t="shared" si="12"/>
        <v>0</v>
      </c>
      <c r="R10" s="29">
        <f t="shared" si="13"/>
        <v>1787626.442174976</v>
      </c>
      <c r="S10" s="29">
        <f t="shared" si="5"/>
        <v>1787626.4421749767</v>
      </c>
      <c r="T10" s="29">
        <f t="shared" si="14"/>
        <v>1787626.4421749767</v>
      </c>
      <c r="U10">
        <f t="shared" si="15"/>
        <v>0</v>
      </c>
      <c r="V10" s="29">
        <f t="shared" si="16"/>
        <v>1787626.4421749767</v>
      </c>
      <c r="W10" s="29">
        <f t="shared" si="6"/>
        <v>1787626.4421749767</v>
      </c>
      <c r="X10" s="29">
        <f t="shared" si="17"/>
        <v>1787626.4421749767</v>
      </c>
      <c r="Y10">
        <f t="shared" si="18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allocations'!$A$1:$L$317,5,FALSE)</f>
        <v>0</v>
      </c>
      <c r="E11" s="31">
        <f>VLOOKUP(B11,'Initial adjusted formula count'!$A$1:$P$317,12,FALSE)</f>
        <v>3.8016112789526699E-2</v>
      </c>
      <c r="F11">
        <f>VLOOKUP(B11,'Model allocations'!$A$1:$L$317,10,FALSE)</f>
        <v>0</v>
      </c>
      <c r="G11" s="30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29">
        <f t="shared" si="10"/>
        <v>0</v>
      </c>
      <c r="O11" s="29">
        <f t="shared" si="4"/>
        <v>0</v>
      </c>
      <c r="P11" s="29">
        <f t="shared" si="11"/>
        <v>0</v>
      </c>
      <c r="Q11">
        <f t="shared" si="12"/>
        <v>0</v>
      </c>
      <c r="R11" s="29">
        <f t="shared" si="13"/>
        <v>0</v>
      </c>
      <c r="S11" s="29">
        <f t="shared" si="5"/>
        <v>0</v>
      </c>
      <c r="T11" s="29">
        <f t="shared" si="14"/>
        <v>0</v>
      </c>
      <c r="U11">
        <f t="shared" si="15"/>
        <v>0</v>
      </c>
      <c r="V11" s="29">
        <f t="shared" si="16"/>
        <v>0</v>
      </c>
      <c r="W11" s="29">
        <f t="shared" si="6"/>
        <v>0</v>
      </c>
      <c r="X11" s="29">
        <f t="shared" si="17"/>
        <v>0</v>
      </c>
      <c r="Y11">
        <f t="shared" si="18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allocations'!$A$1:$L$317,5,FALSE)</f>
        <v>449482.95126227324</v>
      </c>
      <c r="E12" s="31">
        <f>VLOOKUP(B12,'Initial adjusted formula count'!$A$1:$P$317,12,FALSE)</f>
        <v>5.5959849435382701E-2</v>
      </c>
      <c r="F12">
        <f>VLOOKUP(B12,'Model allocations'!$A$1:$L$317,10,FALSE)</f>
        <v>416212.03205459338</v>
      </c>
      <c r="G12" s="30">
        <f t="shared" si="7"/>
        <v>0.85</v>
      </c>
      <c r="H12">
        <f t="shared" si="8"/>
        <v>382060.50857293227</v>
      </c>
      <c r="I12">
        <f t="shared" si="0"/>
        <v>0</v>
      </c>
      <c r="J12">
        <f t="shared" si="1"/>
        <v>416212.03205459338</v>
      </c>
      <c r="K12">
        <f t="shared" si="2"/>
        <v>415974.6558415016</v>
      </c>
      <c r="L12">
        <f t="shared" si="9"/>
        <v>415974.6558415016</v>
      </c>
      <c r="M12">
        <f t="shared" si="3"/>
        <v>0</v>
      </c>
      <c r="N12" s="29">
        <f t="shared" si="10"/>
        <v>415974.6558415016</v>
      </c>
      <c r="O12" s="29">
        <f t="shared" si="4"/>
        <v>415946.37061508914</v>
      </c>
      <c r="P12" s="29">
        <f t="shared" si="11"/>
        <v>415946.37061508914</v>
      </c>
      <c r="Q12">
        <f t="shared" si="12"/>
        <v>0</v>
      </c>
      <c r="R12" s="29">
        <f t="shared" si="13"/>
        <v>415946.37061508914</v>
      </c>
      <c r="S12" s="29">
        <f t="shared" si="5"/>
        <v>415946.37061508925</v>
      </c>
      <c r="T12" s="29">
        <f t="shared" si="14"/>
        <v>415946.37061508925</v>
      </c>
      <c r="U12">
        <f t="shared" si="15"/>
        <v>0</v>
      </c>
      <c r="V12" s="29">
        <f t="shared" si="16"/>
        <v>415946.37061508925</v>
      </c>
      <c r="W12" s="29">
        <f t="shared" si="6"/>
        <v>415946.37061508925</v>
      </c>
      <c r="X12" s="29">
        <f t="shared" si="17"/>
        <v>415946.37061508925</v>
      </c>
      <c r="Y12">
        <f t="shared" si="18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allocations'!$A$1:$L$317,5,FALSE)</f>
        <v>690331.03840355063</v>
      </c>
      <c r="E13" s="31">
        <f>VLOOKUP(B13,'Initial adjusted formula count'!$A$1:$P$317,12,FALSE)</f>
        <v>6.4986442636795996E-2</v>
      </c>
      <c r="F13">
        <f>VLOOKUP(B13,'Model allocations'!$A$1:$L$317,10,FALSE)</f>
        <v>774762.44757769397</v>
      </c>
      <c r="G13" s="30">
        <f t="shared" si="7"/>
        <v>0.85</v>
      </c>
      <c r="H13">
        <f t="shared" si="8"/>
        <v>586781.38264301803</v>
      </c>
      <c r="I13">
        <f t="shared" si="0"/>
        <v>0</v>
      </c>
      <c r="J13">
        <f t="shared" si="1"/>
        <v>774762.44757769397</v>
      </c>
      <c r="K13">
        <f t="shared" si="2"/>
        <v>774320.58102486061</v>
      </c>
      <c r="L13">
        <f t="shared" si="9"/>
        <v>774320.58102486061</v>
      </c>
      <c r="M13">
        <f t="shared" si="3"/>
        <v>0</v>
      </c>
      <c r="N13" s="29">
        <f t="shared" si="10"/>
        <v>774320.58102486061</v>
      </c>
      <c r="O13" s="29">
        <f t="shared" si="4"/>
        <v>774267.92918022897</v>
      </c>
      <c r="P13" s="29">
        <f t="shared" si="11"/>
        <v>774267.92918022897</v>
      </c>
      <c r="Q13">
        <f t="shared" si="12"/>
        <v>0</v>
      </c>
      <c r="R13" s="29">
        <f t="shared" si="13"/>
        <v>774267.92918022897</v>
      </c>
      <c r="S13" s="29">
        <f t="shared" si="5"/>
        <v>774267.92918022932</v>
      </c>
      <c r="T13" s="29">
        <f t="shared" si="14"/>
        <v>774267.92918022932</v>
      </c>
      <c r="U13">
        <f t="shared" si="15"/>
        <v>0</v>
      </c>
      <c r="V13" s="29">
        <f t="shared" si="16"/>
        <v>774267.92918022932</v>
      </c>
      <c r="W13" s="29">
        <f t="shared" si="6"/>
        <v>774267.92918022932</v>
      </c>
      <c r="X13" s="29">
        <f t="shared" si="17"/>
        <v>774267.92918022932</v>
      </c>
      <c r="Y13">
        <f t="shared" si="18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allocations'!$A$1:$L$317,5,FALSE)</f>
        <v>786352.3782197634</v>
      </c>
      <c r="E14" s="31">
        <f>VLOOKUP(B14,'Initial adjusted formula count'!$A$1:$P$317,12,FALSE)</f>
        <v>0.107857707696931</v>
      </c>
      <c r="F14">
        <f>VLOOKUP(B14,'Model allocations'!$A$1:$L$317,10,FALSE)</f>
        <v>701255.29039980122</v>
      </c>
      <c r="G14" s="30">
        <f t="shared" si="7"/>
        <v>0.85</v>
      </c>
      <c r="H14">
        <f t="shared" si="8"/>
        <v>668399.52148679888</v>
      </c>
      <c r="I14">
        <f t="shared" si="0"/>
        <v>0</v>
      </c>
      <c r="J14">
        <f t="shared" si="1"/>
        <v>701255.29039980122</v>
      </c>
      <c r="K14">
        <f t="shared" si="2"/>
        <v>700855.34683155792</v>
      </c>
      <c r="L14">
        <f t="shared" si="9"/>
        <v>700855.34683155792</v>
      </c>
      <c r="M14">
        <f t="shared" si="3"/>
        <v>0</v>
      </c>
      <c r="N14" s="29">
        <f t="shared" si="10"/>
        <v>700855.34683155792</v>
      </c>
      <c r="O14" s="29">
        <f t="shared" si="4"/>
        <v>700807.69043737836</v>
      </c>
      <c r="P14" s="29">
        <f t="shared" si="11"/>
        <v>700807.69043737836</v>
      </c>
      <c r="Q14">
        <f t="shared" si="12"/>
        <v>0</v>
      </c>
      <c r="R14" s="29">
        <f t="shared" si="13"/>
        <v>700807.69043737836</v>
      </c>
      <c r="S14" s="29">
        <f t="shared" si="5"/>
        <v>700807.69043737859</v>
      </c>
      <c r="T14" s="29">
        <f t="shared" si="14"/>
        <v>700807.69043737859</v>
      </c>
      <c r="U14">
        <f t="shared" si="15"/>
        <v>0</v>
      </c>
      <c r="V14" s="29">
        <f t="shared" si="16"/>
        <v>700807.69043737859</v>
      </c>
      <c r="W14" s="29">
        <f t="shared" si="6"/>
        <v>700807.69043737859</v>
      </c>
      <c r="X14" s="29">
        <f t="shared" si="17"/>
        <v>700807.69043737859</v>
      </c>
      <c r="Y14">
        <f t="shared" si="18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allocations'!$A$1:$L$317,5,FALSE)</f>
        <v>0</v>
      </c>
      <c r="E15" s="31">
        <f>VLOOKUP(B15,'Initial adjusted formula count'!$A$1:$P$317,12,FALSE)</f>
        <v>0.125</v>
      </c>
      <c r="F15">
        <f>VLOOKUP(B15,'Model allocations'!$A$1:$L$317,10,FALSE)</f>
        <v>0</v>
      </c>
      <c r="G15" s="30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29">
        <f t="shared" si="10"/>
        <v>0</v>
      </c>
      <c r="O15" s="29">
        <f t="shared" si="4"/>
        <v>0</v>
      </c>
      <c r="P15" s="29">
        <f t="shared" si="11"/>
        <v>0</v>
      </c>
      <c r="Q15">
        <f t="shared" si="12"/>
        <v>0</v>
      </c>
      <c r="R15" s="29">
        <f t="shared" si="13"/>
        <v>0</v>
      </c>
      <c r="S15" s="29">
        <f t="shared" si="5"/>
        <v>0</v>
      </c>
      <c r="T15" s="29">
        <f t="shared" si="14"/>
        <v>0</v>
      </c>
      <c r="U15">
        <f t="shared" si="15"/>
        <v>0</v>
      </c>
      <c r="V15" s="29">
        <f t="shared" si="16"/>
        <v>0</v>
      </c>
      <c r="W15" s="29">
        <f t="shared" si="6"/>
        <v>0</v>
      </c>
      <c r="X15" s="29">
        <f t="shared" si="17"/>
        <v>0</v>
      </c>
      <c r="Y15">
        <f t="shared" si="18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allocations'!$A$1:$L$317,5,FALSE)</f>
        <v>1283861.563734517</v>
      </c>
      <c r="E16" s="31">
        <f>VLOOKUP(B16,'Initial adjusted formula count'!$A$1:$P$317,12,FALSE)</f>
        <v>0.103202993297973</v>
      </c>
      <c r="F16">
        <f>VLOOKUP(B16,'Model allocations'!$A$1:$L$317,10,FALSE)</f>
        <v>1485992.2776679611</v>
      </c>
      <c r="G16" s="30">
        <f t="shared" si="7"/>
        <v>0.85</v>
      </c>
      <c r="H16">
        <f t="shared" si="8"/>
        <v>1091282.3291743393</v>
      </c>
      <c r="I16">
        <f t="shared" si="0"/>
        <v>0</v>
      </c>
      <c r="J16">
        <f t="shared" si="1"/>
        <v>1485992.2776679611</v>
      </c>
      <c r="K16">
        <f t="shared" si="2"/>
        <v>1485144.7788154767</v>
      </c>
      <c r="L16">
        <f t="shared" si="9"/>
        <v>1485144.7788154767</v>
      </c>
      <c r="M16">
        <f t="shared" si="3"/>
        <v>0</v>
      </c>
      <c r="N16" s="29">
        <f t="shared" si="10"/>
        <v>1485144.7788154767</v>
      </c>
      <c r="O16" s="29">
        <f t="shared" si="4"/>
        <v>1485043.7927199677</v>
      </c>
      <c r="P16" s="29">
        <f t="shared" si="11"/>
        <v>1485043.7927199677</v>
      </c>
      <c r="Q16">
        <f t="shared" si="12"/>
        <v>0</v>
      </c>
      <c r="R16" s="29">
        <f t="shared" si="13"/>
        <v>1485043.7927199677</v>
      </c>
      <c r="S16" s="29">
        <f t="shared" si="5"/>
        <v>1485043.7927199681</v>
      </c>
      <c r="T16" s="29">
        <f t="shared" si="14"/>
        <v>1485043.7927199681</v>
      </c>
      <c r="U16">
        <f t="shared" si="15"/>
        <v>0</v>
      </c>
      <c r="V16" s="29">
        <f t="shared" si="16"/>
        <v>1485043.7927199681</v>
      </c>
      <c r="W16" s="29">
        <f t="shared" si="6"/>
        <v>1485043.7927199681</v>
      </c>
      <c r="X16" s="29">
        <f t="shared" si="17"/>
        <v>1485043.7927199681</v>
      </c>
      <c r="Y16">
        <f t="shared" si="18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allocations'!$A$1:$L$317,5,FALSE)</f>
        <v>6015.3466569807933</v>
      </c>
      <c r="E17" s="31">
        <f>VLOOKUP(B17,'Initial adjusted formula count'!$A$1:$P$317,12,FALSE)</f>
        <v>0.113924050632911</v>
      </c>
      <c r="F17">
        <f>VLOOKUP(B17,'Model allocations'!$A$1:$L$317,10,FALSE)</f>
        <v>0</v>
      </c>
      <c r="G17" s="30">
        <f t="shared" si="7"/>
        <v>0.85</v>
      </c>
      <c r="H17">
        <f t="shared" si="8"/>
        <v>0</v>
      </c>
      <c r="I17">
        <f t="shared" si="0"/>
        <v>0</v>
      </c>
      <c r="J17">
        <f t="shared" si="1"/>
        <v>0</v>
      </c>
      <c r="K17">
        <f t="shared" si="2"/>
        <v>0</v>
      </c>
      <c r="L17">
        <f t="shared" si="9"/>
        <v>0</v>
      </c>
      <c r="M17">
        <f t="shared" si="3"/>
        <v>0</v>
      </c>
      <c r="N17" s="29">
        <f t="shared" si="10"/>
        <v>0</v>
      </c>
      <c r="O17" s="29">
        <f t="shared" si="4"/>
        <v>0</v>
      </c>
      <c r="P17" s="29">
        <f t="shared" si="11"/>
        <v>0</v>
      </c>
      <c r="Q17">
        <f t="shared" si="12"/>
        <v>0</v>
      </c>
      <c r="R17" s="29">
        <f t="shared" si="13"/>
        <v>0</v>
      </c>
      <c r="S17" s="29">
        <f t="shared" si="5"/>
        <v>0</v>
      </c>
      <c r="T17" s="29">
        <f t="shared" si="14"/>
        <v>0</v>
      </c>
      <c r="U17">
        <f t="shared" si="15"/>
        <v>0</v>
      </c>
      <c r="V17" s="29">
        <f t="shared" si="16"/>
        <v>0</v>
      </c>
      <c r="W17" s="29">
        <f t="shared" si="6"/>
        <v>0</v>
      </c>
      <c r="X17" s="29">
        <f t="shared" si="17"/>
        <v>0</v>
      </c>
      <c r="Y17">
        <f t="shared" si="18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allocations'!$A$1:$L$317,5,FALSE)</f>
        <v>129854.33942890776</v>
      </c>
      <c r="E18" s="31">
        <f>VLOOKUP(B18,'Initial adjusted formula count'!$A$1:$P$317,12,FALSE)</f>
        <v>0.12424364663170601</v>
      </c>
      <c r="F18">
        <f>VLOOKUP(B18,'Model allocations'!$A$1:$L$317,10,FALSE)</f>
        <v>129162.02103054385</v>
      </c>
      <c r="G18" s="30">
        <f t="shared" si="7"/>
        <v>0.85</v>
      </c>
      <c r="H18">
        <f t="shared" si="8"/>
        <v>110376.18851457159</v>
      </c>
      <c r="I18">
        <f t="shared" si="0"/>
        <v>0</v>
      </c>
      <c r="J18">
        <f t="shared" si="1"/>
        <v>129162.02103054385</v>
      </c>
      <c r="K18">
        <f t="shared" si="2"/>
        <v>129088.3566742393</v>
      </c>
      <c r="L18">
        <f t="shared" si="9"/>
        <v>129088.3566742393</v>
      </c>
      <c r="M18">
        <f t="shared" si="3"/>
        <v>0</v>
      </c>
      <c r="N18" s="29">
        <f t="shared" si="10"/>
        <v>129088.3566742393</v>
      </c>
      <c r="O18" s="29">
        <f t="shared" si="4"/>
        <v>129079.57899188662</v>
      </c>
      <c r="P18" s="29">
        <f t="shared" si="11"/>
        <v>129079.57899188662</v>
      </c>
      <c r="Q18">
        <f t="shared" si="12"/>
        <v>0</v>
      </c>
      <c r="R18" s="29">
        <f t="shared" si="13"/>
        <v>129079.57899188662</v>
      </c>
      <c r="S18" s="29">
        <f t="shared" si="5"/>
        <v>129079.57899188666</v>
      </c>
      <c r="T18" s="29">
        <f t="shared" si="14"/>
        <v>129079.57899188666</v>
      </c>
      <c r="U18">
        <f t="shared" si="15"/>
        <v>0</v>
      </c>
      <c r="V18" s="29">
        <f t="shared" si="16"/>
        <v>129079.57899188666</v>
      </c>
      <c r="W18" s="29">
        <f t="shared" si="6"/>
        <v>129079.57899188666</v>
      </c>
      <c r="X18" s="29">
        <f t="shared" si="17"/>
        <v>129079.57899188666</v>
      </c>
      <c r="Y18">
        <f t="shared" si="18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allocations'!$A$1:$L$317,5,FALSE)</f>
        <v>11523.681290131903</v>
      </c>
      <c r="E19" s="31">
        <f>VLOOKUP(B19,'Initial adjusted formula count'!$A$1:$P$317,12,FALSE)</f>
        <v>0.100917431192661</v>
      </c>
      <c r="F19">
        <f>VLOOKUP(B19,'Model allocations'!$A$1:$L$317,10,FALSE)</f>
        <v>9795.1290966121178</v>
      </c>
      <c r="G19" s="30">
        <f t="shared" si="7"/>
        <v>0.85</v>
      </c>
      <c r="H19">
        <f t="shared" si="8"/>
        <v>9795.1290966121178</v>
      </c>
      <c r="I19">
        <f t="shared" si="0"/>
        <v>0</v>
      </c>
      <c r="J19">
        <f t="shared" si="1"/>
        <v>9795.1290966121178</v>
      </c>
      <c r="K19">
        <f t="shared" si="2"/>
        <v>9789.5426875882822</v>
      </c>
      <c r="L19">
        <f t="shared" si="9"/>
        <v>9789.5426875882822</v>
      </c>
      <c r="M19">
        <f t="shared" si="3"/>
        <v>9795.1290966121178</v>
      </c>
      <c r="N19" s="29">
        <f t="shared" si="10"/>
        <v>0</v>
      </c>
      <c r="O19" s="29">
        <f t="shared" si="4"/>
        <v>0</v>
      </c>
      <c r="P19" s="29">
        <f t="shared" si="11"/>
        <v>9795.1290966121178</v>
      </c>
      <c r="Q19">
        <f t="shared" si="12"/>
        <v>0</v>
      </c>
      <c r="R19" s="29">
        <f t="shared" si="13"/>
        <v>0</v>
      </c>
      <c r="S19" s="29">
        <f t="shared" si="5"/>
        <v>0</v>
      </c>
      <c r="T19" s="29">
        <f t="shared" si="14"/>
        <v>9795.1290966121178</v>
      </c>
      <c r="U19">
        <f t="shared" si="15"/>
        <v>0</v>
      </c>
      <c r="V19" s="29">
        <f t="shared" si="16"/>
        <v>0</v>
      </c>
      <c r="W19" s="29">
        <f t="shared" si="6"/>
        <v>0</v>
      </c>
      <c r="X19" s="29">
        <f t="shared" si="17"/>
        <v>9795.1290966121178</v>
      </c>
      <c r="Y19">
        <f t="shared" si="18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allocations'!$A$1:$L$317,5,FALSE)</f>
        <v>458083.68394561857</v>
      </c>
      <c r="E20" s="31">
        <f>VLOOKUP(B20,'Initial adjusted formula count'!$A$1:$P$317,12,FALSE)</f>
        <v>0.162490957352972</v>
      </c>
      <c r="F20">
        <f>VLOOKUP(B20,'Model allocations'!$A$1:$L$317,10,FALSE)</f>
        <v>409558.4983099784</v>
      </c>
      <c r="G20" s="30">
        <f t="shared" si="7"/>
        <v>0.9</v>
      </c>
      <c r="H20">
        <f t="shared" si="8"/>
        <v>412275.3155510567</v>
      </c>
      <c r="I20">
        <f t="shared" si="0"/>
        <v>412275.3155510567</v>
      </c>
      <c r="J20">
        <f t="shared" si="1"/>
        <v>0</v>
      </c>
      <c r="K20">
        <f t="shared" si="2"/>
        <v>0</v>
      </c>
      <c r="L20">
        <f t="shared" si="9"/>
        <v>412275.3155510567</v>
      </c>
      <c r="M20">
        <f t="shared" si="3"/>
        <v>0</v>
      </c>
      <c r="N20" s="29">
        <f t="shared" si="10"/>
        <v>0</v>
      </c>
      <c r="O20" s="29">
        <f t="shared" si="4"/>
        <v>0</v>
      </c>
      <c r="P20" s="29">
        <f t="shared" si="11"/>
        <v>412275.3155510567</v>
      </c>
      <c r="Q20">
        <f t="shared" si="12"/>
        <v>0</v>
      </c>
      <c r="R20" s="29">
        <f t="shared" si="13"/>
        <v>0</v>
      </c>
      <c r="S20" s="29">
        <f t="shared" si="5"/>
        <v>0</v>
      </c>
      <c r="T20" s="29">
        <f t="shared" si="14"/>
        <v>412275.3155510567</v>
      </c>
      <c r="U20">
        <f t="shared" si="15"/>
        <v>0</v>
      </c>
      <c r="V20" s="29">
        <f t="shared" si="16"/>
        <v>0</v>
      </c>
      <c r="W20" s="29">
        <f t="shared" si="6"/>
        <v>0</v>
      </c>
      <c r="X20" s="29">
        <f t="shared" si="17"/>
        <v>412275.3155510567</v>
      </c>
      <c r="Y20">
        <f t="shared" si="18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allocations'!$A$1:$L$317,5,FALSE)</f>
        <v>136576.44027378573</v>
      </c>
      <c r="E21" s="31">
        <f>VLOOKUP(B21,'Initial adjusted formula count'!$A$1:$P$317,12,FALSE)</f>
        <v>0.255005268703899</v>
      </c>
      <c r="F21">
        <f>VLOOKUP(B21,'Model allocations'!$A$1:$L$317,10,FALSE)</f>
        <v>141214.94486267949</v>
      </c>
      <c r="G21" s="30">
        <f t="shared" si="7"/>
        <v>0.9</v>
      </c>
      <c r="H21">
        <f t="shared" si="8"/>
        <v>122918.79624640716</v>
      </c>
      <c r="I21">
        <f t="shared" si="0"/>
        <v>0</v>
      </c>
      <c r="J21">
        <f t="shared" si="1"/>
        <v>141214.94486267949</v>
      </c>
      <c r="K21">
        <f t="shared" si="2"/>
        <v>141134.40642010255</v>
      </c>
      <c r="L21">
        <f t="shared" si="9"/>
        <v>141134.40642010255</v>
      </c>
      <c r="M21">
        <f t="shared" si="3"/>
        <v>0</v>
      </c>
      <c r="N21" s="29">
        <f t="shared" si="10"/>
        <v>141134.40642010255</v>
      </c>
      <c r="O21" s="29">
        <f t="shared" si="4"/>
        <v>141124.80963677904</v>
      </c>
      <c r="P21" s="29">
        <f t="shared" si="11"/>
        <v>141124.80963677904</v>
      </c>
      <c r="Q21">
        <f t="shared" si="12"/>
        <v>0</v>
      </c>
      <c r="R21" s="29">
        <f t="shared" si="13"/>
        <v>141124.80963677904</v>
      </c>
      <c r="S21" s="29">
        <f t="shared" si="5"/>
        <v>141124.8096367791</v>
      </c>
      <c r="T21" s="29">
        <f t="shared" si="14"/>
        <v>141124.8096367791</v>
      </c>
      <c r="U21">
        <f t="shared" si="15"/>
        <v>0</v>
      </c>
      <c r="V21" s="29">
        <f t="shared" si="16"/>
        <v>141124.8096367791</v>
      </c>
      <c r="W21" s="29">
        <f t="shared" si="6"/>
        <v>141124.8096367791</v>
      </c>
      <c r="X21" s="29">
        <f t="shared" si="17"/>
        <v>141124.8096367791</v>
      </c>
      <c r="Y21">
        <f t="shared" si="18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allocations'!$A$1:$L$317,5,FALSE)</f>
        <v>110322.09072156889</v>
      </c>
      <c r="E22" s="31">
        <f>VLOOKUP(B22,'Initial adjusted formula count'!$A$1:$P$317,12,FALSE)</f>
        <v>0.22727272727272699</v>
      </c>
      <c r="F22">
        <f>VLOOKUP(B22,'Model allocations'!$A$1:$L$317,10,FALSE)</f>
        <v>99289.881649412011</v>
      </c>
      <c r="G22" s="30">
        <f t="shared" si="7"/>
        <v>0.9</v>
      </c>
      <c r="H22">
        <f t="shared" si="8"/>
        <v>99289.881649412011</v>
      </c>
      <c r="I22">
        <f t="shared" si="0"/>
        <v>0</v>
      </c>
      <c r="J22">
        <f t="shared" si="1"/>
        <v>99289.881649412011</v>
      </c>
      <c r="K22">
        <f t="shared" si="2"/>
        <v>99233.254127165899</v>
      </c>
      <c r="L22">
        <f t="shared" si="9"/>
        <v>99233.254127165899</v>
      </c>
      <c r="M22">
        <f t="shared" si="3"/>
        <v>99289.881649412011</v>
      </c>
      <c r="N22" s="29">
        <f t="shared" si="10"/>
        <v>0</v>
      </c>
      <c r="O22" s="29">
        <f t="shared" si="4"/>
        <v>0</v>
      </c>
      <c r="P22" s="29">
        <f t="shared" si="11"/>
        <v>99289.881649412011</v>
      </c>
      <c r="Q22">
        <f t="shared" si="12"/>
        <v>0</v>
      </c>
      <c r="R22" s="29">
        <f t="shared" si="13"/>
        <v>0</v>
      </c>
      <c r="S22" s="29">
        <f t="shared" si="5"/>
        <v>0</v>
      </c>
      <c r="T22" s="29">
        <f t="shared" si="14"/>
        <v>99289.881649412011</v>
      </c>
      <c r="U22">
        <f t="shared" si="15"/>
        <v>0</v>
      </c>
      <c r="V22" s="29">
        <f t="shared" si="16"/>
        <v>0</v>
      </c>
      <c r="W22" s="29">
        <f t="shared" si="6"/>
        <v>0</v>
      </c>
      <c r="X22" s="29">
        <f t="shared" si="17"/>
        <v>99289.881649412011</v>
      </c>
      <c r="Y22">
        <f t="shared" si="18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allocations'!$A$1:$L$317,5,FALSE)</f>
        <v>16486.539034044137</v>
      </c>
      <c r="E23" s="31">
        <f>VLOOKUP(B23,'Initial adjusted formula count'!$A$1:$P$317,12,FALSE)</f>
        <v>0.223214285714286</v>
      </c>
      <c r="F23">
        <f>VLOOKUP(B23,'Model allocations'!$A$1:$L$317,10,FALSE)</f>
        <v>14837.885130639725</v>
      </c>
      <c r="G23" s="30">
        <f t="shared" si="7"/>
        <v>0.9</v>
      </c>
      <c r="H23">
        <f t="shared" si="8"/>
        <v>14837.885130639725</v>
      </c>
      <c r="I23">
        <f t="shared" si="0"/>
        <v>0</v>
      </c>
      <c r="J23">
        <f t="shared" si="1"/>
        <v>14837.885130639725</v>
      </c>
      <c r="K23">
        <f t="shared" si="2"/>
        <v>14829.422710739907</v>
      </c>
      <c r="L23">
        <f t="shared" si="9"/>
        <v>14829.422710739907</v>
      </c>
      <c r="M23">
        <f t="shared" si="3"/>
        <v>14837.885130639725</v>
      </c>
      <c r="N23" s="29">
        <f t="shared" si="10"/>
        <v>0</v>
      </c>
      <c r="O23" s="29">
        <f t="shared" si="4"/>
        <v>0</v>
      </c>
      <c r="P23" s="29">
        <f t="shared" si="11"/>
        <v>14837.885130639725</v>
      </c>
      <c r="Q23">
        <f t="shared" si="12"/>
        <v>0</v>
      </c>
      <c r="R23" s="29">
        <f t="shared" si="13"/>
        <v>0</v>
      </c>
      <c r="S23" s="29">
        <f t="shared" si="5"/>
        <v>0</v>
      </c>
      <c r="T23" s="29">
        <f t="shared" si="14"/>
        <v>14837.885130639725</v>
      </c>
      <c r="U23">
        <f t="shared" si="15"/>
        <v>0</v>
      </c>
      <c r="V23" s="29">
        <f t="shared" si="16"/>
        <v>0</v>
      </c>
      <c r="W23" s="29">
        <f t="shared" si="6"/>
        <v>0</v>
      </c>
      <c r="X23" s="29">
        <f t="shared" si="17"/>
        <v>14837.885130639725</v>
      </c>
      <c r="Y23">
        <f t="shared" si="18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allocations'!$A$1:$L$317,5,FALSE)</f>
        <v>172892.90837407191</v>
      </c>
      <c r="E24" s="31">
        <f>VLOOKUP(B24,'Initial adjusted formula count'!$A$1:$P$317,12,FALSE)</f>
        <v>0.10826288519225501</v>
      </c>
      <c r="F24">
        <f>VLOOKUP(B24,'Model allocations'!$A$1:$L$317,10,FALSE)</f>
        <v>166484.81282183737</v>
      </c>
      <c r="G24" s="30">
        <f t="shared" si="7"/>
        <v>0.85</v>
      </c>
      <c r="H24">
        <f t="shared" si="8"/>
        <v>146958.97211796112</v>
      </c>
      <c r="I24">
        <f t="shared" si="0"/>
        <v>0</v>
      </c>
      <c r="J24">
        <f t="shared" si="1"/>
        <v>166484.81282183737</v>
      </c>
      <c r="K24">
        <f t="shared" si="2"/>
        <v>166389.86233660067</v>
      </c>
      <c r="L24">
        <f t="shared" si="9"/>
        <v>166389.86233660067</v>
      </c>
      <c r="M24">
        <f t="shared" si="3"/>
        <v>0</v>
      </c>
      <c r="N24" s="29">
        <f t="shared" si="10"/>
        <v>166389.86233660067</v>
      </c>
      <c r="O24" s="29">
        <f t="shared" si="4"/>
        <v>166378.54824603567</v>
      </c>
      <c r="P24" s="29">
        <f t="shared" si="11"/>
        <v>166378.54824603567</v>
      </c>
      <c r="Q24">
        <f t="shared" si="12"/>
        <v>0</v>
      </c>
      <c r="R24" s="29">
        <f t="shared" si="13"/>
        <v>166378.54824603567</v>
      </c>
      <c r="S24" s="29">
        <f t="shared" si="5"/>
        <v>166378.5482460357</v>
      </c>
      <c r="T24" s="29">
        <f t="shared" si="14"/>
        <v>166378.5482460357</v>
      </c>
      <c r="U24">
        <f t="shared" si="15"/>
        <v>0</v>
      </c>
      <c r="V24" s="29">
        <f t="shared" si="16"/>
        <v>166378.5482460357</v>
      </c>
      <c r="W24" s="29">
        <f t="shared" si="6"/>
        <v>166378.5482460357</v>
      </c>
      <c r="X24" s="29">
        <f t="shared" si="17"/>
        <v>166378.5482460357</v>
      </c>
      <c r="Y24">
        <f t="shared" si="18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allocations'!$A$1:$L$317,5,FALSE)</f>
        <v>0</v>
      </c>
      <c r="E25" s="31">
        <f>VLOOKUP(B25,'Initial adjusted formula count'!$A$1:$P$317,12,FALSE)</f>
        <v>3.6446469248291598E-2</v>
      </c>
      <c r="F25">
        <f>VLOOKUP(B25,'Model allocations'!$A$1:$L$317,10,FALSE)</f>
        <v>0</v>
      </c>
      <c r="G25" s="30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29">
        <f t="shared" si="10"/>
        <v>0</v>
      </c>
      <c r="O25" s="29">
        <f t="shared" si="4"/>
        <v>0</v>
      </c>
      <c r="P25" s="29">
        <f t="shared" si="11"/>
        <v>0</v>
      </c>
      <c r="Q25">
        <f t="shared" si="12"/>
        <v>0</v>
      </c>
      <c r="R25" s="29">
        <f t="shared" si="13"/>
        <v>0</v>
      </c>
      <c r="S25" s="29">
        <f t="shared" si="5"/>
        <v>0</v>
      </c>
      <c r="T25" s="29">
        <f t="shared" si="14"/>
        <v>0</v>
      </c>
      <c r="U25">
        <f t="shared" si="15"/>
        <v>0</v>
      </c>
      <c r="V25" s="29">
        <f t="shared" si="16"/>
        <v>0</v>
      </c>
      <c r="W25" s="29">
        <f t="shared" si="6"/>
        <v>0</v>
      </c>
      <c r="X25" s="29">
        <f t="shared" si="17"/>
        <v>0</v>
      </c>
      <c r="Y25">
        <f t="shared" si="18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allocations'!$A$1:$L$317,5,FALSE)</f>
        <v>59789.207769652916</v>
      </c>
      <c r="E26" s="31">
        <f>VLOOKUP(B26,'Initial adjusted formula count'!$A$1:$P$317,12,FALSE)</f>
        <v>0.14862385321100899</v>
      </c>
      <c r="F26">
        <f>VLOOKUP(B26,'Model allocations'!$A$1:$L$317,10,FALSE)</f>
        <v>50820.82660420498</v>
      </c>
      <c r="G26" s="30">
        <f t="shared" si="7"/>
        <v>0.85</v>
      </c>
      <c r="H26">
        <f t="shared" si="8"/>
        <v>50820.82660420498</v>
      </c>
      <c r="I26">
        <f t="shared" si="0"/>
        <v>0</v>
      </c>
      <c r="J26">
        <f t="shared" si="1"/>
        <v>50820.82660420498</v>
      </c>
      <c r="K26">
        <f t="shared" si="2"/>
        <v>50791.842205782021</v>
      </c>
      <c r="L26">
        <f t="shared" si="9"/>
        <v>50791.842205782021</v>
      </c>
      <c r="M26">
        <f t="shared" si="3"/>
        <v>50820.82660420498</v>
      </c>
      <c r="N26" s="29">
        <f t="shared" si="10"/>
        <v>0</v>
      </c>
      <c r="O26" s="29">
        <f t="shared" si="4"/>
        <v>0</v>
      </c>
      <c r="P26" s="29">
        <f t="shared" si="11"/>
        <v>50820.82660420498</v>
      </c>
      <c r="Q26">
        <f t="shared" si="12"/>
        <v>0</v>
      </c>
      <c r="R26" s="29">
        <f t="shared" si="13"/>
        <v>0</v>
      </c>
      <c r="S26" s="29">
        <f t="shared" si="5"/>
        <v>0</v>
      </c>
      <c r="T26" s="29">
        <f t="shared" si="14"/>
        <v>50820.82660420498</v>
      </c>
      <c r="U26">
        <f t="shared" si="15"/>
        <v>0</v>
      </c>
      <c r="V26" s="29">
        <f t="shared" si="16"/>
        <v>0</v>
      </c>
      <c r="W26" s="29">
        <f t="shared" si="6"/>
        <v>0</v>
      </c>
      <c r="X26" s="29">
        <f t="shared" si="17"/>
        <v>50820.82660420498</v>
      </c>
      <c r="Y26">
        <f t="shared" si="18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allocations'!$A$1:$L$317,5,FALSE)</f>
        <v>0</v>
      </c>
      <c r="E27" s="31">
        <f>VLOOKUP(B27,'Initial adjusted formula count'!$A$1:$P$317,12,FALSE)</f>
        <v>1.9138755980861202E-2</v>
      </c>
      <c r="F27">
        <f>VLOOKUP(B27,'Model allocations'!$A$1:$L$317,10,FALSE)</f>
        <v>0</v>
      </c>
      <c r="G27" s="30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29">
        <f t="shared" si="10"/>
        <v>0</v>
      </c>
      <c r="O27" s="29">
        <f t="shared" si="4"/>
        <v>0</v>
      </c>
      <c r="P27" s="29">
        <f t="shared" si="11"/>
        <v>0</v>
      </c>
      <c r="Q27">
        <f t="shared" si="12"/>
        <v>0</v>
      </c>
      <c r="R27" s="29">
        <f t="shared" si="13"/>
        <v>0</v>
      </c>
      <c r="S27" s="29">
        <f t="shared" si="5"/>
        <v>0</v>
      </c>
      <c r="T27" s="29">
        <f t="shared" si="14"/>
        <v>0</v>
      </c>
      <c r="U27">
        <f t="shared" si="15"/>
        <v>0</v>
      </c>
      <c r="V27" s="29">
        <f t="shared" si="16"/>
        <v>0</v>
      </c>
      <c r="W27" s="29">
        <f t="shared" si="6"/>
        <v>0</v>
      </c>
      <c r="X27" s="29">
        <f t="shared" si="17"/>
        <v>0</v>
      </c>
      <c r="Y27">
        <f t="shared" si="18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allocations'!$A$1:$L$317,5,FALSE)</f>
        <v>72434.568109400556</v>
      </c>
      <c r="E28" s="31">
        <f>VLOOKUP(B28,'Initial adjusted formula count'!$A$1:$P$317,12,FALSE)</f>
        <v>9.7763578274760399E-2</v>
      </c>
      <c r="F28">
        <f>VLOOKUP(B28,'Model allocations'!$A$1:$L$317,10,FALSE)</f>
        <v>64161.653304133797</v>
      </c>
      <c r="G28" s="30">
        <f t="shared" si="7"/>
        <v>0.85</v>
      </c>
      <c r="H28">
        <f t="shared" si="8"/>
        <v>61569.38289299047</v>
      </c>
      <c r="I28">
        <f t="shared" si="0"/>
        <v>0</v>
      </c>
      <c r="J28">
        <f t="shared" si="1"/>
        <v>64161.653304133797</v>
      </c>
      <c r="K28">
        <f t="shared" si="2"/>
        <v>64125.060295969517</v>
      </c>
      <c r="L28">
        <f t="shared" si="9"/>
        <v>64125.060295969517</v>
      </c>
      <c r="M28">
        <f t="shared" si="3"/>
        <v>0</v>
      </c>
      <c r="N28" s="29">
        <f t="shared" si="10"/>
        <v>64125.060295969517</v>
      </c>
      <c r="O28" s="29">
        <f t="shared" si="4"/>
        <v>64120.699953761854</v>
      </c>
      <c r="P28" s="29">
        <f t="shared" si="11"/>
        <v>64120.699953761854</v>
      </c>
      <c r="Q28">
        <f t="shared" si="12"/>
        <v>0</v>
      </c>
      <c r="R28" s="29">
        <f t="shared" si="13"/>
        <v>64120.699953761854</v>
      </c>
      <c r="S28" s="29">
        <f t="shared" si="5"/>
        <v>64120.699953761876</v>
      </c>
      <c r="T28" s="29">
        <f t="shared" si="14"/>
        <v>64120.699953761876</v>
      </c>
      <c r="U28">
        <f t="shared" si="15"/>
        <v>0</v>
      </c>
      <c r="V28" s="29">
        <f t="shared" si="16"/>
        <v>64120.699953761876</v>
      </c>
      <c r="W28" s="29">
        <f t="shared" si="6"/>
        <v>64120.699953761876</v>
      </c>
      <c r="X28" s="29">
        <f t="shared" si="17"/>
        <v>64120.699953761876</v>
      </c>
      <c r="Y28">
        <f t="shared" si="18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allocations'!$A$1:$L$317,5,FALSE)</f>
        <v>68318.967648639169</v>
      </c>
      <c r="E29" s="31">
        <f>VLOOKUP(B29,'Initial adjusted formula count'!$A$1:$P$317,12,FALSE)</f>
        <v>0.108825481088255</v>
      </c>
      <c r="F29">
        <f>VLOOKUP(B29,'Model allocations'!$A$1:$L$317,10,FALSE)</f>
        <v>68774.582626653209</v>
      </c>
      <c r="G29" s="30">
        <f t="shared" si="7"/>
        <v>0.85</v>
      </c>
      <c r="H29">
        <f t="shared" si="8"/>
        <v>58071.122501343292</v>
      </c>
      <c r="I29">
        <f t="shared" si="0"/>
        <v>0</v>
      </c>
      <c r="J29">
        <f t="shared" si="1"/>
        <v>68774.582626653209</v>
      </c>
      <c r="K29">
        <f t="shared" si="2"/>
        <v>68735.358748620914</v>
      </c>
      <c r="L29">
        <f t="shared" si="9"/>
        <v>68735.358748620914</v>
      </c>
      <c r="M29">
        <f t="shared" si="3"/>
        <v>0</v>
      </c>
      <c r="N29" s="29">
        <f t="shared" si="10"/>
        <v>68735.358748620914</v>
      </c>
      <c r="O29" s="29">
        <f t="shared" si="4"/>
        <v>68730.684917757797</v>
      </c>
      <c r="P29" s="29">
        <f t="shared" si="11"/>
        <v>68730.684917757797</v>
      </c>
      <c r="Q29">
        <f t="shared" si="12"/>
        <v>0</v>
      </c>
      <c r="R29" s="29">
        <f t="shared" si="13"/>
        <v>68730.684917757797</v>
      </c>
      <c r="S29" s="29">
        <f t="shared" si="5"/>
        <v>68730.684917757826</v>
      </c>
      <c r="T29" s="29">
        <f t="shared" si="14"/>
        <v>68730.684917757826</v>
      </c>
      <c r="U29">
        <f t="shared" si="15"/>
        <v>0</v>
      </c>
      <c r="V29" s="29">
        <f t="shared" si="16"/>
        <v>68730.684917757826</v>
      </c>
      <c r="W29" s="29">
        <f t="shared" si="6"/>
        <v>68730.684917757826</v>
      </c>
      <c r="X29" s="29">
        <f t="shared" si="17"/>
        <v>68730.684917757826</v>
      </c>
      <c r="Y29">
        <f t="shared" si="18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allocations'!$A$1:$L$317,5,FALSE)</f>
        <v>76550.168570161957</v>
      </c>
      <c r="E30" s="31">
        <f>VLOOKUP(B30,'Initial adjusted formula count'!$A$1:$P$317,12,FALSE)</f>
        <v>0.116195063214931</v>
      </c>
      <c r="F30">
        <f>VLOOKUP(B30,'Model allocations'!$A$1:$L$317,10,FALSE)</f>
        <v>80935.941749658974</v>
      </c>
      <c r="G30" s="30">
        <f t="shared" si="7"/>
        <v>0.85</v>
      </c>
      <c r="H30">
        <f t="shared" si="8"/>
        <v>65067.643284637663</v>
      </c>
      <c r="I30">
        <f t="shared" si="0"/>
        <v>0</v>
      </c>
      <c r="J30">
        <f t="shared" si="1"/>
        <v>80935.941749658974</v>
      </c>
      <c r="K30">
        <f t="shared" si="2"/>
        <v>80889.781941974623</v>
      </c>
      <c r="L30">
        <f t="shared" si="9"/>
        <v>80889.781941974623</v>
      </c>
      <c r="M30">
        <f t="shared" si="3"/>
        <v>0</v>
      </c>
      <c r="N30" s="29">
        <f t="shared" si="10"/>
        <v>80889.781941974623</v>
      </c>
      <c r="O30" s="29">
        <f t="shared" si="4"/>
        <v>80884.281641019857</v>
      </c>
      <c r="P30" s="29">
        <f t="shared" si="11"/>
        <v>80884.281641019857</v>
      </c>
      <c r="Q30">
        <f t="shared" si="12"/>
        <v>0</v>
      </c>
      <c r="R30" s="29">
        <f t="shared" si="13"/>
        <v>80884.281641019857</v>
      </c>
      <c r="S30" s="29">
        <f t="shared" si="5"/>
        <v>80884.281641019887</v>
      </c>
      <c r="T30" s="29">
        <f t="shared" si="14"/>
        <v>80884.281641019887</v>
      </c>
      <c r="U30">
        <f t="shared" si="15"/>
        <v>0</v>
      </c>
      <c r="V30" s="29">
        <f t="shared" si="16"/>
        <v>80884.281641019887</v>
      </c>
      <c r="W30" s="29">
        <f t="shared" si="6"/>
        <v>80884.281641019887</v>
      </c>
      <c r="X30" s="29">
        <f t="shared" si="17"/>
        <v>80884.281641019887</v>
      </c>
      <c r="Y30">
        <f t="shared" si="18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allocations'!$A$1:$L$317,5,FALSE)</f>
        <v>35454.923777041549</v>
      </c>
      <c r="E31" s="31">
        <f>VLOOKUP(B31,'Initial adjusted formula count'!$A$1:$P$317,12,FALSE)</f>
        <v>0.10646043117432499</v>
      </c>
      <c r="F31">
        <f>VLOOKUP(B31,'Model allocations'!$A$1:$L$317,10,FALSE)</f>
        <v>34070.21009543979</v>
      </c>
      <c r="G31" s="30">
        <f t="shared" si="7"/>
        <v>0.85</v>
      </c>
      <c r="H31">
        <f t="shared" si="8"/>
        <v>30136.685210485317</v>
      </c>
      <c r="I31">
        <f t="shared" si="0"/>
        <v>0</v>
      </c>
      <c r="J31">
        <f t="shared" si="1"/>
        <v>34070.21009543979</v>
      </c>
      <c r="K31">
        <f t="shared" si="2"/>
        <v>34050.778995834684</v>
      </c>
      <c r="L31">
        <f t="shared" si="9"/>
        <v>34050.778995834684</v>
      </c>
      <c r="M31">
        <f t="shared" si="3"/>
        <v>0</v>
      </c>
      <c r="N31" s="29">
        <f t="shared" si="10"/>
        <v>34050.778995834684</v>
      </c>
      <c r="O31" s="29">
        <f t="shared" si="4"/>
        <v>34048.463628828802</v>
      </c>
      <c r="P31" s="29">
        <f t="shared" si="11"/>
        <v>34048.463628828802</v>
      </c>
      <c r="Q31">
        <f t="shared" si="12"/>
        <v>0</v>
      </c>
      <c r="R31" s="29">
        <f t="shared" si="13"/>
        <v>34048.463628828802</v>
      </c>
      <c r="S31" s="29">
        <f t="shared" si="5"/>
        <v>34048.463628828817</v>
      </c>
      <c r="T31" s="29">
        <f t="shared" si="14"/>
        <v>34048.463628828817</v>
      </c>
      <c r="U31">
        <f t="shared" si="15"/>
        <v>0</v>
      </c>
      <c r="V31" s="29">
        <f t="shared" si="16"/>
        <v>34048.463628828817</v>
      </c>
      <c r="W31" s="29">
        <f t="shared" si="6"/>
        <v>34048.463628828817</v>
      </c>
      <c r="X31" s="29">
        <f t="shared" si="17"/>
        <v>34048.463628828817</v>
      </c>
      <c r="Y31">
        <f t="shared" si="18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allocations'!$A$1:$L$317,5,FALSE)</f>
        <v>16960.893659854155</v>
      </c>
      <c r="E32" s="31">
        <f>VLOOKUP(B32,'Initial adjusted formula count'!$A$1:$P$317,12,FALSE)</f>
        <v>0.25531914893617003</v>
      </c>
      <c r="F32">
        <f>VLOOKUP(B32,'Model allocations'!$A$1:$L$317,10,FALSE)</f>
        <v>15264.804293868739</v>
      </c>
      <c r="G32" s="30">
        <f t="shared" si="7"/>
        <v>0.9</v>
      </c>
      <c r="H32">
        <f t="shared" si="8"/>
        <v>15264.804293868739</v>
      </c>
      <c r="I32">
        <f t="shared" si="0"/>
        <v>0</v>
      </c>
      <c r="J32">
        <f t="shared" si="1"/>
        <v>15264.804293868739</v>
      </c>
      <c r="K32">
        <f t="shared" si="2"/>
        <v>15256.098391209034</v>
      </c>
      <c r="L32">
        <f t="shared" si="9"/>
        <v>15256.098391209034</v>
      </c>
      <c r="M32">
        <f t="shared" si="3"/>
        <v>15264.804293868739</v>
      </c>
      <c r="N32" s="29">
        <f t="shared" si="10"/>
        <v>0</v>
      </c>
      <c r="O32" s="29">
        <f t="shared" si="4"/>
        <v>0</v>
      </c>
      <c r="P32" s="29">
        <f t="shared" si="11"/>
        <v>15264.804293868739</v>
      </c>
      <c r="Q32">
        <f t="shared" si="12"/>
        <v>0</v>
      </c>
      <c r="R32" s="29">
        <f t="shared" si="13"/>
        <v>0</v>
      </c>
      <c r="S32" s="29">
        <f t="shared" si="5"/>
        <v>0</v>
      </c>
      <c r="T32" s="29">
        <f t="shared" si="14"/>
        <v>15264.804293868739</v>
      </c>
      <c r="U32">
        <f t="shared" si="15"/>
        <v>0</v>
      </c>
      <c r="V32" s="29">
        <f t="shared" si="16"/>
        <v>0</v>
      </c>
      <c r="W32" s="29">
        <f t="shared" si="6"/>
        <v>0</v>
      </c>
      <c r="X32" s="29">
        <f t="shared" si="17"/>
        <v>15264.804293868739</v>
      </c>
      <c r="Y32">
        <f t="shared" si="18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allocations'!$A$1:$L$317,5,FALSE)</f>
        <v>396743.88441739831</v>
      </c>
      <c r="E33" s="31">
        <f>VLOOKUP(B33,'Initial adjusted formula count'!$A$1:$P$317,12,FALSE)</f>
        <v>7.0280944259940803E-2</v>
      </c>
      <c r="F33">
        <f>VLOOKUP(B33,'Model allocations'!$A$1:$L$317,10,FALSE)</f>
        <v>347647.12803350919</v>
      </c>
      <c r="G33" s="30">
        <f t="shared" si="7"/>
        <v>0.85</v>
      </c>
      <c r="H33">
        <f t="shared" si="8"/>
        <v>337232.30175478855</v>
      </c>
      <c r="I33">
        <f t="shared" si="0"/>
        <v>0</v>
      </c>
      <c r="J33">
        <f t="shared" si="1"/>
        <v>347647.12803350919</v>
      </c>
      <c r="K33">
        <f t="shared" si="2"/>
        <v>347448.85611345572</v>
      </c>
      <c r="L33">
        <f t="shared" si="9"/>
        <v>347448.85611345572</v>
      </c>
      <c r="M33">
        <f t="shared" si="3"/>
        <v>0</v>
      </c>
      <c r="N33" s="29">
        <f t="shared" si="10"/>
        <v>347448.85611345572</v>
      </c>
      <c r="O33" s="29">
        <f t="shared" si="4"/>
        <v>347425.23046842206</v>
      </c>
      <c r="P33" s="29">
        <f t="shared" si="11"/>
        <v>347425.23046842206</v>
      </c>
      <c r="Q33">
        <f t="shared" si="12"/>
        <v>0</v>
      </c>
      <c r="R33" s="29">
        <f t="shared" si="13"/>
        <v>347425.23046842206</v>
      </c>
      <c r="S33" s="29">
        <f t="shared" si="5"/>
        <v>347425.23046842223</v>
      </c>
      <c r="T33" s="29">
        <f t="shared" si="14"/>
        <v>347425.23046842223</v>
      </c>
      <c r="U33">
        <f t="shared" si="15"/>
        <v>0</v>
      </c>
      <c r="V33" s="29">
        <f t="shared" si="16"/>
        <v>347425.23046842223</v>
      </c>
      <c r="W33" s="29">
        <f t="shared" si="6"/>
        <v>347425.23046842223</v>
      </c>
      <c r="X33" s="29">
        <f t="shared" si="17"/>
        <v>347425.23046842223</v>
      </c>
      <c r="Y33">
        <f t="shared" si="18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allocations'!$A$1:$L$317,5,FALSE)</f>
        <v>1001737.1521493235</v>
      </c>
      <c r="E34" s="31">
        <f>VLOOKUP(B34,'Initial adjusted formula count'!$A$1:$P$317,12,FALSE)</f>
        <v>8.3882634311380697E-2</v>
      </c>
      <c r="F34">
        <f>VLOOKUP(B34,'Model allocations'!$A$1:$L$317,10,FALSE)</f>
        <v>851476.57932692498</v>
      </c>
      <c r="G34" s="30">
        <f t="shared" si="7"/>
        <v>0.85</v>
      </c>
      <c r="H34">
        <f t="shared" si="8"/>
        <v>851476.57932692498</v>
      </c>
      <c r="I34">
        <f t="shared" si="0"/>
        <v>0</v>
      </c>
      <c r="J34">
        <f t="shared" si="1"/>
        <v>851476.57932692498</v>
      </c>
      <c r="K34">
        <f t="shared" si="2"/>
        <v>850990.96077106718</v>
      </c>
      <c r="L34">
        <f t="shared" si="9"/>
        <v>850990.96077106718</v>
      </c>
      <c r="M34">
        <f t="shared" si="3"/>
        <v>851476.57932692498</v>
      </c>
      <c r="N34" s="29">
        <f t="shared" si="10"/>
        <v>0</v>
      </c>
      <c r="O34" s="29">
        <f t="shared" si="4"/>
        <v>0</v>
      </c>
      <c r="P34" s="29">
        <f t="shared" si="11"/>
        <v>851476.57932692498</v>
      </c>
      <c r="Q34">
        <f t="shared" si="12"/>
        <v>0</v>
      </c>
      <c r="R34" s="29">
        <f t="shared" si="13"/>
        <v>0</v>
      </c>
      <c r="S34" s="29">
        <f t="shared" si="5"/>
        <v>0</v>
      </c>
      <c r="T34" s="29">
        <f t="shared" si="14"/>
        <v>851476.57932692498</v>
      </c>
      <c r="U34">
        <f t="shared" si="15"/>
        <v>0</v>
      </c>
      <c r="V34" s="29">
        <f t="shared" si="16"/>
        <v>0</v>
      </c>
      <c r="W34" s="29">
        <f t="shared" si="6"/>
        <v>0</v>
      </c>
      <c r="X34" s="29">
        <f t="shared" si="17"/>
        <v>851476.57932692498</v>
      </c>
      <c r="Y34">
        <f t="shared" si="18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allocations'!$A$1:$L$317,5,FALSE)</f>
        <v>349037.1197123953</v>
      </c>
      <c r="E35" s="31">
        <f>VLOOKUP(B35,'Initial adjusted formula count'!$A$1:$P$317,12,FALSE)</f>
        <v>0.198892478080295</v>
      </c>
      <c r="F35">
        <f>VLOOKUP(B35,'Model allocations'!$A$1:$L$317,10,FALSE)</f>
        <v>420226.16121532873</v>
      </c>
      <c r="G35" s="30">
        <f t="shared" si="7"/>
        <v>0.9</v>
      </c>
      <c r="H35">
        <f t="shared" si="8"/>
        <v>314133.40774115577</v>
      </c>
      <c r="I35">
        <f t="shared" si="0"/>
        <v>0</v>
      </c>
      <c r="J35">
        <f t="shared" si="1"/>
        <v>420226.16121532873</v>
      </c>
      <c r="K35">
        <f t="shared" si="2"/>
        <v>419986.49564319482</v>
      </c>
      <c r="L35">
        <f t="shared" si="9"/>
        <v>419986.49564319482</v>
      </c>
      <c r="M35">
        <f t="shared" si="3"/>
        <v>0</v>
      </c>
      <c r="N35" s="29">
        <f t="shared" si="10"/>
        <v>419986.49564319482</v>
      </c>
      <c r="O35" s="29">
        <f t="shared" si="4"/>
        <v>419957.9376218043</v>
      </c>
      <c r="P35" s="29">
        <f t="shared" si="11"/>
        <v>419957.9376218043</v>
      </c>
      <c r="Q35">
        <f t="shared" si="12"/>
        <v>0</v>
      </c>
      <c r="R35" s="29">
        <f t="shared" si="13"/>
        <v>419957.9376218043</v>
      </c>
      <c r="S35" s="29">
        <f t="shared" si="5"/>
        <v>419957.93762180448</v>
      </c>
      <c r="T35" s="29">
        <f t="shared" si="14"/>
        <v>419957.93762180448</v>
      </c>
      <c r="U35">
        <f t="shared" si="15"/>
        <v>0</v>
      </c>
      <c r="V35" s="29">
        <f t="shared" si="16"/>
        <v>419957.93762180448</v>
      </c>
      <c r="W35" s="29">
        <f t="shared" si="6"/>
        <v>419957.93762180448</v>
      </c>
      <c r="X35" s="29">
        <f t="shared" si="17"/>
        <v>419957.93762180448</v>
      </c>
      <c r="Y35">
        <f t="shared" si="18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allocations'!$A$1:$L$317,5,FALSE)</f>
        <v>120173.68173369349</v>
      </c>
      <c r="E36" s="31">
        <f>VLOOKUP(B36,'Initial adjusted formula count'!$A$1:$P$317,12,FALSE)</f>
        <v>0.141131815044859</v>
      </c>
      <c r="F36">
        <f>VLOOKUP(B36,'Model allocations'!$A$1:$L$317,10,FALSE)</f>
        <v>171517.09935549489</v>
      </c>
      <c r="G36" s="30">
        <f t="shared" si="7"/>
        <v>0.85</v>
      </c>
      <c r="H36">
        <f t="shared" si="8"/>
        <v>102147.62947363946</v>
      </c>
      <c r="I36">
        <f t="shared" si="0"/>
        <v>0</v>
      </c>
      <c r="J36">
        <f t="shared" si="1"/>
        <v>171517.09935549489</v>
      </c>
      <c r="K36">
        <f t="shared" si="2"/>
        <v>171419.27883040215</v>
      </c>
      <c r="L36">
        <f t="shared" si="9"/>
        <v>171419.27883040215</v>
      </c>
      <c r="M36">
        <f t="shared" si="3"/>
        <v>0</v>
      </c>
      <c r="N36" s="29">
        <f t="shared" si="10"/>
        <v>171419.27883040215</v>
      </c>
      <c r="O36" s="29">
        <f t="shared" si="4"/>
        <v>171407.62275221304</v>
      </c>
      <c r="P36" s="29">
        <f t="shared" si="11"/>
        <v>171407.62275221304</v>
      </c>
      <c r="Q36">
        <f t="shared" si="12"/>
        <v>0</v>
      </c>
      <c r="R36" s="29">
        <f t="shared" si="13"/>
        <v>171407.62275221304</v>
      </c>
      <c r="S36" s="29">
        <f t="shared" si="5"/>
        <v>171407.62275221309</v>
      </c>
      <c r="T36" s="29">
        <f t="shared" si="14"/>
        <v>171407.62275221309</v>
      </c>
      <c r="U36">
        <f t="shared" si="15"/>
        <v>0</v>
      </c>
      <c r="V36" s="29">
        <f t="shared" si="16"/>
        <v>171407.62275221309</v>
      </c>
      <c r="W36" s="29">
        <f t="shared" si="6"/>
        <v>171407.62275221309</v>
      </c>
      <c r="X36" s="29">
        <f t="shared" si="17"/>
        <v>171407.62275221309</v>
      </c>
      <c r="Y36">
        <f t="shared" si="18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allocations'!$A$1:$L$317,5,FALSE)</f>
        <v>398595.904624741</v>
      </c>
      <c r="E37" s="31">
        <f>VLOOKUP(B37,'Initial adjusted formula count'!$A$1:$P$317,12,FALSE)</f>
        <v>0.113426662424435</v>
      </c>
      <c r="F37">
        <f>VLOOKUP(B37,'Model allocations'!$A$1:$L$317,10,FALSE)</f>
        <v>338806.51893102983</v>
      </c>
      <c r="G37" s="30">
        <f t="shared" si="7"/>
        <v>0.85</v>
      </c>
      <c r="H37">
        <f t="shared" si="8"/>
        <v>338806.51893102983</v>
      </c>
      <c r="I37">
        <f t="shared" si="0"/>
        <v>0</v>
      </c>
      <c r="J37">
        <f t="shared" si="1"/>
        <v>338806.51893102983</v>
      </c>
      <c r="K37">
        <f t="shared" si="2"/>
        <v>338613.2890331875</v>
      </c>
      <c r="L37">
        <f t="shared" si="9"/>
        <v>338613.2890331875</v>
      </c>
      <c r="M37">
        <f t="shared" si="3"/>
        <v>338806.51893102983</v>
      </c>
      <c r="N37" s="29">
        <f t="shared" si="10"/>
        <v>0</v>
      </c>
      <c r="O37" s="29">
        <f t="shared" si="4"/>
        <v>0</v>
      </c>
      <c r="P37" s="29">
        <f t="shared" si="11"/>
        <v>338806.51893102983</v>
      </c>
      <c r="Q37">
        <f t="shared" si="12"/>
        <v>0</v>
      </c>
      <c r="R37" s="29">
        <f t="shared" si="13"/>
        <v>0</v>
      </c>
      <c r="S37" s="29">
        <f t="shared" si="5"/>
        <v>0</v>
      </c>
      <c r="T37" s="29">
        <f t="shared" si="14"/>
        <v>338806.51893102983</v>
      </c>
      <c r="U37">
        <f t="shared" si="15"/>
        <v>0</v>
      </c>
      <c r="V37" s="29">
        <f t="shared" si="16"/>
        <v>0</v>
      </c>
      <c r="W37" s="29">
        <f t="shared" si="6"/>
        <v>0</v>
      </c>
      <c r="X37" s="29">
        <f t="shared" si="17"/>
        <v>338806.51893102983</v>
      </c>
      <c r="Y37">
        <f t="shared" si="18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allocations'!$A$1:$L$317,5,FALSE)</f>
        <v>87445.243673026634</v>
      </c>
      <c r="E38" s="31">
        <f>VLOOKUP(B38,'Initial adjusted formula count'!$A$1:$P$317,12,FALSE)</f>
        <v>0.161904761904762</v>
      </c>
      <c r="F38">
        <f>VLOOKUP(B38,'Model allocations'!$A$1:$L$317,10,FALSE)</f>
        <v>78700.719305723978</v>
      </c>
      <c r="G38" s="30">
        <f t="shared" si="7"/>
        <v>0.9</v>
      </c>
      <c r="H38">
        <f t="shared" si="8"/>
        <v>78700.719305723978</v>
      </c>
      <c r="I38">
        <f t="shared" si="0"/>
        <v>0</v>
      </c>
      <c r="J38">
        <f t="shared" si="1"/>
        <v>78700.719305723978</v>
      </c>
      <c r="K38">
        <f t="shared" si="2"/>
        <v>78655.834301741328</v>
      </c>
      <c r="L38">
        <f t="shared" si="9"/>
        <v>78655.834301741328</v>
      </c>
      <c r="M38">
        <f t="shared" si="3"/>
        <v>78700.719305723978</v>
      </c>
      <c r="N38" s="29">
        <f t="shared" si="10"/>
        <v>0</v>
      </c>
      <c r="O38" s="29">
        <f t="shared" si="4"/>
        <v>0</v>
      </c>
      <c r="P38" s="29">
        <f t="shared" si="11"/>
        <v>78700.719305723978</v>
      </c>
      <c r="Q38">
        <f t="shared" si="12"/>
        <v>0</v>
      </c>
      <c r="R38" s="29">
        <f t="shared" si="13"/>
        <v>0</v>
      </c>
      <c r="S38" s="29">
        <f t="shared" si="5"/>
        <v>0</v>
      </c>
      <c r="T38" s="29">
        <f t="shared" si="14"/>
        <v>78700.719305723978</v>
      </c>
      <c r="U38">
        <f t="shared" si="15"/>
        <v>0</v>
      </c>
      <c r="V38" s="29">
        <f t="shared" si="16"/>
        <v>0</v>
      </c>
      <c r="W38" s="29">
        <f t="shared" si="6"/>
        <v>0</v>
      </c>
      <c r="X38" s="29">
        <f t="shared" si="17"/>
        <v>78700.719305723978</v>
      </c>
      <c r="Y38">
        <f t="shared" si="18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allocations'!$A$1:$L$317,5,FALSE)</f>
        <v>80540.048045916323</v>
      </c>
      <c r="E39" s="31">
        <f>VLOOKUP(B39,'Initial adjusted formula count'!$A$1:$P$317,12,FALSE)</f>
        <v>0.135957066189624</v>
      </c>
      <c r="F39">
        <f>VLOOKUP(B39,'Model allocations'!$A$1:$L$317,10,FALSE)</f>
        <v>68459.040839028879</v>
      </c>
      <c r="G39" s="30">
        <f t="shared" si="7"/>
        <v>0.85</v>
      </c>
      <c r="H39">
        <f t="shared" si="8"/>
        <v>68459.040839028879</v>
      </c>
      <c r="I39">
        <f t="shared" si="0"/>
        <v>0</v>
      </c>
      <c r="J39">
        <f t="shared" si="1"/>
        <v>68459.040839028879</v>
      </c>
      <c r="K39">
        <f t="shared" si="2"/>
        <v>68419.996922431746</v>
      </c>
      <c r="L39">
        <f t="shared" si="9"/>
        <v>68419.996922431746</v>
      </c>
      <c r="M39">
        <f t="shared" si="3"/>
        <v>68459.040839028879</v>
      </c>
      <c r="N39" s="29">
        <f t="shared" si="10"/>
        <v>0</v>
      </c>
      <c r="O39" s="29">
        <f t="shared" si="4"/>
        <v>0</v>
      </c>
      <c r="P39" s="29">
        <f t="shared" si="11"/>
        <v>68459.040839028879</v>
      </c>
      <c r="Q39">
        <f t="shared" si="12"/>
        <v>0</v>
      </c>
      <c r="R39" s="29">
        <f t="shared" si="13"/>
        <v>0</v>
      </c>
      <c r="S39" s="29">
        <f t="shared" si="5"/>
        <v>0</v>
      </c>
      <c r="T39" s="29">
        <f t="shared" si="14"/>
        <v>68459.040839028879</v>
      </c>
      <c r="U39">
        <f t="shared" si="15"/>
        <v>0</v>
      </c>
      <c r="V39" s="29">
        <f t="shared" si="16"/>
        <v>0</v>
      </c>
      <c r="W39" s="29">
        <f t="shared" si="6"/>
        <v>0</v>
      </c>
      <c r="X39" s="29">
        <f t="shared" si="17"/>
        <v>68459.040839028879</v>
      </c>
      <c r="Y39">
        <f t="shared" si="18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allocations'!$A$1:$L$317,5,FALSE)</f>
        <v>302045.66694547463</v>
      </c>
      <c r="E40" s="31">
        <f>VLOOKUP(B40,'Initial adjusted formula count'!$A$1:$P$317,12,FALSE)</f>
        <v>0.19076812116840999</v>
      </c>
      <c r="F40">
        <f>VLOOKUP(B40,'Model allocations'!$A$1:$L$317,10,FALSE)</f>
        <v>271908.44802352751</v>
      </c>
      <c r="G40" s="30">
        <f t="shared" si="7"/>
        <v>0.9</v>
      </c>
      <c r="H40">
        <f t="shared" si="8"/>
        <v>271841.10025092715</v>
      </c>
      <c r="I40">
        <f t="shared" si="0"/>
        <v>0</v>
      </c>
      <c r="J40">
        <f t="shared" si="1"/>
        <v>271908.44802352751</v>
      </c>
      <c r="K40">
        <f t="shared" si="2"/>
        <v>271753.37178178394</v>
      </c>
      <c r="L40">
        <f t="shared" si="9"/>
        <v>271753.37178178394</v>
      </c>
      <c r="M40">
        <f t="shared" si="3"/>
        <v>271841.10025092715</v>
      </c>
      <c r="N40" s="29">
        <f t="shared" si="10"/>
        <v>0</v>
      </c>
      <c r="O40" s="29">
        <f t="shared" si="4"/>
        <v>0</v>
      </c>
      <c r="P40" s="29">
        <f t="shared" si="11"/>
        <v>271841.10025092715</v>
      </c>
      <c r="Q40">
        <f t="shared" si="12"/>
        <v>0</v>
      </c>
      <c r="R40" s="29">
        <f t="shared" si="13"/>
        <v>0</v>
      </c>
      <c r="S40" s="29">
        <f t="shared" si="5"/>
        <v>0</v>
      </c>
      <c r="T40" s="29">
        <f t="shared" si="14"/>
        <v>271841.10025092715</v>
      </c>
      <c r="U40">
        <f t="shared" si="15"/>
        <v>0</v>
      </c>
      <c r="V40" s="29">
        <f t="shared" si="16"/>
        <v>0</v>
      </c>
      <c r="W40" s="29">
        <f t="shared" si="6"/>
        <v>0</v>
      </c>
      <c r="X40" s="29">
        <f t="shared" si="17"/>
        <v>271841.10025092715</v>
      </c>
      <c r="Y40">
        <f t="shared" si="18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allocations'!$A$1:$L$317,5,FALSE)</f>
        <v>61322.446865344777</v>
      </c>
      <c r="E41" s="31">
        <f>VLOOKUP(B41,'Initial adjusted formula count'!$A$1:$P$317,12,FALSE)</f>
        <v>0.141929499072356</v>
      </c>
      <c r="F41">
        <f>VLOOKUP(B41,'Model allocations'!$A$1:$L$317,10,FALSE)</f>
        <v>64161.653304133797</v>
      </c>
      <c r="G41" s="30">
        <f t="shared" si="7"/>
        <v>0.85</v>
      </c>
      <c r="H41">
        <f t="shared" si="8"/>
        <v>52124.07983554306</v>
      </c>
      <c r="I41">
        <f t="shared" si="0"/>
        <v>0</v>
      </c>
      <c r="J41">
        <f t="shared" si="1"/>
        <v>64161.653304133797</v>
      </c>
      <c r="K41">
        <f t="shared" si="2"/>
        <v>64125.060295969517</v>
      </c>
      <c r="L41">
        <f t="shared" si="9"/>
        <v>64125.060295969517</v>
      </c>
      <c r="M41">
        <f t="shared" si="3"/>
        <v>0</v>
      </c>
      <c r="N41" s="29">
        <f t="shared" si="10"/>
        <v>64125.060295969517</v>
      </c>
      <c r="O41" s="29">
        <f t="shared" si="4"/>
        <v>64120.699953761854</v>
      </c>
      <c r="P41" s="29">
        <f t="shared" si="11"/>
        <v>64120.699953761854</v>
      </c>
      <c r="Q41">
        <f t="shared" si="12"/>
        <v>0</v>
      </c>
      <c r="R41" s="29">
        <f t="shared" si="13"/>
        <v>64120.699953761854</v>
      </c>
      <c r="S41" s="29">
        <f t="shared" si="5"/>
        <v>64120.699953761876</v>
      </c>
      <c r="T41" s="29">
        <f t="shared" si="14"/>
        <v>64120.699953761876</v>
      </c>
      <c r="U41">
        <f t="shared" si="15"/>
        <v>0</v>
      </c>
      <c r="V41" s="29">
        <f t="shared" si="16"/>
        <v>64120.699953761876</v>
      </c>
      <c r="W41" s="29">
        <f t="shared" si="6"/>
        <v>64120.699953761876</v>
      </c>
      <c r="X41" s="29">
        <f t="shared" si="17"/>
        <v>64120.699953761876</v>
      </c>
      <c r="Y41">
        <f t="shared" si="18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allocations'!$A$1:$L$317,5,FALSE)</f>
        <v>1087547.4217561984</v>
      </c>
      <c r="E42" s="31">
        <f>VLOOKUP(B42,'Initial adjusted formula count'!$A$1:$P$317,12,FALSE)</f>
        <v>0.150844876350714</v>
      </c>
      <c r="F42">
        <f>VLOOKUP(B42,'Model allocations'!$A$1:$L$317,10,FALSE)</f>
        <v>1163506.5823027398</v>
      </c>
      <c r="G42" s="30">
        <f t="shared" si="7"/>
        <v>0.9</v>
      </c>
      <c r="H42">
        <f t="shared" si="8"/>
        <v>978792.67958057858</v>
      </c>
      <c r="I42">
        <f t="shared" si="0"/>
        <v>0</v>
      </c>
      <c r="J42">
        <f t="shared" si="1"/>
        <v>1163506.5823027398</v>
      </c>
      <c r="K42">
        <f t="shared" si="2"/>
        <v>1162843.0051710289</v>
      </c>
      <c r="L42">
        <f t="shared" si="9"/>
        <v>1162843.0051710289</v>
      </c>
      <c r="M42">
        <f t="shared" si="3"/>
        <v>0</v>
      </c>
      <c r="N42" s="29">
        <f t="shared" si="10"/>
        <v>1162843.0051710289</v>
      </c>
      <c r="O42" s="29">
        <f t="shared" si="4"/>
        <v>1162763.9347824331</v>
      </c>
      <c r="P42" s="29">
        <f t="shared" si="11"/>
        <v>1162763.9347824331</v>
      </c>
      <c r="Q42">
        <f t="shared" si="12"/>
        <v>0</v>
      </c>
      <c r="R42" s="29">
        <f t="shared" si="13"/>
        <v>1162763.9347824331</v>
      </c>
      <c r="S42" s="29">
        <f t="shared" si="5"/>
        <v>1162763.9347824336</v>
      </c>
      <c r="T42" s="29">
        <f t="shared" si="14"/>
        <v>1162763.9347824336</v>
      </c>
      <c r="U42">
        <f t="shared" si="15"/>
        <v>0</v>
      </c>
      <c r="V42" s="29">
        <f t="shared" si="16"/>
        <v>1162763.9347824336</v>
      </c>
      <c r="W42" s="29">
        <f t="shared" si="6"/>
        <v>1162763.9347824336</v>
      </c>
      <c r="X42" s="29">
        <f t="shared" si="17"/>
        <v>1162763.9347824336</v>
      </c>
      <c r="Y42">
        <f t="shared" si="18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allocations'!$A$1:$L$317,5,FALSE)</f>
        <v>18520.202073426277</v>
      </c>
      <c r="E43" s="31">
        <f>VLOOKUP(B43,'Initial adjusted formula count'!$A$1:$P$317,12,FALSE)</f>
        <v>9.8070739549839206E-2</v>
      </c>
      <c r="F43">
        <f>VLOOKUP(B43,'Model allocations'!$A$1:$L$317,10,FALSE)</f>
        <v>25580.789879425887</v>
      </c>
      <c r="G43" s="30">
        <f t="shared" si="7"/>
        <v>0.85</v>
      </c>
      <c r="H43">
        <f t="shared" si="8"/>
        <v>15742.171762412336</v>
      </c>
      <c r="I43">
        <f t="shared" si="0"/>
        <v>0</v>
      </c>
      <c r="J43">
        <f t="shared" si="1"/>
        <v>25580.789879425887</v>
      </c>
      <c r="K43">
        <f t="shared" si="2"/>
        <v>25566.200510157778</v>
      </c>
      <c r="L43">
        <f t="shared" si="9"/>
        <v>25566.200510157778</v>
      </c>
      <c r="M43">
        <f t="shared" si="3"/>
        <v>0</v>
      </c>
      <c r="N43" s="29">
        <f t="shared" si="10"/>
        <v>25566.200510157778</v>
      </c>
      <c r="O43" s="29">
        <f t="shared" si="4"/>
        <v>25564.462073068447</v>
      </c>
      <c r="P43" s="29">
        <f t="shared" si="11"/>
        <v>25564.462073068447</v>
      </c>
      <c r="Q43">
        <f t="shared" si="12"/>
        <v>0</v>
      </c>
      <c r="R43" s="29">
        <f t="shared" si="13"/>
        <v>25564.462073068447</v>
      </c>
      <c r="S43" s="29">
        <f t="shared" si="5"/>
        <v>25564.462073068458</v>
      </c>
      <c r="T43" s="29">
        <f t="shared" si="14"/>
        <v>25564.462073068458</v>
      </c>
      <c r="U43">
        <f t="shared" si="15"/>
        <v>0</v>
      </c>
      <c r="V43" s="29">
        <f t="shared" si="16"/>
        <v>25564.462073068458</v>
      </c>
      <c r="W43" s="29">
        <f t="shared" si="6"/>
        <v>25564.462073068458</v>
      </c>
      <c r="X43" s="29">
        <f t="shared" si="17"/>
        <v>25564.462073068458</v>
      </c>
      <c r="Y43">
        <f t="shared" si="18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allocations'!$A$1:$L$317,5,FALSE)</f>
        <v>89308.529998522266</v>
      </c>
      <c r="E44" s="31">
        <f>VLOOKUP(B44,'Initial adjusted formula count'!$A$1:$P$317,12,FALSE)</f>
        <v>0.13999021047479199</v>
      </c>
      <c r="F44">
        <f>VLOOKUP(B44,'Model allocations'!$A$1:$L$317,10,FALSE)</f>
        <v>119936.16238550498</v>
      </c>
      <c r="G44" s="30">
        <f t="shared" si="7"/>
        <v>0.85</v>
      </c>
      <c r="H44">
        <f t="shared" si="8"/>
        <v>75912.250498743932</v>
      </c>
      <c r="I44">
        <f t="shared" si="0"/>
        <v>0</v>
      </c>
      <c r="J44">
        <f t="shared" si="1"/>
        <v>119936.16238550498</v>
      </c>
      <c r="K44">
        <f t="shared" si="2"/>
        <v>119867.75976893648</v>
      </c>
      <c r="L44">
        <f t="shared" si="9"/>
        <v>119867.75976893648</v>
      </c>
      <c r="M44">
        <f t="shared" si="3"/>
        <v>0</v>
      </c>
      <c r="N44" s="29">
        <f t="shared" si="10"/>
        <v>119867.75976893648</v>
      </c>
      <c r="O44" s="29">
        <f t="shared" si="4"/>
        <v>119859.60906389469</v>
      </c>
      <c r="P44" s="29">
        <f t="shared" si="11"/>
        <v>119859.60906389469</v>
      </c>
      <c r="Q44">
        <f t="shared" si="12"/>
        <v>0</v>
      </c>
      <c r="R44" s="29">
        <f t="shared" si="13"/>
        <v>119859.60906389469</v>
      </c>
      <c r="S44" s="29">
        <f t="shared" si="5"/>
        <v>119859.60906389474</v>
      </c>
      <c r="T44" s="29">
        <f t="shared" si="14"/>
        <v>119859.60906389474</v>
      </c>
      <c r="U44">
        <f t="shared" si="15"/>
        <v>0</v>
      </c>
      <c r="V44" s="29">
        <f t="shared" si="16"/>
        <v>119859.60906389474</v>
      </c>
      <c r="W44" s="29">
        <f t="shared" si="6"/>
        <v>119859.60906389474</v>
      </c>
      <c r="X44" s="29">
        <f t="shared" si="17"/>
        <v>119859.60906389474</v>
      </c>
      <c r="Y44">
        <f t="shared" si="18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allocations'!$A$1:$L$317,5,FALSE)</f>
        <v>6996.5207832943697</v>
      </c>
      <c r="E45" s="31">
        <f>VLOOKUP(B45,'Initial adjusted formula count'!$A$1:$P$317,12,FALSE)</f>
        <v>3.5999999999999997E-2</v>
      </c>
      <c r="F45">
        <f>VLOOKUP(B45,'Model allocations'!$A$1:$L$317,10,FALSE)</f>
        <v>0</v>
      </c>
      <c r="G45" s="30">
        <f t="shared" si="7"/>
        <v>0.85</v>
      </c>
      <c r="H45">
        <f t="shared" si="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9"/>
        <v>0</v>
      </c>
      <c r="M45">
        <f t="shared" si="3"/>
        <v>0</v>
      </c>
      <c r="N45" s="29">
        <f t="shared" si="10"/>
        <v>0</v>
      </c>
      <c r="O45" s="29">
        <f t="shared" si="4"/>
        <v>0</v>
      </c>
      <c r="P45" s="29">
        <f t="shared" si="11"/>
        <v>0</v>
      </c>
      <c r="Q45">
        <f t="shared" si="12"/>
        <v>0</v>
      </c>
      <c r="R45" s="29">
        <f t="shared" si="13"/>
        <v>0</v>
      </c>
      <c r="S45" s="29">
        <f t="shared" si="5"/>
        <v>0</v>
      </c>
      <c r="T45" s="29">
        <f t="shared" si="14"/>
        <v>0</v>
      </c>
      <c r="U45">
        <f t="shared" si="15"/>
        <v>0</v>
      </c>
      <c r="V45" s="29">
        <f t="shared" si="16"/>
        <v>0</v>
      </c>
      <c r="W45" s="29">
        <f t="shared" si="6"/>
        <v>0</v>
      </c>
      <c r="X45" s="29">
        <f t="shared" si="17"/>
        <v>0</v>
      </c>
      <c r="Y45">
        <f t="shared" si="18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allocations'!$A$1:$L$317,5,FALSE)</f>
        <v>21111.281233510137</v>
      </c>
      <c r="E46" s="31">
        <f>VLOOKUP(B46,'Initial adjusted formula count'!$A$1:$P$317,12,FALSE)</f>
        <v>0.18446601941747601</v>
      </c>
      <c r="F46">
        <f>VLOOKUP(B46,'Model allocations'!$A$1:$L$317,10,FALSE)</f>
        <v>19000.153110159124</v>
      </c>
      <c r="G46" s="30">
        <f t="shared" si="7"/>
        <v>0.9</v>
      </c>
      <c r="H46">
        <f t="shared" si="8"/>
        <v>19000.153110159124</v>
      </c>
      <c r="I46">
        <f t="shared" si="0"/>
        <v>0</v>
      </c>
      <c r="J46">
        <f t="shared" si="1"/>
        <v>19000.153110159124</v>
      </c>
      <c r="K46">
        <f t="shared" si="2"/>
        <v>18989.316843914752</v>
      </c>
      <c r="L46">
        <f t="shared" si="9"/>
        <v>18989.316843914752</v>
      </c>
      <c r="M46">
        <f t="shared" si="3"/>
        <v>19000.153110159124</v>
      </c>
      <c r="N46" s="29">
        <f t="shared" si="10"/>
        <v>0</v>
      </c>
      <c r="O46" s="29">
        <f t="shared" si="4"/>
        <v>0</v>
      </c>
      <c r="P46" s="29">
        <f t="shared" si="11"/>
        <v>19000.153110159124</v>
      </c>
      <c r="Q46">
        <f t="shared" si="12"/>
        <v>0</v>
      </c>
      <c r="R46" s="29">
        <f t="shared" si="13"/>
        <v>0</v>
      </c>
      <c r="S46" s="29">
        <f t="shared" si="5"/>
        <v>0</v>
      </c>
      <c r="T46" s="29">
        <f t="shared" si="14"/>
        <v>19000.153110159124</v>
      </c>
      <c r="U46">
        <f t="shared" si="15"/>
        <v>0</v>
      </c>
      <c r="V46" s="29">
        <f t="shared" si="16"/>
        <v>0</v>
      </c>
      <c r="W46" s="29">
        <f t="shared" si="6"/>
        <v>0</v>
      </c>
      <c r="X46" s="29">
        <f t="shared" si="17"/>
        <v>19000.153110159124</v>
      </c>
      <c r="Y46">
        <f t="shared" si="18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allocations'!$A$1:$L$317,5,FALSE)</f>
        <v>42048.386874260774</v>
      </c>
      <c r="E47" s="31">
        <f>VLOOKUP(B47,'Initial adjusted formula count'!$A$1:$P$317,12,FALSE)</f>
        <v>0.140974967061924</v>
      </c>
      <c r="F47">
        <f>VLOOKUP(B47,'Model allocations'!$A$1:$L$317,10,FALSE)</f>
        <v>44871.221591779846</v>
      </c>
      <c r="G47" s="30">
        <f t="shared" si="7"/>
        <v>0.85</v>
      </c>
      <c r="H47">
        <f t="shared" si="8"/>
        <v>35741.12884312166</v>
      </c>
      <c r="I47">
        <f t="shared" si="0"/>
        <v>0</v>
      </c>
      <c r="J47">
        <f t="shared" si="1"/>
        <v>44871.221591779846</v>
      </c>
      <c r="K47">
        <f t="shared" si="2"/>
        <v>44845.630403063653</v>
      </c>
      <c r="L47">
        <f t="shared" si="9"/>
        <v>44845.630403063653</v>
      </c>
      <c r="M47">
        <f t="shared" si="3"/>
        <v>0</v>
      </c>
      <c r="N47" s="29">
        <f t="shared" si="10"/>
        <v>44845.630403063653</v>
      </c>
      <c r="O47" s="29">
        <f t="shared" si="4"/>
        <v>44842.581013415154</v>
      </c>
      <c r="P47" s="29">
        <f t="shared" si="11"/>
        <v>44842.581013415154</v>
      </c>
      <c r="Q47">
        <f t="shared" si="12"/>
        <v>0</v>
      </c>
      <c r="R47" s="29">
        <f t="shared" si="13"/>
        <v>44842.581013415154</v>
      </c>
      <c r="S47" s="29">
        <f t="shared" si="5"/>
        <v>44842.581013415169</v>
      </c>
      <c r="T47" s="29">
        <f t="shared" si="14"/>
        <v>44842.581013415169</v>
      </c>
      <c r="U47">
        <f t="shared" si="15"/>
        <v>0</v>
      </c>
      <c r="V47" s="29">
        <f t="shared" si="16"/>
        <v>44842.581013415169</v>
      </c>
      <c r="W47" s="29">
        <f t="shared" si="6"/>
        <v>44842.581013415169</v>
      </c>
      <c r="X47" s="29">
        <f t="shared" si="17"/>
        <v>44842.581013415169</v>
      </c>
      <c r="Y47">
        <f t="shared" si="18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allocations'!$A$1:$L$317,5,FALSE)</f>
        <v>139412.21575203945</v>
      </c>
      <c r="E48" s="31">
        <f>VLOOKUP(B48,'Initial adjusted formula count'!$A$1:$P$317,12,FALSE)</f>
        <v>0.16998011928429399</v>
      </c>
      <c r="F48">
        <f>VLOOKUP(B48,'Model allocations'!$A$1:$L$317,10,FALSE)</f>
        <v>152393.48794173173</v>
      </c>
      <c r="G48" s="30">
        <f t="shared" si="7"/>
        <v>0.9</v>
      </c>
      <c r="H48">
        <f t="shared" si="8"/>
        <v>125470.99417683551</v>
      </c>
      <c r="I48">
        <f t="shared" si="0"/>
        <v>0</v>
      </c>
      <c r="J48">
        <f t="shared" si="1"/>
        <v>152393.48794173173</v>
      </c>
      <c r="K48">
        <f t="shared" si="2"/>
        <v>152306.57409426584</v>
      </c>
      <c r="L48">
        <f t="shared" si="9"/>
        <v>152306.57409426584</v>
      </c>
      <c r="M48">
        <f t="shared" si="3"/>
        <v>0</v>
      </c>
      <c r="N48" s="29">
        <f t="shared" si="10"/>
        <v>152306.57409426584</v>
      </c>
      <c r="O48" s="29">
        <f t="shared" si="4"/>
        <v>152296.21763174614</v>
      </c>
      <c r="P48" s="29">
        <f t="shared" si="11"/>
        <v>152296.21763174614</v>
      </c>
      <c r="Q48">
        <f t="shared" si="12"/>
        <v>0</v>
      </c>
      <c r="R48" s="29">
        <f t="shared" si="13"/>
        <v>152296.21763174614</v>
      </c>
      <c r="S48" s="29">
        <f t="shared" si="5"/>
        <v>152296.2176317462</v>
      </c>
      <c r="T48" s="29">
        <f t="shared" si="14"/>
        <v>152296.2176317462</v>
      </c>
      <c r="U48">
        <f t="shared" si="15"/>
        <v>0</v>
      </c>
      <c r="V48" s="29">
        <f t="shared" si="16"/>
        <v>152296.2176317462</v>
      </c>
      <c r="W48" s="29">
        <f t="shared" si="6"/>
        <v>152296.2176317462</v>
      </c>
      <c r="X48" s="29">
        <f t="shared" si="17"/>
        <v>152296.2176317462</v>
      </c>
      <c r="Y48">
        <f t="shared" si="18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allocations'!$A$1:$L$317,5,FALSE)</f>
        <v>67119.434738345633</v>
      </c>
      <c r="E49" s="31">
        <f>VLOOKUP(B49,'Initial adjusted formula count'!$A$1:$P$317,12,FALSE)</f>
        <v>0.13881019830028299</v>
      </c>
      <c r="F49">
        <f>VLOOKUP(B49,'Model allocations'!$A$1:$L$317,10,FALSE)</f>
        <v>57051.519527593788</v>
      </c>
      <c r="G49" s="30">
        <f t="shared" si="7"/>
        <v>0.85</v>
      </c>
      <c r="H49">
        <f t="shared" si="8"/>
        <v>57051.519527593788</v>
      </c>
      <c r="I49">
        <f t="shared" si="0"/>
        <v>0</v>
      </c>
      <c r="J49">
        <f t="shared" si="1"/>
        <v>57051.519527593788</v>
      </c>
      <c r="K49">
        <f t="shared" si="2"/>
        <v>57018.981607943213</v>
      </c>
      <c r="L49">
        <f t="shared" si="9"/>
        <v>57018.981607943213</v>
      </c>
      <c r="M49">
        <f t="shared" si="3"/>
        <v>57051.519527593788</v>
      </c>
      <c r="N49" s="29">
        <f t="shared" si="10"/>
        <v>0</v>
      </c>
      <c r="O49" s="29">
        <f t="shared" si="4"/>
        <v>0</v>
      </c>
      <c r="P49" s="29">
        <f t="shared" si="11"/>
        <v>57051.519527593788</v>
      </c>
      <c r="Q49">
        <f t="shared" si="12"/>
        <v>0</v>
      </c>
      <c r="R49" s="29">
        <f t="shared" si="13"/>
        <v>0</v>
      </c>
      <c r="S49" s="29">
        <f t="shared" si="5"/>
        <v>0</v>
      </c>
      <c r="T49" s="29">
        <f t="shared" si="14"/>
        <v>57051.519527593788</v>
      </c>
      <c r="U49">
        <f t="shared" si="15"/>
        <v>0</v>
      </c>
      <c r="V49" s="29">
        <f t="shared" si="16"/>
        <v>0</v>
      </c>
      <c r="W49" s="29">
        <f t="shared" si="6"/>
        <v>0</v>
      </c>
      <c r="X49" s="29">
        <f t="shared" si="17"/>
        <v>57051.519527593788</v>
      </c>
      <c r="Y49">
        <f t="shared" si="18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allocations'!$A$1:$L$317,5,FALSE)</f>
        <v>24282.04271849223</v>
      </c>
      <c r="E50" s="31">
        <f>VLOOKUP(B50,'Initial adjusted formula count'!$A$1:$P$317,12,FALSE)</f>
        <v>8.6142322097378293E-2</v>
      </c>
      <c r="F50">
        <f>VLOOKUP(B50,'Model allocations'!$A$1:$L$317,10,FALSE)</f>
        <v>20639.736310718396</v>
      </c>
      <c r="G50" s="30">
        <f t="shared" si="7"/>
        <v>0.85</v>
      </c>
      <c r="H50">
        <f t="shared" si="8"/>
        <v>20639.736310718396</v>
      </c>
      <c r="I50">
        <f t="shared" si="0"/>
        <v>0</v>
      </c>
      <c r="J50">
        <f t="shared" si="1"/>
        <v>20639.736310718396</v>
      </c>
      <c r="K50">
        <f t="shared" si="2"/>
        <v>20627.96494884674</v>
      </c>
      <c r="L50">
        <f t="shared" si="9"/>
        <v>20627.96494884674</v>
      </c>
      <c r="M50">
        <f t="shared" si="3"/>
        <v>20639.736310718396</v>
      </c>
      <c r="N50" s="29">
        <f t="shared" si="10"/>
        <v>0</v>
      </c>
      <c r="O50" s="29">
        <f t="shared" si="4"/>
        <v>0</v>
      </c>
      <c r="P50" s="29">
        <f t="shared" si="11"/>
        <v>20639.736310718396</v>
      </c>
      <c r="Q50">
        <f t="shared" si="12"/>
        <v>0</v>
      </c>
      <c r="R50" s="29">
        <f t="shared" si="13"/>
        <v>0</v>
      </c>
      <c r="S50" s="29">
        <f t="shared" si="5"/>
        <v>0</v>
      </c>
      <c r="T50" s="29">
        <f t="shared" si="14"/>
        <v>20639.736310718396</v>
      </c>
      <c r="U50">
        <f t="shared" si="15"/>
        <v>0</v>
      </c>
      <c r="V50" s="29">
        <f t="shared" si="16"/>
        <v>0</v>
      </c>
      <c r="W50" s="29">
        <f t="shared" si="6"/>
        <v>0</v>
      </c>
      <c r="X50" s="29">
        <f t="shared" si="17"/>
        <v>20639.736310718396</v>
      </c>
      <c r="Y50">
        <f t="shared" si="18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allocations'!$A$1:$L$317,5,FALSE)</f>
        <v>19754.882211654698</v>
      </c>
      <c r="E51" s="31">
        <f>VLOOKUP(B51,'Initial adjusted formula count'!$A$1:$P$317,12,FALSE)</f>
        <v>0.104761904761905</v>
      </c>
      <c r="F51">
        <f>VLOOKUP(B51,'Model allocations'!$A$1:$L$317,10,FALSE)</f>
        <v>16898.860299525844</v>
      </c>
      <c r="G51" s="30">
        <f t="shared" si="7"/>
        <v>0.85</v>
      </c>
      <c r="H51">
        <f t="shared" si="8"/>
        <v>16791.649879906494</v>
      </c>
      <c r="I51">
        <f t="shared" si="0"/>
        <v>0</v>
      </c>
      <c r="J51">
        <f t="shared" si="1"/>
        <v>16898.860299525844</v>
      </c>
      <c r="K51">
        <f t="shared" si="2"/>
        <v>16889.222453537426</v>
      </c>
      <c r="L51">
        <f t="shared" si="9"/>
        <v>16889.222453537426</v>
      </c>
      <c r="M51">
        <f t="shared" si="3"/>
        <v>0</v>
      </c>
      <c r="N51" s="29">
        <f t="shared" si="10"/>
        <v>16889.222453537426</v>
      </c>
      <c r="O51" s="29">
        <f t="shared" si="4"/>
        <v>16888.074029049734</v>
      </c>
      <c r="P51" s="29">
        <f t="shared" si="11"/>
        <v>16888.074029049734</v>
      </c>
      <c r="Q51">
        <f t="shared" si="12"/>
        <v>0</v>
      </c>
      <c r="R51" s="29">
        <f t="shared" si="13"/>
        <v>16888.074029049734</v>
      </c>
      <c r="S51" s="29">
        <f t="shared" si="5"/>
        <v>16888.074029049742</v>
      </c>
      <c r="T51" s="29">
        <f t="shared" si="14"/>
        <v>16888.074029049742</v>
      </c>
      <c r="U51">
        <f t="shared" si="15"/>
        <v>0</v>
      </c>
      <c r="V51" s="29">
        <f t="shared" si="16"/>
        <v>16888.074029049742</v>
      </c>
      <c r="W51" s="29">
        <f t="shared" si="6"/>
        <v>16888.074029049742</v>
      </c>
      <c r="X51" s="29">
        <f t="shared" si="17"/>
        <v>16888.074029049742</v>
      </c>
      <c r="Y51">
        <f t="shared" si="18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allocations'!$A$1:$L$317,5,FALSE)</f>
        <v>16930.777753482525</v>
      </c>
      <c r="E52" s="31">
        <f>VLOOKUP(B52,'Initial adjusted formula count'!$A$1:$P$317,12,FALSE)</f>
        <v>0.19758064516129001</v>
      </c>
      <c r="F52">
        <f>VLOOKUP(B52,'Model allocations'!$A$1:$L$317,10,FALSE)</f>
        <v>23807.412104964962</v>
      </c>
      <c r="G52" s="30">
        <f t="shared" si="7"/>
        <v>0.9</v>
      </c>
      <c r="H52">
        <f t="shared" si="8"/>
        <v>15237.699978134273</v>
      </c>
      <c r="I52">
        <f t="shared" si="0"/>
        <v>0</v>
      </c>
      <c r="J52">
        <f t="shared" si="1"/>
        <v>23807.412104964962</v>
      </c>
      <c r="K52">
        <f t="shared" si="2"/>
        <v>23793.834137742113</v>
      </c>
      <c r="L52">
        <f t="shared" si="9"/>
        <v>23793.834137742113</v>
      </c>
      <c r="M52">
        <f t="shared" si="3"/>
        <v>0</v>
      </c>
      <c r="N52" s="29">
        <f t="shared" si="10"/>
        <v>23793.834137742113</v>
      </c>
      <c r="O52" s="29">
        <f t="shared" si="4"/>
        <v>23792.216217091525</v>
      </c>
      <c r="P52" s="29">
        <f t="shared" si="11"/>
        <v>23792.216217091525</v>
      </c>
      <c r="Q52">
        <f t="shared" si="12"/>
        <v>0</v>
      </c>
      <c r="R52" s="29">
        <f t="shared" si="13"/>
        <v>23792.216217091525</v>
      </c>
      <c r="S52" s="29">
        <f t="shared" si="5"/>
        <v>23792.216217091533</v>
      </c>
      <c r="T52" s="29">
        <f t="shared" si="14"/>
        <v>23792.216217091533</v>
      </c>
      <c r="U52">
        <f t="shared" si="15"/>
        <v>0</v>
      </c>
      <c r="V52" s="29">
        <f t="shared" si="16"/>
        <v>23792.216217091533</v>
      </c>
      <c r="W52" s="29">
        <f t="shared" si="6"/>
        <v>23792.216217091533</v>
      </c>
      <c r="X52" s="29">
        <f t="shared" si="17"/>
        <v>23792.216217091533</v>
      </c>
      <c r="Y52">
        <f t="shared" si="18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allocations'!$A$1:$L$317,5,FALSE)</f>
        <v>41059.341259011955</v>
      </c>
      <c r="E53" s="31">
        <f>VLOOKUP(B53,'Initial adjusted formula count'!$A$1:$P$317,12,FALSE)</f>
        <v>0.10175763182238701</v>
      </c>
      <c r="F53">
        <f>VLOOKUP(B53,'Model allocations'!$A$1:$L$317,10,FALSE)</f>
        <v>46129.293225194218</v>
      </c>
      <c r="G53" s="30">
        <f t="shared" si="7"/>
        <v>0.85</v>
      </c>
      <c r="H53">
        <f t="shared" si="8"/>
        <v>34900.440070160163</v>
      </c>
      <c r="I53">
        <f t="shared" si="0"/>
        <v>0</v>
      </c>
      <c r="J53">
        <f t="shared" si="1"/>
        <v>46129.293225194218</v>
      </c>
      <c r="K53">
        <f t="shared" si="2"/>
        <v>46102.984526514017</v>
      </c>
      <c r="L53">
        <f t="shared" si="9"/>
        <v>46102.984526514017</v>
      </c>
      <c r="M53">
        <f t="shared" si="3"/>
        <v>0</v>
      </c>
      <c r="N53" s="29">
        <f t="shared" si="10"/>
        <v>46102.984526514017</v>
      </c>
      <c r="O53" s="29">
        <f t="shared" si="4"/>
        <v>46099.849639959488</v>
      </c>
      <c r="P53" s="29">
        <f t="shared" si="11"/>
        <v>46099.849639959488</v>
      </c>
      <c r="Q53">
        <f t="shared" si="12"/>
        <v>0</v>
      </c>
      <c r="R53" s="29">
        <f t="shared" si="13"/>
        <v>46099.849639959488</v>
      </c>
      <c r="S53" s="29">
        <f t="shared" si="5"/>
        <v>46099.849639959502</v>
      </c>
      <c r="T53" s="29">
        <f t="shared" si="14"/>
        <v>46099.849639959502</v>
      </c>
      <c r="U53">
        <f t="shared" si="15"/>
        <v>0</v>
      </c>
      <c r="V53" s="29">
        <f t="shared" si="16"/>
        <v>46099.849639959502</v>
      </c>
      <c r="W53" s="29">
        <f t="shared" si="6"/>
        <v>46099.849639959502</v>
      </c>
      <c r="X53" s="29">
        <f t="shared" si="17"/>
        <v>46099.849639959502</v>
      </c>
      <c r="Y53">
        <f t="shared" si="18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allocations'!$A$1:$L$317,5,FALSE)</f>
        <v>31664.092374948425</v>
      </c>
      <c r="E54" s="31">
        <f>VLOOKUP(B54,'Initial adjusted formula count'!$A$1:$P$317,12,FALSE)</f>
        <v>0.178362573099415</v>
      </c>
      <c r="F54">
        <f>VLOOKUP(B54,'Model allocations'!$A$1:$L$317,10,FALSE)</f>
        <v>28497.683137453583</v>
      </c>
      <c r="G54" s="30">
        <f t="shared" si="7"/>
        <v>0.9</v>
      </c>
      <c r="H54">
        <f t="shared" si="8"/>
        <v>28497.683137453583</v>
      </c>
      <c r="I54">
        <f t="shared" si="0"/>
        <v>0</v>
      </c>
      <c r="J54">
        <f t="shared" si="1"/>
        <v>28497.683137453583</v>
      </c>
      <c r="K54">
        <f t="shared" si="2"/>
        <v>28481.430190436015</v>
      </c>
      <c r="L54">
        <f t="shared" si="9"/>
        <v>28481.430190436015</v>
      </c>
      <c r="M54">
        <f t="shared" si="3"/>
        <v>28497.683137453583</v>
      </c>
      <c r="N54" s="29">
        <f t="shared" si="10"/>
        <v>0</v>
      </c>
      <c r="O54" s="29">
        <f t="shared" si="4"/>
        <v>0</v>
      </c>
      <c r="P54" s="29">
        <f t="shared" si="11"/>
        <v>28497.683137453583</v>
      </c>
      <c r="Q54">
        <f t="shared" si="12"/>
        <v>0</v>
      </c>
      <c r="R54" s="29">
        <f t="shared" si="13"/>
        <v>0</v>
      </c>
      <c r="S54" s="29">
        <f t="shared" si="5"/>
        <v>0</v>
      </c>
      <c r="T54" s="29">
        <f t="shared" si="14"/>
        <v>28497.683137453583</v>
      </c>
      <c r="U54">
        <f t="shared" si="15"/>
        <v>0</v>
      </c>
      <c r="V54" s="29">
        <f t="shared" si="16"/>
        <v>0</v>
      </c>
      <c r="W54" s="29">
        <f t="shared" si="6"/>
        <v>0</v>
      </c>
      <c r="X54" s="29">
        <f t="shared" si="17"/>
        <v>28497.683137453583</v>
      </c>
      <c r="Y54">
        <f t="shared" si="18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allocations'!$A$1:$L$317,5,FALSE)</f>
        <v>6808.6736096702216</v>
      </c>
      <c r="E55" s="31">
        <f>VLOOKUP(B55,'Initial adjusted formula count'!$A$1:$P$317,12,FALSE)</f>
        <v>0.12280701754386</v>
      </c>
      <c r="F55">
        <f>VLOOKUP(B55,'Model allocations'!$A$1:$L$317,10,FALSE)</f>
        <v>5871.0009559338096</v>
      </c>
      <c r="G55" s="30">
        <f t="shared" si="7"/>
        <v>0.85</v>
      </c>
      <c r="H55">
        <f t="shared" si="8"/>
        <v>5787.3725682196882</v>
      </c>
      <c r="I55">
        <f t="shared" si="0"/>
        <v>0</v>
      </c>
      <c r="J55">
        <f t="shared" si="1"/>
        <v>5871.0009559338096</v>
      </c>
      <c r="K55">
        <f t="shared" si="2"/>
        <v>5867.6525761017847</v>
      </c>
      <c r="L55">
        <f t="shared" si="9"/>
        <v>5867.6525761017847</v>
      </c>
      <c r="M55">
        <f t="shared" si="3"/>
        <v>0</v>
      </c>
      <c r="N55" s="29">
        <f t="shared" si="10"/>
        <v>5867.6525761017847</v>
      </c>
      <c r="O55" s="29">
        <f t="shared" si="4"/>
        <v>5867.2535905402992</v>
      </c>
      <c r="P55" s="29">
        <f t="shared" si="11"/>
        <v>5867.2535905402992</v>
      </c>
      <c r="Q55">
        <f t="shared" si="12"/>
        <v>0</v>
      </c>
      <c r="R55" s="29">
        <f t="shared" si="13"/>
        <v>5867.2535905402992</v>
      </c>
      <c r="S55" s="29">
        <f t="shared" si="5"/>
        <v>5867.253590540301</v>
      </c>
      <c r="T55" s="29">
        <f t="shared" si="14"/>
        <v>5867.253590540301</v>
      </c>
      <c r="U55">
        <f t="shared" si="15"/>
        <v>0</v>
      </c>
      <c r="V55" s="29">
        <f t="shared" si="16"/>
        <v>5867.253590540301</v>
      </c>
      <c r="W55" s="29">
        <f t="shared" si="6"/>
        <v>5867.253590540301</v>
      </c>
      <c r="X55" s="29">
        <f t="shared" si="17"/>
        <v>5867.253590540301</v>
      </c>
      <c r="Y55">
        <f t="shared" si="18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allocations'!$A$1:$L$317,5,FALSE)</f>
        <v>31701.278752995968</v>
      </c>
      <c r="E56" s="31">
        <f>VLOOKUP(B56,'Initial adjusted formula count'!$A$1:$P$317,12,FALSE)</f>
        <v>0.33333333333333298</v>
      </c>
      <c r="F56">
        <f>VLOOKUP(B56,'Model allocations'!$A$1:$L$317,10,FALSE)</f>
        <v>39749.035355984532</v>
      </c>
      <c r="G56" s="30">
        <f t="shared" si="7"/>
        <v>0.95</v>
      </c>
      <c r="H56">
        <f t="shared" si="8"/>
        <v>30116.214815346168</v>
      </c>
      <c r="I56">
        <f t="shared" si="0"/>
        <v>0</v>
      </c>
      <c r="J56">
        <f t="shared" si="1"/>
        <v>39749.035355984532</v>
      </c>
      <c r="K56">
        <f t="shared" si="2"/>
        <v>39726.365479190536</v>
      </c>
      <c r="L56">
        <f t="shared" si="9"/>
        <v>39726.365479190536</v>
      </c>
      <c r="M56">
        <f t="shared" si="3"/>
        <v>0</v>
      </c>
      <c r="N56" s="29">
        <f t="shared" si="10"/>
        <v>39726.365479190536</v>
      </c>
      <c r="O56" s="29">
        <f t="shared" si="4"/>
        <v>39723.664186632581</v>
      </c>
      <c r="P56" s="29">
        <f t="shared" si="11"/>
        <v>39723.664186632581</v>
      </c>
      <c r="Q56">
        <f t="shared" si="12"/>
        <v>0</v>
      </c>
      <c r="R56" s="29">
        <f t="shared" si="13"/>
        <v>39723.664186632581</v>
      </c>
      <c r="S56" s="29">
        <f t="shared" si="5"/>
        <v>39723.664186632595</v>
      </c>
      <c r="T56" s="29">
        <f t="shared" si="14"/>
        <v>39723.664186632595</v>
      </c>
      <c r="U56">
        <f t="shared" si="15"/>
        <v>0</v>
      </c>
      <c r="V56" s="29">
        <f t="shared" si="16"/>
        <v>39723.664186632595</v>
      </c>
      <c r="W56" s="29">
        <f t="shared" si="6"/>
        <v>39723.664186632595</v>
      </c>
      <c r="X56" s="29">
        <f t="shared" si="17"/>
        <v>39723.664186632595</v>
      </c>
      <c r="Y56">
        <f t="shared" si="18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allocations'!$A$1:$L$317,5,FALSE)</f>
        <v>56546.755740877394</v>
      </c>
      <c r="E57" s="31">
        <f>VLOOKUP(B57,'Initial adjusted formula count'!$A$1:$P$317,12,FALSE)</f>
        <v>0.24148606811145501</v>
      </c>
      <c r="F57">
        <f>VLOOKUP(B57,'Model allocations'!$A$1:$L$317,10,FALSE)</f>
        <v>50892.080166789652</v>
      </c>
      <c r="G57" s="30">
        <f t="shared" si="7"/>
        <v>0.9</v>
      </c>
      <c r="H57">
        <f t="shared" si="8"/>
        <v>50892.080166789652</v>
      </c>
      <c r="I57">
        <f t="shared" si="0"/>
        <v>0</v>
      </c>
      <c r="J57">
        <f t="shared" si="1"/>
        <v>50892.080166789652</v>
      </c>
      <c r="K57">
        <f t="shared" si="2"/>
        <v>50863.055130663903</v>
      </c>
      <c r="L57">
        <f t="shared" si="9"/>
        <v>50863.055130663903</v>
      </c>
      <c r="M57">
        <f t="shared" si="3"/>
        <v>50892.080166789652</v>
      </c>
      <c r="N57" s="29">
        <f t="shared" si="10"/>
        <v>0</v>
      </c>
      <c r="O57" s="29">
        <f t="shared" si="4"/>
        <v>0</v>
      </c>
      <c r="P57" s="29">
        <f t="shared" si="11"/>
        <v>50892.080166789652</v>
      </c>
      <c r="Q57">
        <f t="shared" si="12"/>
        <v>0</v>
      </c>
      <c r="R57" s="29">
        <f t="shared" si="13"/>
        <v>0</v>
      </c>
      <c r="S57" s="29">
        <f t="shared" si="5"/>
        <v>0</v>
      </c>
      <c r="T57" s="29">
        <f t="shared" si="14"/>
        <v>50892.080166789652</v>
      </c>
      <c r="U57">
        <f t="shared" si="15"/>
        <v>0</v>
      </c>
      <c r="V57" s="29">
        <f t="shared" si="16"/>
        <v>0</v>
      </c>
      <c r="W57" s="29">
        <f t="shared" si="6"/>
        <v>0</v>
      </c>
      <c r="X57" s="29">
        <f t="shared" si="17"/>
        <v>50892.080166789652</v>
      </c>
      <c r="Y57">
        <f t="shared" si="18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allocations'!$A$1:$L$317,5,FALSE)</f>
        <v>0</v>
      </c>
      <c r="E58" s="31">
        <f>VLOOKUP(B58,'Initial adjusted formula count'!$A$1:$P$317,12,FALSE)</f>
        <v>2.6548672566371698E-2</v>
      </c>
      <c r="F58">
        <f>VLOOKUP(B58,'Model allocations'!$A$1:$L$317,10,FALSE)</f>
        <v>0</v>
      </c>
      <c r="G58" s="30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29">
        <f t="shared" si="10"/>
        <v>0</v>
      </c>
      <c r="O58" s="29">
        <f t="shared" si="4"/>
        <v>0</v>
      </c>
      <c r="P58" s="29">
        <f t="shared" si="11"/>
        <v>0</v>
      </c>
      <c r="Q58">
        <f t="shared" si="12"/>
        <v>0</v>
      </c>
      <c r="R58" s="29">
        <f t="shared" si="13"/>
        <v>0</v>
      </c>
      <c r="S58" s="29">
        <f t="shared" si="5"/>
        <v>0</v>
      </c>
      <c r="T58" s="29">
        <f t="shared" si="14"/>
        <v>0</v>
      </c>
      <c r="U58">
        <f t="shared" si="15"/>
        <v>0</v>
      </c>
      <c r="V58" s="29">
        <f t="shared" si="16"/>
        <v>0</v>
      </c>
      <c r="W58" s="29">
        <f t="shared" si="6"/>
        <v>0</v>
      </c>
      <c r="X58" s="29">
        <f t="shared" si="17"/>
        <v>0</v>
      </c>
      <c r="Y58">
        <f t="shared" si="18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allocations'!$A$1:$L$317,5,FALSE)</f>
        <v>28593.491581728107</v>
      </c>
      <c r="E59" s="31">
        <f>VLOOKUP(B59,'Initial adjusted formula count'!$A$1:$P$317,12,FALSE)</f>
        <v>9.4861660079051405E-2</v>
      </c>
      <c r="F59">
        <f>VLOOKUP(B59,'Model allocations'!$A$1:$L$317,10,FALSE)</f>
        <v>24304.467844468891</v>
      </c>
      <c r="G59" s="30">
        <f t="shared" si="7"/>
        <v>0.85</v>
      </c>
      <c r="H59">
        <f t="shared" si="8"/>
        <v>24304.467844468891</v>
      </c>
      <c r="I59">
        <f t="shared" si="0"/>
        <v>0</v>
      </c>
      <c r="J59">
        <f t="shared" si="1"/>
        <v>24304.467844468891</v>
      </c>
      <c r="K59">
        <f t="shared" si="2"/>
        <v>24290.606393828813</v>
      </c>
      <c r="L59">
        <f t="shared" si="9"/>
        <v>24290.606393828813</v>
      </c>
      <c r="M59">
        <f t="shared" si="3"/>
        <v>24304.467844468891</v>
      </c>
      <c r="N59" s="29">
        <f t="shared" si="10"/>
        <v>0</v>
      </c>
      <c r="O59" s="29">
        <f t="shared" si="4"/>
        <v>0</v>
      </c>
      <c r="P59" s="29">
        <f t="shared" si="11"/>
        <v>24304.467844468891</v>
      </c>
      <c r="Q59">
        <f t="shared" si="12"/>
        <v>0</v>
      </c>
      <c r="R59" s="29">
        <f t="shared" si="13"/>
        <v>0</v>
      </c>
      <c r="S59" s="29">
        <f t="shared" si="5"/>
        <v>0</v>
      </c>
      <c r="T59" s="29">
        <f t="shared" si="14"/>
        <v>24304.467844468891</v>
      </c>
      <c r="U59">
        <f t="shared" si="15"/>
        <v>0</v>
      </c>
      <c r="V59" s="29">
        <f t="shared" si="16"/>
        <v>0</v>
      </c>
      <c r="W59" s="29">
        <f t="shared" si="6"/>
        <v>0</v>
      </c>
      <c r="X59" s="29">
        <f t="shared" si="17"/>
        <v>24304.467844468891</v>
      </c>
      <c r="Y59">
        <f t="shared" si="18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allocations'!$A$1:$L$317,5,FALSE)</f>
        <v>33336.363732167294</v>
      </c>
      <c r="E60" s="31">
        <f>VLOOKUP(B60,'Initial adjusted formula count'!$A$1:$P$317,12,FALSE)</f>
        <v>0.13945578231292499</v>
      </c>
      <c r="F60">
        <f>VLOOKUP(B60,'Model allocations'!$A$1:$L$317,10,FALSE)</f>
        <v>34387.291313326605</v>
      </c>
      <c r="G60" s="30">
        <f t="shared" si="7"/>
        <v>0.85</v>
      </c>
      <c r="H60">
        <f t="shared" si="8"/>
        <v>28335.909172342199</v>
      </c>
      <c r="I60">
        <f t="shared" si="0"/>
        <v>0</v>
      </c>
      <c r="J60">
        <f t="shared" si="1"/>
        <v>34387.291313326605</v>
      </c>
      <c r="K60">
        <f t="shared" si="2"/>
        <v>34367.679374310457</v>
      </c>
      <c r="L60">
        <f t="shared" si="9"/>
        <v>34367.679374310457</v>
      </c>
      <c r="M60">
        <f t="shared" si="3"/>
        <v>0</v>
      </c>
      <c r="N60" s="29">
        <f t="shared" si="10"/>
        <v>34367.679374310457</v>
      </c>
      <c r="O60" s="29">
        <f t="shared" si="4"/>
        <v>34365.342458878898</v>
      </c>
      <c r="P60" s="29">
        <f t="shared" si="11"/>
        <v>34365.342458878898</v>
      </c>
      <c r="Q60">
        <f t="shared" si="12"/>
        <v>0</v>
      </c>
      <c r="R60" s="29">
        <f t="shared" si="13"/>
        <v>34365.342458878898</v>
      </c>
      <c r="S60" s="29">
        <f t="shared" si="5"/>
        <v>34365.342458878913</v>
      </c>
      <c r="T60" s="29">
        <f t="shared" si="14"/>
        <v>34365.342458878913</v>
      </c>
      <c r="U60">
        <f t="shared" si="15"/>
        <v>0</v>
      </c>
      <c r="V60" s="29">
        <f t="shared" si="16"/>
        <v>34365.342458878913</v>
      </c>
      <c r="W60" s="29">
        <f t="shared" si="6"/>
        <v>34365.342458878913</v>
      </c>
      <c r="X60" s="29">
        <f t="shared" si="17"/>
        <v>34365.342458878913</v>
      </c>
      <c r="Y60">
        <f t="shared" si="18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allocations'!$A$1:$L$317,5,FALSE)</f>
        <v>38523.59312048537</v>
      </c>
      <c r="E61" s="31">
        <f>VLOOKUP(B61,'Initial adjusted formula count'!$A$1:$P$317,12,FALSE)</f>
        <v>0.17601547388781399</v>
      </c>
      <c r="F61">
        <f>VLOOKUP(B61,'Model allocations'!$A$1:$L$317,10,FALSE)</f>
        <v>41448.65868093654</v>
      </c>
      <c r="G61" s="30">
        <f t="shared" si="7"/>
        <v>0.9</v>
      </c>
      <c r="H61">
        <f t="shared" si="8"/>
        <v>34671.233808436831</v>
      </c>
      <c r="I61">
        <f t="shared" si="0"/>
        <v>0</v>
      </c>
      <c r="J61">
        <f t="shared" si="1"/>
        <v>41448.65868093654</v>
      </c>
      <c r="K61">
        <f t="shared" si="2"/>
        <v>41425.019466118923</v>
      </c>
      <c r="L61">
        <f t="shared" si="9"/>
        <v>41425.019466118923</v>
      </c>
      <c r="M61">
        <f t="shared" si="3"/>
        <v>0</v>
      </c>
      <c r="N61" s="29">
        <f t="shared" si="10"/>
        <v>41425.019466118923</v>
      </c>
      <c r="O61" s="29">
        <f t="shared" si="4"/>
        <v>41422.202669378341</v>
      </c>
      <c r="P61" s="29">
        <f t="shared" si="11"/>
        <v>41422.202669378341</v>
      </c>
      <c r="Q61">
        <f t="shared" si="12"/>
        <v>0</v>
      </c>
      <c r="R61" s="29">
        <f t="shared" si="13"/>
        <v>41422.202669378341</v>
      </c>
      <c r="S61" s="29">
        <f t="shared" si="5"/>
        <v>41422.202669378355</v>
      </c>
      <c r="T61" s="29">
        <f t="shared" si="14"/>
        <v>41422.202669378355</v>
      </c>
      <c r="U61">
        <f t="shared" si="15"/>
        <v>0</v>
      </c>
      <c r="V61" s="29">
        <f t="shared" si="16"/>
        <v>41422.202669378355</v>
      </c>
      <c r="W61" s="29">
        <f t="shared" si="6"/>
        <v>41422.202669378355</v>
      </c>
      <c r="X61" s="29">
        <f t="shared" si="17"/>
        <v>41422.202669378355</v>
      </c>
      <c r="Y61">
        <f t="shared" si="18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allocations'!$A$1:$L$317,5,FALSE)</f>
        <v>139107.29557373511</v>
      </c>
      <c r="E62" s="31">
        <f>VLOOKUP(B62,'Initial adjusted formula count'!$A$1:$P$317,12,FALSE)</f>
        <v>9.8449937159614601E-2</v>
      </c>
      <c r="F62">
        <f>VLOOKUP(B62,'Model allocations'!$A$1:$L$317,10,FALSE)</f>
        <v>118241.20123767485</v>
      </c>
      <c r="G62" s="30">
        <f t="shared" si="7"/>
        <v>0.85</v>
      </c>
      <c r="H62">
        <f t="shared" si="8"/>
        <v>118241.20123767485</v>
      </c>
      <c r="I62">
        <f t="shared" si="0"/>
        <v>0</v>
      </c>
      <c r="J62">
        <f t="shared" si="1"/>
        <v>118241.20123767485</v>
      </c>
      <c r="K62">
        <f t="shared" si="2"/>
        <v>118173.76530017282</v>
      </c>
      <c r="L62">
        <f t="shared" si="9"/>
        <v>118173.76530017282</v>
      </c>
      <c r="M62">
        <f t="shared" si="3"/>
        <v>118241.20123767485</v>
      </c>
      <c r="N62" s="29">
        <f t="shared" si="10"/>
        <v>0</v>
      </c>
      <c r="O62" s="29">
        <f t="shared" si="4"/>
        <v>0</v>
      </c>
      <c r="P62" s="29">
        <f t="shared" si="11"/>
        <v>118241.20123767485</v>
      </c>
      <c r="Q62">
        <f t="shared" si="12"/>
        <v>0</v>
      </c>
      <c r="R62" s="29">
        <f t="shared" si="13"/>
        <v>0</v>
      </c>
      <c r="S62" s="29">
        <f t="shared" si="5"/>
        <v>0</v>
      </c>
      <c r="T62" s="29">
        <f t="shared" si="14"/>
        <v>118241.20123767485</v>
      </c>
      <c r="U62">
        <f t="shared" si="15"/>
        <v>0</v>
      </c>
      <c r="V62" s="29">
        <f t="shared" si="16"/>
        <v>0</v>
      </c>
      <c r="W62" s="29">
        <f t="shared" si="6"/>
        <v>0</v>
      </c>
      <c r="X62" s="29">
        <f t="shared" si="17"/>
        <v>118241.20123767485</v>
      </c>
      <c r="Y62">
        <f t="shared" si="18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allocations'!$A$1:$L$317,5,FALSE)</f>
        <v>0</v>
      </c>
      <c r="E63" s="31">
        <f>VLOOKUP(B63,'Initial adjusted formula count'!$A$1:$P$317,12,FALSE)</f>
        <v>4.4483209768861803E-2</v>
      </c>
      <c r="F63">
        <f>VLOOKUP(B63,'Model allocations'!$A$1:$L$317,10,FALSE)</f>
        <v>0</v>
      </c>
      <c r="G63" s="30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29">
        <f t="shared" si="10"/>
        <v>0</v>
      </c>
      <c r="O63" s="29">
        <f t="shared" si="4"/>
        <v>0</v>
      </c>
      <c r="P63" s="29">
        <f t="shared" si="11"/>
        <v>0</v>
      </c>
      <c r="Q63">
        <f t="shared" si="12"/>
        <v>0</v>
      </c>
      <c r="R63" s="29">
        <f t="shared" si="13"/>
        <v>0</v>
      </c>
      <c r="S63" s="29">
        <f t="shared" si="5"/>
        <v>0</v>
      </c>
      <c r="T63" s="29">
        <f t="shared" si="14"/>
        <v>0</v>
      </c>
      <c r="U63">
        <f t="shared" si="15"/>
        <v>0</v>
      </c>
      <c r="V63" s="29">
        <f t="shared" si="16"/>
        <v>0</v>
      </c>
      <c r="W63" s="29">
        <f t="shared" si="6"/>
        <v>0</v>
      </c>
      <c r="X63" s="29">
        <f t="shared" si="17"/>
        <v>0</v>
      </c>
      <c r="Y63">
        <f t="shared" si="18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allocations'!$A$1:$L$317,5,FALSE)</f>
        <v>0</v>
      </c>
      <c r="E64" s="31">
        <f>VLOOKUP(B64,'Initial adjusted formula count'!$A$1:$P$317,12,FALSE)</f>
        <v>0.08</v>
      </c>
      <c r="F64">
        <f>VLOOKUP(B64,'Model allocations'!$A$1:$L$317,10,FALSE)</f>
        <v>0</v>
      </c>
      <c r="G64" s="30">
        <f t="shared" si="7"/>
        <v>0.85</v>
      </c>
      <c r="H64">
        <f t="shared" si="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9"/>
        <v>0</v>
      </c>
      <c r="M64">
        <f t="shared" si="3"/>
        <v>0</v>
      </c>
      <c r="N64" s="29">
        <f t="shared" si="10"/>
        <v>0</v>
      </c>
      <c r="O64" s="29">
        <f t="shared" si="4"/>
        <v>0</v>
      </c>
      <c r="P64" s="29">
        <f t="shared" si="11"/>
        <v>0</v>
      </c>
      <c r="Q64">
        <f t="shared" si="12"/>
        <v>0</v>
      </c>
      <c r="R64" s="29">
        <f t="shared" si="13"/>
        <v>0</v>
      </c>
      <c r="S64" s="29">
        <f t="shared" si="5"/>
        <v>0</v>
      </c>
      <c r="T64" s="29">
        <f t="shared" si="14"/>
        <v>0</v>
      </c>
      <c r="U64">
        <f t="shared" si="15"/>
        <v>0</v>
      </c>
      <c r="V64" s="29">
        <f t="shared" si="16"/>
        <v>0</v>
      </c>
      <c r="W64" s="29">
        <f t="shared" si="6"/>
        <v>0</v>
      </c>
      <c r="X64" s="29">
        <f t="shared" si="17"/>
        <v>0</v>
      </c>
      <c r="Y64">
        <f t="shared" si="18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allocations'!$A$1:$L$317,5,FALSE)</f>
        <v>358369.55242720636</v>
      </c>
      <c r="E65" s="31">
        <f>VLOOKUP(B65,'Initial adjusted formula count'!$A$1:$P$317,12,FALSE)</f>
        <v>0.12985359643539099</v>
      </c>
      <c r="F65">
        <f>VLOOKUP(B65,'Model allocations'!$A$1:$L$317,10,FALSE)</f>
        <v>304614.11956312542</v>
      </c>
      <c r="G65" s="30">
        <f t="shared" si="7"/>
        <v>0.85</v>
      </c>
      <c r="H65">
        <f t="shared" si="8"/>
        <v>304614.11956312542</v>
      </c>
      <c r="I65">
        <f t="shared" si="0"/>
        <v>0</v>
      </c>
      <c r="J65">
        <f t="shared" si="1"/>
        <v>304614.11956312542</v>
      </c>
      <c r="K65">
        <f t="shared" si="2"/>
        <v>304440.39045251021</v>
      </c>
      <c r="L65">
        <f t="shared" si="9"/>
        <v>304440.39045251021</v>
      </c>
      <c r="M65">
        <f t="shared" si="3"/>
        <v>304614.11956312542</v>
      </c>
      <c r="N65" s="29">
        <f t="shared" si="10"/>
        <v>0</v>
      </c>
      <c r="O65" s="29">
        <f t="shared" si="4"/>
        <v>0</v>
      </c>
      <c r="P65" s="29">
        <f t="shared" si="11"/>
        <v>304614.11956312542</v>
      </c>
      <c r="Q65">
        <f t="shared" si="12"/>
        <v>0</v>
      </c>
      <c r="R65" s="29">
        <f t="shared" si="13"/>
        <v>0</v>
      </c>
      <c r="S65" s="29">
        <f t="shared" si="5"/>
        <v>0</v>
      </c>
      <c r="T65" s="29">
        <f t="shared" si="14"/>
        <v>304614.11956312542</v>
      </c>
      <c r="U65">
        <f t="shared" si="15"/>
        <v>0</v>
      </c>
      <c r="V65" s="29">
        <f t="shared" si="16"/>
        <v>0</v>
      </c>
      <c r="W65" s="29">
        <f t="shared" si="6"/>
        <v>0</v>
      </c>
      <c r="X65" s="29">
        <f t="shared" si="17"/>
        <v>304614.11956312542</v>
      </c>
      <c r="Y65">
        <f t="shared" si="18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allocations'!$A$1:$L$317,5,FALSE)</f>
        <v>172855.21935197857</v>
      </c>
      <c r="E66" s="31">
        <f>VLOOKUP(B66,'Initial adjusted formula count'!$A$1:$P$317,12,FALSE)</f>
        <v>0.137717818999438</v>
      </c>
      <c r="F66">
        <f>VLOOKUP(B66,'Model allocations'!$A$1:$L$317,10,FALSE)</f>
        <v>205485.0334576834</v>
      </c>
      <c r="G66" s="30">
        <f t="shared" si="7"/>
        <v>0.85</v>
      </c>
      <c r="H66">
        <f t="shared" si="8"/>
        <v>146926.93644918178</v>
      </c>
      <c r="I66">
        <f t="shared" si="0"/>
        <v>0</v>
      </c>
      <c r="J66">
        <f t="shared" si="1"/>
        <v>205485.0334576834</v>
      </c>
      <c r="K66">
        <f t="shared" si="2"/>
        <v>205367.84016356253</v>
      </c>
      <c r="L66">
        <f t="shared" si="9"/>
        <v>205367.84016356253</v>
      </c>
      <c r="M66">
        <f t="shared" si="3"/>
        <v>0</v>
      </c>
      <c r="N66" s="29">
        <f t="shared" si="10"/>
        <v>205367.84016356253</v>
      </c>
      <c r="O66" s="29">
        <f t="shared" si="4"/>
        <v>205353.87566891054</v>
      </c>
      <c r="P66" s="29">
        <f t="shared" si="11"/>
        <v>205353.87566891054</v>
      </c>
      <c r="Q66">
        <f t="shared" si="12"/>
        <v>0</v>
      </c>
      <c r="R66" s="29">
        <f t="shared" si="13"/>
        <v>205353.87566891054</v>
      </c>
      <c r="S66" s="29">
        <f t="shared" si="5"/>
        <v>205353.87566891059</v>
      </c>
      <c r="T66" s="29">
        <f t="shared" si="14"/>
        <v>205353.87566891059</v>
      </c>
      <c r="U66">
        <f t="shared" si="15"/>
        <v>0</v>
      </c>
      <c r="V66" s="29">
        <f t="shared" si="16"/>
        <v>205353.87566891059</v>
      </c>
      <c r="W66" s="29">
        <f t="shared" si="6"/>
        <v>205353.87566891059</v>
      </c>
      <c r="X66" s="29">
        <f t="shared" si="17"/>
        <v>205353.87566891059</v>
      </c>
      <c r="Y66">
        <f t="shared" si="18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allocations'!$A$1:$L$317,5,FALSE)</f>
        <v>262163.74935050082</v>
      </c>
      <c r="E67" s="31">
        <f>VLOOKUP(B67,'Initial adjusted formula count'!$A$1:$P$317,12,FALSE)</f>
        <v>0.14135879774577301</v>
      </c>
      <c r="F67">
        <f>VLOOKUP(B67,'Model allocations'!$A$1:$L$317,10,FALSE)</f>
        <v>423131.42603837256</v>
      </c>
      <c r="G67" s="30">
        <f t="shared" si="7"/>
        <v>0.85</v>
      </c>
      <c r="H67">
        <f t="shared" si="8"/>
        <v>222839.18694792569</v>
      </c>
      <c r="I67">
        <f t="shared" si="0"/>
        <v>0</v>
      </c>
      <c r="J67">
        <f t="shared" si="1"/>
        <v>423131.42603837256</v>
      </c>
      <c r="K67">
        <f t="shared" si="2"/>
        <v>422890.1035204787</v>
      </c>
      <c r="L67">
        <f t="shared" si="9"/>
        <v>422890.1035204787</v>
      </c>
      <c r="M67">
        <f t="shared" si="3"/>
        <v>0</v>
      </c>
      <c r="N67" s="29">
        <f t="shared" si="10"/>
        <v>422890.1035204787</v>
      </c>
      <c r="O67" s="29">
        <f t="shared" si="4"/>
        <v>422861.34806108306</v>
      </c>
      <c r="P67" s="29">
        <f t="shared" si="11"/>
        <v>422861.34806108306</v>
      </c>
      <c r="Q67">
        <f t="shared" si="12"/>
        <v>0</v>
      </c>
      <c r="R67" s="29">
        <f t="shared" si="13"/>
        <v>422861.34806108306</v>
      </c>
      <c r="S67" s="29">
        <f t="shared" si="5"/>
        <v>422861.34806108318</v>
      </c>
      <c r="T67" s="29">
        <f t="shared" si="14"/>
        <v>422861.34806108318</v>
      </c>
      <c r="U67">
        <f t="shared" si="15"/>
        <v>0</v>
      </c>
      <c r="V67" s="29">
        <f t="shared" si="16"/>
        <v>422861.34806108318</v>
      </c>
      <c r="W67" s="29">
        <f t="shared" si="6"/>
        <v>422861.34806108318</v>
      </c>
      <c r="X67" s="29">
        <f t="shared" si="17"/>
        <v>422861.34806108318</v>
      </c>
      <c r="Y67">
        <f t="shared" si="18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allocations'!$A$1:$L$317,5,FALSE)</f>
        <v>0</v>
      </c>
      <c r="E68" s="31">
        <f>VLOOKUP(B68,'Initial adjusted formula count'!$A$1:$P$317,12,FALSE)</f>
        <v>0.13375796178343899</v>
      </c>
      <c r="F68">
        <f>VLOOKUP(B68,'Model allocations'!$A$1:$L$317,10,FALSE)</f>
        <v>8806.5014339007175</v>
      </c>
      <c r="G68" s="30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8806.5014339007175</v>
      </c>
      <c r="K68">
        <f t="shared" ref="K68:K131" si="21">(J68/$J$3)*($F$3-$I$3)</f>
        <v>8801.4788641526793</v>
      </c>
      <c r="L68">
        <f t="shared" si="9"/>
        <v>8801.4788641526793</v>
      </c>
      <c r="M68">
        <f t="shared" ref="M68:M131" si="22">IF(L68&lt;H68,H68,0)</f>
        <v>0</v>
      </c>
      <c r="N68" s="29">
        <f t="shared" si="10"/>
        <v>8801.4788641526793</v>
      </c>
      <c r="O68" s="29">
        <f t="shared" ref="O68:O131" si="23">((N68/$N$3)*($F$3-$I$3-$M$3))</f>
        <v>8800.8803858104511</v>
      </c>
      <c r="P68" s="29">
        <f t="shared" si="11"/>
        <v>8800.8803858104511</v>
      </c>
      <c r="Q68">
        <f t="shared" si="12"/>
        <v>0</v>
      </c>
      <c r="R68" s="29">
        <f t="shared" si="13"/>
        <v>8800.8803858104511</v>
      </c>
      <c r="S68" s="29">
        <f t="shared" ref="S68:S131" si="24">((R68/$R$3)*($F$3-$I$3-$M$3-$Q$3))</f>
        <v>8800.8803858104529</v>
      </c>
      <c r="T68" s="29">
        <f t="shared" si="14"/>
        <v>8800.8803858104529</v>
      </c>
      <c r="U68">
        <f t="shared" si="15"/>
        <v>0</v>
      </c>
      <c r="V68" s="29">
        <f t="shared" si="16"/>
        <v>8800.8803858104529</v>
      </c>
      <c r="W68" s="29">
        <f t="shared" ref="W68:W131" si="25">((V68/$V$3)*($F$3-$I$3-$M$3-$Q$3-$U$3))</f>
        <v>8800.8803858104529</v>
      </c>
      <c r="X68" s="29">
        <f t="shared" si="17"/>
        <v>8800.8803858104529</v>
      </c>
      <c r="Y68">
        <f t="shared" si="18"/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allocations'!$A$1:$L$317,5,FALSE)</f>
        <v>78607.968800542629</v>
      </c>
      <c r="E69" s="31">
        <f>VLOOKUP(B69,'Initial adjusted formula count'!$A$1:$P$317,12,FALSE)</f>
        <v>7.2457245724572503E-2</v>
      </c>
      <c r="F69">
        <f>VLOOKUP(B69,'Model allocations'!$A$1:$L$317,10,FALSE)</f>
        <v>67516.5109932388</v>
      </c>
      <c r="G69" s="30">
        <f t="shared" ref="G69:G132" si="26">IF(E69&lt;0.15,0.85,IF(AND(E69&gt;=0.15,E69&lt;0.3),0.9,0.95))</f>
        <v>0.85</v>
      </c>
      <c r="H69">
        <f t="shared" ref="H69:H132" si="27">IF(F69 = 0, 0, D69*G69)</f>
        <v>66816.773480461226</v>
      </c>
      <c r="I69">
        <f t="shared" si="19"/>
        <v>0</v>
      </c>
      <c r="J69">
        <f t="shared" si="20"/>
        <v>67516.5109932388</v>
      </c>
      <c r="K69">
        <f t="shared" si="21"/>
        <v>67478.004625170506</v>
      </c>
      <c r="L69">
        <f t="shared" ref="L69:L132" si="28">I69+K69</f>
        <v>67478.004625170506</v>
      </c>
      <c r="M69">
        <f t="shared" si="22"/>
        <v>0</v>
      </c>
      <c r="N69" s="29">
        <f t="shared" ref="N69:N132" si="29">IF($I69+$M69=0,L69,0)</f>
        <v>67478.004625170506</v>
      </c>
      <c r="O69" s="29">
        <f t="shared" si="23"/>
        <v>67473.41629121342</v>
      </c>
      <c r="P69" s="29">
        <f t="shared" ref="P69:P132" si="30">$I69+$M69+O69</f>
        <v>67473.41629121342</v>
      </c>
      <c r="Q69">
        <f t="shared" ref="Q69:Q132" si="31">IF(P69&lt;H69,H69,0)</f>
        <v>0</v>
      </c>
      <c r="R69" s="29">
        <f t="shared" ref="R69:R132" si="32">IF($I69+$M69+$Q69=0,P69,0)</f>
        <v>67473.41629121342</v>
      </c>
      <c r="S69" s="29">
        <f t="shared" si="24"/>
        <v>67473.416291213434</v>
      </c>
      <c r="T69" s="29">
        <f t="shared" ref="T69:T132" si="33">$I69+$M69+$Q69+S69</f>
        <v>67473.416291213434</v>
      </c>
      <c r="U69">
        <f t="shared" ref="U69:U132" si="34">IF(T69&lt;H69,H69,0)</f>
        <v>0</v>
      </c>
      <c r="V69" s="29">
        <f t="shared" ref="V69:V132" si="35">IF($I69+$M69+$Q69+U69=0,T69,0)</f>
        <v>67473.416291213434</v>
      </c>
      <c r="W69" s="29">
        <f t="shared" si="25"/>
        <v>67473.416291213434</v>
      </c>
      <c r="X69" s="29">
        <f t="shared" ref="X69:X132" si="36">$I69+$M69+$Q69+$U69+W69</f>
        <v>67473.416291213434</v>
      </c>
      <c r="Y69">
        <f t="shared" ref="Y69:Y132" si="37">IF(X69&lt;H69,H69,0)</f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allocations'!$A$1:$L$317,5,FALSE)</f>
        <v>1161010.8899807895</v>
      </c>
      <c r="E70" s="31">
        <f>VLOOKUP(B70,'Initial adjusted formula count'!$A$1:$P$317,12,FALSE)</f>
        <v>9.6827021494370502E-2</v>
      </c>
      <c r="F70">
        <f>VLOOKUP(B70,'Model allocations'!$A$1:$L$317,10,FALSE)</f>
        <v>1364378.6864379041</v>
      </c>
      <c r="G70" s="30">
        <f t="shared" si="26"/>
        <v>0.85</v>
      </c>
      <c r="H70">
        <f t="shared" si="27"/>
        <v>986859.25648367102</v>
      </c>
      <c r="I70">
        <f t="shared" si="19"/>
        <v>0</v>
      </c>
      <c r="J70">
        <f t="shared" si="20"/>
        <v>1364378.6864379041</v>
      </c>
      <c r="K70">
        <f t="shared" si="21"/>
        <v>1363600.5468819402</v>
      </c>
      <c r="L70">
        <f t="shared" si="28"/>
        <v>1363600.5468819402</v>
      </c>
      <c r="M70">
        <f t="shared" si="22"/>
        <v>0</v>
      </c>
      <c r="N70" s="29">
        <f t="shared" si="29"/>
        <v>1363600.5468819402</v>
      </c>
      <c r="O70" s="29">
        <f t="shared" si="23"/>
        <v>1363507.8254873478</v>
      </c>
      <c r="P70" s="29">
        <f t="shared" si="30"/>
        <v>1363507.8254873478</v>
      </c>
      <c r="Q70">
        <f t="shared" si="31"/>
        <v>0</v>
      </c>
      <c r="R70" s="29">
        <f t="shared" si="32"/>
        <v>1363507.8254873478</v>
      </c>
      <c r="S70" s="29">
        <f t="shared" si="24"/>
        <v>1363507.8254873483</v>
      </c>
      <c r="T70" s="29">
        <f t="shared" si="33"/>
        <v>1363507.8254873483</v>
      </c>
      <c r="U70">
        <f t="shared" si="34"/>
        <v>0</v>
      </c>
      <c r="V70" s="29">
        <f t="shared" si="35"/>
        <v>1363507.8254873483</v>
      </c>
      <c r="W70" s="29">
        <f t="shared" si="25"/>
        <v>1363507.8254873483</v>
      </c>
      <c r="X70" s="29">
        <f t="shared" si="36"/>
        <v>1363507.8254873483</v>
      </c>
      <c r="Y70">
        <f t="shared" si="37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allocations'!$A$1:$L$317,5,FALSE)</f>
        <v>162977.7782461512</v>
      </c>
      <c r="E71" s="31">
        <f>VLOOKUP(B71,'Initial adjusted formula count'!$A$1:$P$317,12,FALSE)</f>
        <v>0.12566027244926301</v>
      </c>
      <c r="F71">
        <f>VLOOKUP(B71,'Model allocations'!$A$1:$L$317,10,FALSE)</f>
        <v>189549.45943443445</v>
      </c>
      <c r="G71" s="30">
        <f t="shared" si="26"/>
        <v>0.85</v>
      </c>
      <c r="H71">
        <f t="shared" si="27"/>
        <v>138531.1115092285</v>
      </c>
      <c r="I71">
        <f t="shared" si="19"/>
        <v>0</v>
      </c>
      <c r="J71">
        <f t="shared" si="20"/>
        <v>189549.45943443445</v>
      </c>
      <c r="K71">
        <f t="shared" si="21"/>
        <v>189441.35459985764</v>
      </c>
      <c r="L71">
        <f t="shared" si="28"/>
        <v>189441.35459985764</v>
      </c>
      <c r="M71">
        <f t="shared" si="22"/>
        <v>0</v>
      </c>
      <c r="N71" s="29">
        <f t="shared" si="29"/>
        <v>189441.35459985764</v>
      </c>
      <c r="O71" s="29">
        <f t="shared" si="23"/>
        <v>189428.4730660154</v>
      </c>
      <c r="P71" s="29">
        <f t="shared" si="30"/>
        <v>189428.4730660154</v>
      </c>
      <c r="Q71">
        <f t="shared" si="31"/>
        <v>0</v>
      </c>
      <c r="R71" s="29">
        <f t="shared" si="32"/>
        <v>189428.4730660154</v>
      </c>
      <c r="S71" s="29">
        <f t="shared" si="24"/>
        <v>189428.47306601546</v>
      </c>
      <c r="T71" s="29">
        <f t="shared" si="33"/>
        <v>189428.47306601546</v>
      </c>
      <c r="U71">
        <f t="shared" si="34"/>
        <v>0</v>
      </c>
      <c r="V71" s="29">
        <f t="shared" si="35"/>
        <v>189428.47306601546</v>
      </c>
      <c r="W71" s="29">
        <f t="shared" si="25"/>
        <v>189428.47306601546</v>
      </c>
      <c r="X71" s="29">
        <f t="shared" si="36"/>
        <v>189428.47306601546</v>
      </c>
      <c r="Y71">
        <f t="shared" si="37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allocations'!$A$1:$L$317,5,FALSE)</f>
        <v>159867.2897299169</v>
      </c>
      <c r="E72" s="31">
        <f>VLOOKUP(B72,'Initial adjusted formula count'!$A$1:$P$317,12,FALSE)</f>
        <v>0.15317011927181401</v>
      </c>
      <c r="F72">
        <f>VLOOKUP(B72,'Model allocations'!$A$1:$L$317,10,FALSE)</f>
        <v>143880.5607569252</v>
      </c>
      <c r="G72" s="30">
        <f t="shared" si="26"/>
        <v>0.9</v>
      </c>
      <c r="H72">
        <f t="shared" si="27"/>
        <v>143880.5607569252</v>
      </c>
      <c r="I72">
        <f t="shared" si="19"/>
        <v>0</v>
      </c>
      <c r="J72">
        <f t="shared" si="20"/>
        <v>143880.5607569252</v>
      </c>
      <c r="K72">
        <f t="shared" si="21"/>
        <v>143798.50204641314</v>
      </c>
      <c r="L72">
        <f t="shared" si="28"/>
        <v>143798.50204641314</v>
      </c>
      <c r="M72">
        <f t="shared" si="22"/>
        <v>143880.5607569252</v>
      </c>
      <c r="N72" s="29">
        <f t="shared" si="29"/>
        <v>0</v>
      </c>
      <c r="O72" s="29">
        <f t="shared" si="23"/>
        <v>0</v>
      </c>
      <c r="P72" s="29">
        <f t="shared" si="30"/>
        <v>143880.5607569252</v>
      </c>
      <c r="Q72">
        <f t="shared" si="31"/>
        <v>0</v>
      </c>
      <c r="R72" s="29">
        <f t="shared" si="32"/>
        <v>0</v>
      </c>
      <c r="S72" s="29">
        <f t="shared" si="24"/>
        <v>0</v>
      </c>
      <c r="T72" s="29">
        <f t="shared" si="33"/>
        <v>143880.5607569252</v>
      </c>
      <c r="U72">
        <f t="shared" si="34"/>
        <v>0</v>
      </c>
      <c r="V72" s="29">
        <f t="shared" si="35"/>
        <v>0</v>
      </c>
      <c r="W72" s="29">
        <f t="shared" si="25"/>
        <v>0</v>
      </c>
      <c r="X72" s="29">
        <f t="shared" si="36"/>
        <v>143880.5607569252</v>
      </c>
      <c r="Y72">
        <f t="shared" si="37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allocations'!$A$1:$L$317,5,FALSE)</f>
        <v>10866.384934651529</v>
      </c>
      <c r="E73" s="31">
        <f>VLOOKUP(B73,'Initial adjusted formula count'!$A$1:$P$317,12,FALSE)</f>
        <v>0.24444444444444399</v>
      </c>
      <c r="F73">
        <f>VLOOKUP(B73,'Model allocations'!$A$1:$L$317,10,FALSE)</f>
        <v>12395.88464333475</v>
      </c>
      <c r="G73" s="30">
        <f t="shared" si="26"/>
        <v>0.9</v>
      </c>
      <c r="H73">
        <f t="shared" si="27"/>
        <v>9779.7464411863766</v>
      </c>
      <c r="I73">
        <f t="shared" si="19"/>
        <v>0</v>
      </c>
      <c r="J73">
        <f t="shared" si="20"/>
        <v>12395.88464333475</v>
      </c>
      <c r="K73">
        <f t="shared" si="21"/>
        <v>12388.814957866907</v>
      </c>
      <c r="L73">
        <f t="shared" si="28"/>
        <v>12388.814957866907</v>
      </c>
      <c r="M73">
        <f t="shared" si="22"/>
        <v>0</v>
      </c>
      <c r="N73" s="29">
        <f t="shared" si="29"/>
        <v>12388.814957866907</v>
      </c>
      <c r="O73" s="29">
        <f t="shared" si="23"/>
        <v>12387.972549727025</v>
      </c>
      <c r="P73" s="29">
        <f t="shared" si="30"/>
        <v>12387.972549727025</v>
      </c>
      <c r="Q73">
        <f t="shared" si="31"/>
        <v>0</v>
      </c>
      <c r="R73" s="29">
        <f t="shared" si="32"/>
        <v>12387.972549727025</v>
      </c>
      <c r="S73" s="29">
        <f t="shared" si="24"/>
        <v>12387.972549727028</v>
      </c>
      <c r="T73" s="29">
        <f t="shared" si="33"/>
        <v>12387.972549727028</v>
      </c>
      <c r="U73">
        <f t="shared" si="34"/>
        <v>0</v>
      </c>
      <c r="V73" s="29">
        <f t="shared" si="35"/>
        <v>12387.972549727028</v>
      </c>
      <c r="W73" s="29">
        <f t="shared" si="25"/>
        <v>12387.972549727028</v>
      </c>
      <c r="X73" s="29">
        <f t="shared" si="36"/>
        <v>12387.972549727028</v>
      </c>
      <c r="Y73">
        <f t="shared" si="37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allocations'!$A$1:$L$317,5,FALSE)</f>
        <v>30891.244342424343</v>
      </c>
      <c r="E74" s="31">
        <f>VLOOKUP(B74,'Initial adjusted formula count'!$A$1:$P$317,12,FALSE)</f>
        <v>0.16870415647921799</v>
      </c>
      <c r="F74">
        <f>VLOOKUP(B74,'Model allocations'!$A$1:$L$317,10,FALSE)</f>
        <v>30595.610185239537</v>
      </c>
      <c r="G74" s="30">
        <f t="shared" si="26"/>
        <v>0.9</v>
      </c>
      <c r="H74">
        <f t="shared" si="27"/>
        <v>27802.11990818191</v>
      </c>
      <c r="I74">
        <f t="shared" si="19"/>
        <v>0</v>
      </c>
      <c r="J74">
        <f t="shared" si="20"/>
        <v>30595.610185239537</v>
      </c>
      <c r="K74">
        <f t="shared" si="21"/>
        <v>30578.160737545404</v>
      </c>
      <c r="L74">
        <f t="shared" si="28"/>
        <v>30578.160737545404</v>
      </c>
      <c r="M74">
        <f t="shared" si="22"/>
        <v>0</v>
      </c>
      <c r="N74" s="29">
        <f t="shared" si="29"/>
        <v>30578.160737545404</v>
      </c>
      <c r="O74" s="29">
        <f t="shared" si="23"/>
        <v>30576.08149981399</v>
      </c>
      <c r="P74" s="29">
        <f t="shared" si="30"/>
        <v>30576.08149981399</v>
      </c>
      <c r="Q74">
        <f t="shared" si="31"/>
        <v>0</v>
      </c>
      <c r="R74" s="29">
        <f t="shared" si="32"/>
        <v>30576.08149981399</v>
      </c>
      <c r="S74" s="29">
        <f t="shared" si="24"/>
        <v>30576.081499814001</v>
      </c>
      <c r="T74" s="29">
        <f t="shared" si="33"/>
        <v>30576.081499814001</v>
      </c>
      <c r="U74">
        <f t="shared" si="34"/>
        <v>0</v>
      </c>
      <c r="V74" s="29">
        <f t="shared" si="35"/>
        <v>30576.081499814001</v>
      </c>
      <c r="W74" s="29">
        <f t="shared" si="25"/>
        <v>30576.081499814001</v>
      </c>
      <c r="X74" s="29">
        <f t="shared" si="36"/>
        <v>30576.081499814001</v>
      </c>
      <c r="Y74">
        <f t="shared" si="37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allocations'!$A$1:$L$317,5,FALSE)</f>
        <v>123879.573868918</v>
      </c>
      <c r="E75" s="31">
        <f>VLOOKUP(B75,'Initial adjusted formula count'!$A$1:$P$317,12,FALSE)</f>
        <v>6.2553373185311706E-2</v>
      </c>
      <c r="F75">
        <f>VLOOKUP(B75,'Model allocations'!$A$1:$L$317,10,FALSE)</f>
        <v>122871.66286347194</v>
      </c>
      <c r="G75" s="30">
        <f t="shared" si="26"/>
        <v>0.85</v>
      </c>
      <c r="H75">
        <f t="shared" si="27"/>
        <v>105297.63778858029</v>
      </c>
      <c r="I75">
        <f t="shared" si="19"/>
        <v>0</v>
      </c>
      <c r="J75">
        <f t="shared" si="20"/>
        <v>122871.66286347194</v>
      </c>
      <c r="K75">
        <f t="shared" si="21"/>
        <v>122801.58605698741</v>
      </c>
      <c r="L75">
        <f t="shared" si="28"/>
        <v>122801.58605698741</v>
      </c>
      <c r="M75">
        <f t="shared" si="22"/>
        <v>0</v>
      </c>
      <c r="N75" s="29">
        <f t="shared" si="29"/>
        <v>122801.58605698741</v>
      </c>
      <c r="O75" s="29">
        <f t="shared" si="23"/>
        <v>122793.23585916488</v>
      </c>
      <c r="P75" s="29">
        <f t="shared" si="30"/>
        <v>122793.23585916488</v>
      </c>
      <c r="Q75">
        <f t="shared" si="31"/>
        <v>0</v>
      </c>
      <c r="R75" s="29">
        <f t="shared" si="32"/>
        <v>122793.23585916488</v>
      </c>
      <c r="S75" s="29">
        <f t="shared" si="24"/>
        <v>122793.23585916492</v>
      </c>
      <c r="T75" s="29">
        <f t="shared" si="33"/>
        <v>122793.23585916492</v>
      </c>
      <c r="U75">
        <f t="shared" si="34"/>
        <v>0</v>
      </c>
      <c r="V75" s="29">
        <f t="shared" si="35"/>
        <v>122793.23585916492</v>
      </c>
      <c r="W75" s="29">
        <f t="shared" si="25"/>
        <v>122793.23585916492</v>
      </c>
      <c r="X75" s="29">
        <f t="shared" si="36"/>
        <v>122793.23585916492</v>
      </c>
      <c r="Y75">
        <f t="shared" si="37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allocations'!$A$1:$L$317,5,FALSE)</f>
        <v>195203.23852394748</v>
      </c>
      <c r="E76" s="31">
        <f>VLOOKUP(B76,'Initial adjusted formula count'!$A$1:$P$317,12,FALSE)</f>
        <v>0.148211829436039</v>
      </c>
      <c r="F76">
        <f>VLOOKUP(B76,'Model allocations'!$A$1:$L$317,10,FALSE)</f>
        <v>180742.95800053378</v>
      </c>
      <c r="G76" s="30">
        <f t="shared" si="26"/>
        <v>0.85</v>
      </c>
      <c r="H76">
        <f t="shared" si="27"/>
        <v>165922.75274535536</v>
      </c>
      <c r="I76">
        <f t="shared" si="19"/>
        <v>0</v>
      </c>
      <c r="J76">
        <f t="shared" si="20"/>
        <v>180742.95800053378</v>
      </c>
      <c r="K76">
        <f t="shared" si="21"/>
        <v>180639.87573570502</v>
      </c>
      <c r="L76">
        <f t="shared" si="28"/>
        <v>180639.87573570502</v>
      </c>
      <c r="M76">
        <f t="shared" si="22"/>
        <v>0</v>
      </c>
      <c r="N76" s="29">
        <f t="shared" si="29"/>
        <v>180639.87573570502</v>
      </c>
      <c r="O76" s="29">
        <f t="shared" si="23"/>
        <v>180627.59268020501</v>
      </c>
      <c r="P76" s="29">
        <f t="shared" si="30"/>
        <v>180627.59268020501</v>
      </c>
      <c r="Q76">
        <f t="shared" si="31"/>
        <v>0</v>
      </c>
      <c r="R76" s="29">
        <f t="shared" si="32"/>
        <v>180627.59268020501</v>
      </c>
      <c r="S76" s="29">
        <f t="shared" si="24"/>
        <v>180627.59268020507</v>
      </c>
      <c r="T76" s="29">
        <f t="shared" si="33"/>
        <v>180627.59268020507</v>
      </c>
      <c r="U76">
        <f t="shared" si="34"/>
        <v>0</v>
      </c>
      <c r="V76" s="29">
        <f t="shared" si="35"/>
        <v>180627.59268020507</v>
      </c>
      <c r="W76" s="29">
        <f t="shared" si="25"/>
        <v>180627.59268020507</v>
      </c>
      <c r="X76" s="29">
        <f t="shared" si="36"/>
        <v>180627.59268020507</v>
      </c>
      <c r="Y76">
        <f t="shared" si="37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allocations'!$A$1:$L$317,5,FALSE)</f>
        <v>18432.836413721761</v>
      </c>
      <c r="E77" s="31">
        <f>VLOOKUP(B77,'Initial adjusted formula count'!$A$1:$P$317,12,FALSE)</f>
        <v>0.123076923076923</v>
      </c>
      <c r="F77">
        <f>VLOOKUP(B77,'Model allocations'!$A$1:$L$317,10,FALSE)</f>
        <v>15667.910951663496</v>
      </c>
      <c r="G77" s="30">
        <f t="shared" si="26"/>
        <v>0.85</v>
      </c>
      <c r="H77">
        <f t="shared" si="27"/>
        <v>15667.910951663496</v>
      </c>
      <c r="I77">
        <f t="shared" si="19"/>
        <v>0</v>
      </c>
      <c r="J77">
        <f t="shared" si="20"/>
        <v>15667.910951663496</v>
      </c>
      <c r="K77">
        <f t="shared" si="21"/>
        <v>15658.975147115978</v>
      </c>
      <c r="L77">
        <f t="shared" si="28"/>
        <v>15658.975147115978</v>
      </c>
      <c r="M77">
        <f t="shared" si="22"/>
        <v>15667.910951663496</v>
      </c>
      <c r="N77" s="29">
        <f t="shared" si="29"/>
        <v>0</v>
      </c>
      <c r="O77" s="29">
        <f t="shared" si="23"/>
        <v>0</v>
      </c>
      <c r="P77" s="29">
        <f t="shared" si="30"/>
        <v>15667.910951663496</v>
      </c>
      <c r="Q77">
        <f t="shared" si="31"/>
        <v>0</v>
      </c>
      <c r="R77" s="29">
        <f t="shared" si="32"/>
        <v>0</v>
      </c>
      <c r="S77" s="29">
        <f t="shared" si="24"/>
        <v>0</v>
      </c>
      <c r="T77" s="29">
        <f t="shared" si="33"/>
        <v>15667.910951663496</v>
      </c>
      <c r="U77">
        <f t="shared" si="34"/>
        <v>0</v>
      </c>
      <c r="V77" s="29">
        <f t="shared" si="35"/>
        <v>0</v>
      </c>
      <c r="W77" s="29">
        <f t="shared" si="25"/>
        <v>0</v>
      </c>
      <c r="X77" s="29">
        <f t="shared" si="36"/>
        <v>15667.910951663496</v>
      </c>
      <c r="Y77">
        <f t="shared" si="37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allocations'!$A$1:$L$317,5,FALSE)</f>
        <v>1325017.5683421309</v>
      </c>
      <c r="E78" s="31">
        <f>VLOOKUP(B78,'Initial adjusted formula count'!$A$1:$P$317,12,FALSE)</f>
        <v>0.106965607313888</v>
      </c>
      <c r="F78">
        <f>VLOOKUP(B78,'Model allocations'!$A$1:$L$317,10,FALSE)</f>
        <v>1441540.4132873195</v>
      </c>
      <c r="G78" s="30">
        <f t="shared" si="26"/>
        <v>0.85</v>
      </c>
      <c r="H78">
        <f t="shared" si="27"/>
        <v>1126264.9330908111</v>
      </c>
      <c r="I78">
        <f t="shared" si="19"/>
        <v>0</v>
      </c>
      <c r="J78">
        <f t="shared" si="20"/>
        <v>1441540.4132873195</v>
      </c>
      <c r="K78">
        <f t="shared" si="21"/>
        <v>1440718.2664535635</v>
      </c>
      <c r="L78">
        <f t="shared" si="28"/>
        <v>1440718.2664535635</v>
      </c>
      <c r="M78">
        <f t="shared" si="22"/>
        <v>0</v>
      </c>
      <c r="N78" s="29">
        <f t="shared" si="29"/>
        <v>1440718.2664535635</v>
      </c>
      <c r="O78" s="29">
        <f t="shared" si="23"/>
        <v>1440620.3012487344</v>
      </c>
      <c r="P78" s="29">
        <f t="shared" si="30"/>
        <v>1440620.3012487344</v>
      </c>
      <c r="Q78">
        <f t="shared" si="31"/>
        <v>0</v>
      </c>
      <c r="R78" s="29">
        <f t="shared" si="32"/>
        <v>1440620.3012487344</v>
      </c>
      <c r="S78" s="29">
        <f t="shared" si="24"/>
        <v>1440620.3012487348</v>
      </c>
      <c r="T78" s="29">
        <f t="shared" si="33"/>
        <v>1440620.3012487348</v>
      </c>
      <c r="U78">
        <f t="shared" si="34"/>
        <v>0</v>
      </c>
      <c r="V78" s="29">
        <f t="shared" si="35"/>
        <v>1440620.3012487348</v>
      </c>
      <c r="W78" s="29">
        <f t="shared" si="25"/>
        <v>1440620.3012487348</v>
      </c>
      <c r="X78" s="29">
        <f t="shared" si="36"/>
        <v>1440620.3012487348</v>
      </c>
      <c r="Y78">
        <f t="shared" si="37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allocations'!$A$1:$L$317,5,FALSE)</f>
        <v>1571130.4758956628</v>
      </c>
      <c r="E79" s="31">
        <f>VLOOKUP(B79,'Initial adjusted formula count'!$A$1:$P$317,12,FALSE)</f>
        <v>9.8037024621000501E-2</v>
      </c>
      <c r="F79">
        <f>VLOOKUP(B79,'Model allocations'!$A$1:$L$317,10,FALSE)</f>
        <v>1588315.4371856647</v>
      </c>
      <c r="G79" s="30">
        <f t="shared" si="26"/>
        <v>0.85</v>
      </c>
      <c r="H79">
        <f t="shared" si="27"/>
        <v>1335460.9045113134</v>
      </c>
      <c r="I79">
        <f t="shared" si="19"/>
        <v>0</v>
      </c>
      <c r="J79">
        <f t="shared" si="20"/>
        <v>1588315.4371856647</v>
      </c>
      <c r="K79">
        <f t="shared" si="21"/>
        <v>1587409.5808561079</v>
      </c>
      <c r="L79">
        <f t="shared" si="28"/>
        <v>1587409.5808561079</v>
      </c>
      <c r="M79">
        <f t="shared" si="22"/>
        <v>0</v>
      </c>
      <c r="N79" s="29">
        <f t="shared" si="29"/>
        <v>1587409.5808561079</v>
      </c>
      <c r="O79" s="29">
        <f t="shared" si="23"/>
        <v>1587301.6410122418</v>
      </c>
      <c r="P79" s="29">
        <f t="shared" si="30"/>
        <v>1587301.6410122418</v>
      </c>
      <c r="Q79">
        <f t="shared" si="31"/>
        <v>0</v>
      </c>
      <c r="R79" s="29">
        <f t="shared" si="32"/>
        <v>1587301.6410122418</v>
      </c>
      <c r="S79" s="29">
        <f t="shared" si="24"/>
        <v>1587301.6410122423</v>
      </c>
      <c r="T79" s="29">
        <f t="shared" si="33"/>
        <v>1587301.6410122423</v>
      </c>
      <c r="U79">
        <f t="shared" si="34"/>
        <v>0</v>
      </c>
      <c r="V79" s="29">
        <f t="shared" si="35"/>
        <v>1587301.6410122423</v>
      </c>
      <c r="W79" s="29">
        <f t="shared" si="25"/>
        <v>1587301.6410122423</v>
      </c>
      <c r="X79" s="29">
        <f t="shared" si="36"/>
        <v>1587301.6410122423</v>
      </c>
      <c r="Y79">
        <f t="shared" si="37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allocations'!$A$1:$L$317,5,FALSE)</f>
        <v>10424.757619893451</v>
      </c>
      <c r="E80" s="31">
        <f>VLOOKUP(B80,'Initial adjusted formula count'!$A$1:$P$317,12,FALSE)</f>
        <v>0.29824561403508798</v>
      </c>
      <c r="F80">
        <f>VLOOKUP(B80,'Model allocations'!$A$1:$L$317,10,FALSE)</f>
        <v>11065.798892837665</v>
      </c>
      <c r="G80" s="30">
        <f t="shared" si="26"/>
        <v>0.9</v>
      </c>
      <c r="H80">
        <f t="shared" si="27"/>
        <v>9382.2818579041068</v>
      </c>
      <c r="I80">
        <f t="shared" si="19"/>
        <v>0</v>
      </c>
      <c r="J80">
        <f t="shared" si="20"/>
        <v>11065.798892837665</v>
      </c>
      <c r="K80">
        <f t="shared" si="21"/>
        <v>11059.487788800019</v>
      </c>
      <c r="L80">
        <f t="shared" si="28"/>
        <v>11059.487788800019</v>
      </c>
      <c r="M80">
        <f t="shared" si="22"/>
        <v>0</v>
      </c>
      <c r="N80" s="29">
        <f t="shared" si="29"/>
        <v>11059.487788800019</v>
      </c>
      <c r="O80" s="29">
        <f t="shared" si="23"/>
        <v>11058.735771551566</v>
      </c>
      <c r="P80" s="29">
        <f t="shared" si="30"/>
        <v>11058.735771551566</v>
      </c>
      <c r="Q80">
        <f t="shared" si="31"/>
        <v>0</v>
      </c>
      <c r="R80" s="29">
        <f t="shared" si="32"/>
        <v>11058.735771551566</v>
      </c>
      <c r="S80" s="29">
        <f t="shared" si="24"/>
        <v>11058.73577155157</v>
      </c>
      <c r="T80" s="29">
        <f t="shared" si="33"/>
        <v>11058.73577155157</v>
      </c>
      <c r="U80">
        <f t="shared" si="34"/>
        <v>0</v>
      </c>
      <c r="V80" s="29">
        <f t="shared" si="35"/>
        <v>11058.73577155157</v>
      </c>
      <c r="W80" s="29">
        <f t="shared" si="25"/>
        <v>11058.73577155157</v>
      </c>
      <c r="X80" s="29">
        <f t="shared" si="36"/>
        <v>11058.73577155157</v>
      </c>
      <c r="Y80">
        <f t="shared" si="37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allocations'!$A$1:$L$317,5,FALSE)</f>
        <v>2893061.3438922218</v>
      </c>
      <c r="E81" s="31">
        <f>VLOOKUP(B81,'Initial adjusted formula count'!$A$1:$P$317,12,FALSE)</f>
        <v>0.17527095226276199</v>
      </c>
      <c r="F81">
        <f>VLOOKUP(B81,'Model allocations'!$A$1:$L$317,10,FALSE)</f>
        <v>2934452.0849390598</v>
      </c>
      <c r="G81" s="30">
        <f t="shared" si="26"/>
        <v>0.9</v>
      </c>
      <c r="H81">
        <f t="shared" si="27"/>
        <v>2603755.2095029997</v>
      </c>
      <c r="I81">
        <f t="shared" si="19"/>
        <v>0</v>
      </c>
      <c r="J81">
        <f t="shared" si="20"/>
        <v>2934452.0849390598</v>
      </c>
      <c r="K81">
        <f t="shared" si="21"/>
        <v>2932778.4929480171</v>
      </c>
      <c r="L81">
        <f t="shared" si="28"/>
        <v>2932778.4929480171</v>
      </c>
      <c r="M81">
        <f t="shared" si="22"/>
        <v>0</v>
      </c>
      <c r="N81" s="29">
        <f t="shared" si="29"/>
        <v>2932778.4929480171</v>
      </c>
      <c r="O81" s="29">
        <f t="shared" si="23"/>
        <v>2932579.0714146961</v>
      </c>
      <c r="P81" s="29">
        <f t="shared" si="30"/>
        <v>2932579.0714146961</v>
      </c>
      <c r="Q81">
        <f t="shared" si="31"/>
        <v>0</v>
      </c>
      <c r="R81" s="29">
        <f t="shared" si="32"/>
        <v>2932579.0714146961</v>
      </c>
      <c r="S81" s="29">
        <f t="shared" si="24"/>
        <v>2932579.071414697</v>
      </c>
      <c r="T81" s="29">
        <f t="shared" si="33"/>
        <v>2932579.071414697</v>
      </c>
      <c r="U81">
        <f t="shared" si="34"/>
        <v>0</v>
      </c>
      <c r="V81" s="29">
        <f t="shared" si="35"/>
        <v>2932579.071414697</v>
      </c>
      <c r="W81" s="29">
        <f t="shared" si="25"/>
        <v>2932579.071414697</v>
      </c>
      <c r="X81" s="29">
        <f t="shared" si="36"/>
        <v>2932579.071414697</v>
      </c>
      <c r="Y81">
        <f t="shared" si="37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allocations'!$A$1:$L$317,5,FALSE)</f>
        <v>400912.75489490537</v>
      </c>
      <c r="E82" s="31">
        <f>VLOOKUP(B82,'Initial adjusted formula count'!$A$1:$P$317,12,FALSE)</f>
        <v>0.12768708582511701</v>
      </c>
      <c r="F82">
        <f>VLOOKUP(B82,'Model allocations'!$A$1:$L$317,10,FALSE)</f>
        <v>352050.3787504597</v>
      </c>
      <c r="G82" s="30">
        <f t="shared" si="26"/>
        <v>0.85</v>
      </c>
      <c r="H82">
        <f t="shared" si="27"/>
        <v>340775.84166066954</v>
      </c>
      <c r="I82">
        <f t="shared" si="19"/>
        <v>0</v>
      </c>
      <c r="J82">
        <f t="shared" si="20"/>
        <v>352050.3787504597</v>
      </c>
      <c r="K82">
        <f t="shared" si="21"/>
        <v>351849.59554553218</v>
      </c>
      <c r="L82">
        <f t="shared" si="28"/>
        <v>351849.59554553218</v>
      </c>
      <c r="M82">
        <f t="shared" si="22"/>
        <v>0</v>
      </c>
      <c r="N82" s="29">
        <f t="shared" si="29"/>
        <v>351849.59554553218</v>
      </c>
      <c r="O82" s="29">
        <f t="shared" si="23"/>
        <v>351825.67066132737</v>
      </c>
      <c r="P82" s="29">
        <f t="shared" si="30"/>
        <v>351825.67066132737</v>
      </c>
      <c r="Q82">
        <f t="shared" si="31"/>
        <v>0</v>
      </c>
      <c r="R82" s="29">
        <f t="shared" si="32"/>
        <v>351825.67066132737</v>
      </c>
      <c r="S82" s="29">
        <f t="shared" si="24"/>
        <v>351825.67066132749</v>
      </c>
      <c r="T82" s="29">
        <f t="shared" si="33"/>
        <v>351825.67066132749</v>
      </c>
      <c r="U82">
        <f t="shared" si="34"/>
        <v>0</v>
      </c>
      <c r="V82" s="29">
        <f t="shared" si="35"/>
        <v>351825.67066132749</v>
      </c>
      <c r="W82" s="29">
        <f t="shared" si="25"/>
        <v>351825.67066132749</v>
      </c>
      <c r="X82" s="29">
        <f t="shared" si="36"/>
        <v>351825.67066132749</v>
      </c>
      <c r="Y82">
        <f t="shared" si="37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allocations'!$A$1:$L$317,5,FALSE)</f>
        <v>150219.41681779089</v>
      </c>
      <c r="E83" s="31">
        <f>VLOOKUP(B83,'Initial adjusted formula count'!$A$1:$P$317,12,FALSE)</f>
        <v>9.6238397655105001E-2</v>
      </c>
      <c r="F83">
        <f>VLOOKUP(B83,'Model allocations'!$A$1:$L$317,10,FALSE)</f>
        <v>165226.74118842298</v>
      </c>
      <c r="G83" s="30">
        <f t="shared" si="26"/>
        <v>0.85</v>
      </c>
      <c r="H83">
        <f t="shared" si="27"/>
        <v>127686.50429512226</v>
      </c>
      <c r="I83">
        <f t="shared" si="19"/>
        <v>0</v>
      </c>
      <c r="J83">
        <f t="shared" si="20"/>
        <v>165226.74118842298</v>
      </c>
      <c r="K83">
        <f t="shared" si="21"/>
        <v>165132.50821315029</v>
      </c>
      <c r="L83">
        <f t="shared" si="28"/>
        <v>165132.50821315029</v>
      </c>
      <c r="M83">
        <f t="shared" si="22"/>
        <v>0</v>
      </c>
      <c r="N83" s="29">
        <f t="shared" si="29"/>
        <v>165132.50821315029</v>
      </c>
      <c r="O83" s="29">
        <f t="shared" si="23"/>
        <v>165121.27961949134</v>
      </c>
      <c r="P83" s="29">
        <f t="shared" si="30"/>
        <v>165121.27961949134</v>
      </c>
      <c r="Q83">
        <f t="shared" si="31"/>
        <v>0</v>
      </c>
      <c r="R83" s="29">
        <f t="shared" si="32"/>
        <v>165121.27961949134</v>
      </c>
      <c r="S83" s="29">
        <f t="shared" si="24"/>
        <v>165121.2796194914</v>
      </c>
      <c r="T83" s="29">
        <f t="shared" si="33"/>
        <v>165121.2796194914</v>
      </c>
      <c r="U83">
        <f t="shared" si="34"/>
        <v>0</v>
      </c>
      <c r="V83" s="29">
        <f t="shared" si="35"/>
        <v>165121.2796194914</v>
      </c>
      <c r="W83" s="29">
        <f t="shared" si="25"/>
        <v>165121.2796194914</v>
      </c>
      <c r="X83" s="29">
        <f t="shared" si="36"/>
        <v>165121.2796194914</v>
      </c>
      <c r="Y83">
        <f t="shared" si="37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allocations'!$A$1:$L$317,5,FALSE)</f>
        <v>55362.458950249391</v>
      </c>
      <c r="E84" s="31">
        <f>VLOOKUP(B84,'Initial adjusted formula count'!$A$1:$P$317,12,FALSE)</f>
        <v>0.13260869565217401</v>
      </c>
      <c r="F84">
        <f>VLOOKUP(B84,'Model allocations'!$A$1:$L$317,10,FALSE)</f>
        <v>51161.579758851782</v>
      </c>
      <c r="G84" s="30">
        <f t="shared" si="26"/>
        <v>0.85</v>
      </c>
      <c r="H84">
        <f t="shared" si="27"/>
        <v>47058.090107711978</v>
      </c>
      <c r="I84">
        <f t="shared" si="19"/>
        <v>0</v>
      </c>
      <c r="J84">
        <f t="shared" si="20"/>
        <v>51161.579758851782</v>
      </c>
      <c r="K84">
        <f t="shared" si="21"/>
        <v>51132.401020315556</v>
      </c>
      <c r="L84">
        <f t="shared" si="28"/>
        <v>51132.401020315556</v>
      </c>
      <c r="M84">
        <f t="shared" si="22"/>
        <v>0</v>
      </c>
      <c r="N84" s="29">
        <f t="shared" si="29"/>
        <v>51132.401020315556</v>
      </c>
      <c r="O84" s="29">
        <f t="shared" si="23"/>
        <v>51128.924146136895</v>
      </c>
      <c r="P84" s="29">
        <f t="shared" si="30"/>
        <v>51128.924146136895</v>
      </c>
      <c r="Q84">
        <f t="shared" si="31"/>
        <v>0</v>
      </c>
      <c r="R84" s="29">
        <f t="shared" si="32"/>
        <v>51128.924146136895</v>
      </c>
      <c r="S84" s="29">
        <f t="shared" si="24"/>
        <v>51128.924146136917</v>
      </c>
      <c r="T84" s="29">
        <f t="shared" si="33"/>
        <v>51128.924146136917</v>
      </c>
      <c r="U84">
        <f t="shared" si="34"/>
        <v>0</v>
      </c>
      <c r="V84" s="29">
        <f t="shared" si="35"/>
        <v>51128.924146136917</v>
      </c>
      <c r="W84" s="29">
        <f t="shared" si="25"/>
        <v>51128.924146136917</v>
      </c>
      <c r="X84" s="29">
        <f t="shared" si="36"/>
        <v>51128.924146136917</v>
      </c>
      <c r="Y84">
        <f t="shared" si="37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allocations'!$A$1:$L$317,5,FALSE)</f>
        <v>634419.81102636911</v>
      </c>
      <c r="E85" s="31">
        <f>VLOOKUP(B85,'Initial adjusted formula count'!$A$1:$P$317,12,FALSE)</f>
        <v>0.14967880085653101</v>
      </c>
      <c r="F85">
        <f>VLOOKUP(B85,'Model allocations'!$A$1:$L$317,10,FALSE)</f>
        <v>734504.15530843334</v>
      </c>
      <c r="G85" s="30">
        <f t="shared" si="26"/>
        <v>0.85</v>
      </c>
      <c r="H85">
        <f t="shared" si="27"/>
        <v>539256.8393724137</v>
      </c>
      <c r="I85">
        <f t="shared" si="19"/>
        <v>0</v>
      </c>
      <c r="J85">
        <f t="shared" si="20"/>
        <v>734504.15530843334</v>
      </c>
      <c r="K85">
        <f t="shared" si="21"/>
        <v>734085.24907444825</v>
      </c>
      <c r="L85">
        <f t="shared" si="28"/>
        <v>734085.24907444825</v>
      </c>
      <c r="M85">
        <f t="shared" si="22"/>
        <v>0</v>
      </c>
      <c r="N85" s="29">
        <f t="shared" si="29"/>
        <v>734085.24907444825</v>
      </c>
      <c r="O85" s="29">
        <f t="shared" si="23"/>
        <v>734035.33313080959</v>
      </c>
      <c r="P85" s="29">
        <f t="shared" si="30"/>
        <v>734035.33313080959</v>
      </c>
      <c r="Q85">
        <f t="shared" si="31"/>
        <v>0</v>
      </c>
      <c r="R85" s="29">
        <f t="shared" si="32"/>
        <v>734035.33313080959</v>
      </c>
      <c r="S85" s="29">
        <f t="shared" si="24"/>
        <v>734035.33313080983</v>
      </c>
      <c r="T85" s="29">
        <f t="shared" si="33"/>
        <v>734035.33313080983</v>
      </c>
      <c r="U85">
        <f t="shared" si="34"/>
        <v>0</v>
      </c>
      <c r="V85" s="29">
        <f t="shared" si="35"/>
        <v>734035.33313080983</v>
      </c>
      <c r="W85" s="29">
        <f t="shared" si="25"/>
        <v>734035.33313080983</v>
      </c>
      <c r="X85" s="29">
        <f t="shared" si="36"/>
        <v>734035.33313080983</v>
      </c>
      <c r="Y85">
        <f t="shared" si="37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allocations'!$A$1:$L$317,5,FALSE)</f>
        <v>20578.002303806978</v>
      </c>
      <c r="E86" s="31">
        <f>VLOOKUP(B86,'Initial adjusted formula count'!$A$1:$P$317,12,FALSE)</f>
        <v>3.6963036963037002E-2</v>
      </c>
      <c r="F86">
        <f>VLOOKUP(B86,'Model allocations'!$A$1:$L$317,10,FALSE)</f>
        <v>0</v>
      </c>
      <c r="G86" s="30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29">
        <f t="shared" si="29"/>
        <v>0</v>
      </c>
      <c r="O86" s="29">
        <f t="shared" si="23"/>
        <v>0</v>
      </c>
      <c r="P86" s="29">
        <f t="shared" si="30"/>
        <v>0</v>
      </c>
      <c r="Q86">
        <f t="shared" si="31"/>
        <v>0</v>
      </c>
      <c r="R86" s="29">
        <f t="shared" si="32"/>
        <v>0</v>
      </c>
      <c r="S86" s="29">
        <f t="shared" si="24"/>
        <v>0</v>
      </c>
      <c r="T86" s="29">
        <f t="shared" si="33"/>
        <v>0</v>
      </c>
      <c r="U86">
        <f t="shared" si="34"/>
        <v>0</v>
      </c>
      <c r="V86" s="29">
        <f t="shared" si="35"/>
        <v>0</v>
      </c>
      <c r="W86" s="29">
        <f t="shared" si="25"/>
        <v>0</v>
      </c>
      <c r="X86" s="29">
        <f t="shared" si="36"/>
        <v>0</v>
      </c>
      <c r="Y86">
        <f t="shared" si="37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allocations'!$A$1:$L$317,5,FALSE)</f>
        <v>21236.61155654148</v>
      </c>
      <c r="E87" s="31">
        <f>VLOOKUP(B87,'Initial adjusted formula count'!$A$1:$P$317,12,FALSE)</f>
        <v>0.25</v>
      </c>
      <c r="F87">
        <f>VLOOKUP(B87,'Model allocations'!$A$1:$L$317,10,FALSE)</f>
        <v>19112.950400887334</v>
      </c>
      <c r="G87" s="30">
        <f t="shared" si="26"/>
        <v>0.9</v>
      </c>
      <c r="H87">
        <f t="shared" si="27"/>
        <v>19112.950400887334</v>
      </c>
      <c r="I87">
        <f t="shared" si="19"/>
        <v>0</v>
      </c>
      <c r="J87">
        <f t="shared" si="20"/>
        <v>19112.950400887334</v>
      </c>
      <c r="K87">
        <f t="shared" si="21"/>
        <v>19102.049803504848</v>
      </c>
      <c r="L87">
        <f t="shared" si="28"/>
        <v>19102.049803504848</v>
      </c>
      <c r="M87">
        <f t="shared" si="22"/>
        <v>19112.950400887334</v>
      </c>
      <c r="N87" s="29">
        <f t="shared" si="29"/>
        <v>0</v>
      </c>
      <c r="O87" s="29">
        <f t="shared" si="23"/>
        <v>0</v>
      </c>
      <c r="P87" s="29">
        <f t="shared" si="30"/>
        <v>19112.950400887334</v>
      </c>
      <c r="Q87">
        <f t="shared" si="31"/>
        <v>0</v>
      </c>
      <c r="R87" s="29">
        <f t="shared" si="32"/>
        <v>0</v>
      </c>
      <c r="S87" s="29">
        <f t="shared" si="24"/>
        <v>0</v>
      </c>
      <c r="T87" s="29">
        <f t="shared" si="33"/>
        <v>19112.950400887334</v>
      </c>
      <c r="U87">
        <f t="shared" si="34"/>
        <v>0</v>
      </c>
      <c r="V87" s="29">
        <f t="shared" si="35"/>
        <v>0</v>
      </c>
      <c r="W87" s="29">
        <f t="shared" si="25"/>
        <v>0</v>
      </c>
      <c r="X87" s="29">
        <f t="shared" si="36"/>
        <v>19112.950400887334</v>
      </c>
      <c r="Y87">
        <f t="shared" si="37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allocations'!$A$1:$L$317,5,FALSE)</f>
        <v>7943.5333803979074</v>
      </c>
      <c r="E88" s="31">
        <f>VLOOKUP(B88,'Initial adjusted formula count'!$A$1:$P$317,12,FALSE)</f>
        <v>0.14516129032258099</v>
      </c>
      <c r="F88">
        <f>VLOOKUP(B88,'Model allocations'!$A$1:$L$317,10,FALSE)</f>
        <v>0</v>
      </c>
      <c r="G88" s="30">
        <f t="shared" si="26"/>
        <v>0.85</v>
      </c>
      <c r="H88">
        <f t="shared" si="27"/>
        <v>0</v>
      </c>
      <c r="I88">
        <f t="shared" si="19"/>
        <v>0</v>
      </c>
      <c r="J88">
        <f t="shared" si="20"/>
        <v>0</v>
      </c>
      <c r="K88">
        <f t="shared" si="21"/>
        <v>0</v>
      </c>
      <c r="L88">
        <f t="shared" si="28"/>
        <v>0</v>
      </c>
      <c r="M88">
        <f t="shared" si="22"/>
        <v>0</v>
      </c>
      <c r="N88" s="29">
        <f t="shared" si="29"/>
        <v>0</v>
      </c>
      <c r="O88" s="29">
        <f t="shared" si="23"/>
        <v>0</v>
      </c>
      <c r="P88" s="29">
        <f t="shared" si="30"/>
        <v>0</v>
      </c>
      <c r="Q88">
        <f t="shared" si="31"/>
        <v>0</v>
      </c>
      <c r="R88" s="29">
        <f t="shared" si="32"/>
        <v>0</v>
      </c>
      <c r="S88" s="29">
        <f t="shared" si="24"/>
        <v>0</v>
      </c>
      <c r="T88" s="29">
        <f t="shared" si="33"/>
        <v>0</v>
      </c>
      <c r="U88">
        <f t="shared" si="34"/>
        <v>0</v>
      </c>
      <c r="V88" s="29">
        <f t="shared" si="35"/>
        <v>0</v>
      </c>
      <c r="W88" s="29">
        <f t="shared" si="25"/>
        <v>0</v>
      </c>
      <c r="X88" s="29">
        <f t="shared" si="36"/>
        <v>0</v>
      </c>
      <c r="Y88">
        <f t="shared" si="37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allocations'!$A$1:$L$317,5,FALSE)</f>
        <v>113302.23013886208</v>
      </c>
      <c r="E89" s="31">
        <f>VLOOKUP(B89,'Initial adjusted formula count'!$A$1:$P$317,12,FALSE)</f>
        <v>0.15348837209302299</v>
      </c>
      <c r="F89">
        <f>VLOOKUP(B89,'Model allocations'!$A$1:$L$317,10,FALSE)</f>
        <v>101972.00712497588</v>
      </c>
      <c r="G89" s="30">
        <f t="shared" si="26"/>
        <v>0.9</v>
      </c>
      <c r="H89">
        <f t="shared" si="27"/>
        <v>101972.00712497588</v>
      </c>
      <c r="I89">
        <f t="shared" si="19"/>
        <v>0</v>
      </c>
      <c r="J89">
        <f t="shared" si="20"/>
        <v>101972.00712497588</v>
      </c>
      <c r="K89">
        <f t="shared" si="21"/>
        <v>101913.8499189643</v>
      </c>
      <c r="L89">
        <f t="shared" si="28"/>
        <v>101913.8499189643</v>
      </c>
      <c r="M89">
        <f t="shared" si="22"/>
        <v>101972.00712497588</v>
      </c>
      <c r="N89" s="29">
        <f t="shared" si="29"/>
        <v>0</v>
      </c>
      <c r="O89" s="29">
        <f t="shared" si="23"/>
        <v>0</v>
      </c>
      <c r="P89" s="29">
        <f t="shared" si="30"/>
        <v>101972.00712497588</v>
      </c>
      <c r="Q89">
        <f t="shared" si="31"/>
        <v>0</v>
      </c>
      <c r="R89" s="29">
        <f t="shared" si="32"/>
        <v>0</v>
      </c>
      <c r="S89" s="29">
        <f t="shared" si="24"/>
        <v>0</v>
      </c>
      <c r="T89" s="29">
        <f t="shared" si="33"/>
        <v>101972.00712497588</v>
      </c>
      <c r="U89">
        <f t="shared" si="34"/>
        <v>0</v>
      </c>
      <c r="V89" s="29">
        <f t="shared" si="35"/>
        <v>0</v>
      </c>
      <c r="W89" s="29">
        <f t="shared" si="25"/>
        <v>0</v>
      </c>
      <c r="X89" s="29">
        <f t="shared" si="36"/>
        <v>101972.00712497588</v>
      </c>
      <c r="Y89">
        <f t="shared" si="37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allocations'!$A$1:$L$317,5,FALSE)</f>
        <v>48732.351761822662</v>
      </c>
      <c r="E90" s="31">
        <f>VLOOKUP(B90,'Initial adjusted formula count'!$A$1:$P$317,12,FALSE)</f>
        <v>0.183035714285714</v>
      </c>
      <c r="F90">
        <f>VLOOKUP(B90,'Model allocations'!$A$1:$L$317,10,FALSE)</f>
        <v>57337.369535840786</v>
      </c>
      <c r="G90" s="30">
        <f t="shared" si="26"/>
        <v>0.9</v>
      </c>
      <c r="H90">
        <f t="shared" si="27"/>
        <v>43859.116585640397</v>
      </c>
      <c r="I90">
        <f t="shared" si="19"/>
        <v>0</v>
      </c>
      <c r="J90">
        <f t="shared" si="20"/>
        <v>57337.369535840786</v>
      </c>
      <c r="K90">
        <f t="shared" si="21"/>
        <v>57304.668588725261</v>
      </c>
      <c r="L90">
        <f t="shared" si="28"/>
        <v>57304.668588725261</v>
      </c>
      <c r="M90">
        <f t="shared" si="22"/>
        <v>0</v>
      </c>
      <c r="N90" s="29">
        <f t="shared" si="29"/>
        <v>57304.668588725261</v>
      </c>
      <c r="O90" s="29">
        <f t="shared" si="23"/>
        <v>57300.772015934679</v>
      </c>
      <c r="P90" s="29">
        <f t="shared" si="30"/>
        <v>57300.772015934679</v>
      </c>
      <c r="Q90">
        <f t="shared" si="31"/>
        <v>0</v>
      </c>
      <c r="R90" s="29">
        <f t="shared" si="32"/>
        <v>57300.772015934679</v>
      </c>
      <c r="S90" s="29">
        <f t="shared" si="24"/>
        <v>57300.772015934701</v>
      </c>
      <c r="T90" s="29">
        <f t="shared" si="33"/>
        <v>57300.772015934701</v>
      </c>
      <c r="U90">
        <f t="shared" si="34"/>
        <v>0</v>
      </c>
      <c r="V90" s="29">
        <f t="shared" si="35"/>
        <v>57300.772015934701</v>
      </c>
      <c r="W90" s="29">
        <f t="shared" si="25"/>
        <v>57300.772015934701</v>
      </c>
      <c r="X90" s="29">
        <f t="shared" si="36"/>
        <v>57300.772015934701</v>
      </c>
      <c r="Y90">
        <f t="shared" si="37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allocations'!$A$1:$L$317,5,FALSE)</f>
        <v>301638.86041793058</v>
      </c>
      <c r="E91" s="31">
        <f>VLOOKUP(B91,'Initial adjusted formula count'!$A$1:$P$317,12,FALSE)</f>
        <v>0.220407070166042</v>
      </c>
      <c r="F91">
        <f>VLOOKUP(B91,'Model allocations'!$A$1:$L$317,10,FALSE)</f>
        <v>421006.16562804556</v>
      </c>
      <c r="G91" s="30">
        <f t="shared" si="26"/>
        <v>0.9</v>
      </c>
      <c r="H91">
        <f t="shared" si="27"/>
        <v>271474.97437613754</v>
      </c>
      <c r="I91">
        <f t="shared" si="19"/>
        <v>0</v>
      </c>
      <c r="J91">
        <f t="shared" si="20"/>
        <v>421006.16562804556</v>
      </c>
      <c r="K91">
        <f t="shared" si="21"/>
        <v>420766.05519973394</v>
      </c>
      <c r="L91">
        <f t="shared" si="28"/>
        <v>420766.05519973394</v>
      </c>
      <c r="M91">
        <f t="shared" si="22"/>
        <v>0</v>
      </c>
      <c r="N91" s="29">
        <f t="shared" si="29"/>
        <v>420766.05519973394</v>
      </c>
      <c r="O91" s="29">
        <f t="shared" si="23"/>
        <v>420737.44417026168</v>
      </c>
      <c r="P91" s="29">
        <f t="shared" si="30"/>
        <v>420737.44417026168</v>
      </c>
      <c r="Q91">
        <f t="shared" si="31"/>
        <v>0</v>
      </c>
      <c r="R91" s="29">
        <f t="shared" si="32"/>
        <v>420737.44417026168</v>
      </c>
      <c r="S91" s="29">
        <f t="shared" si="24"/>
        <v>420737.44417026185</v>
      </c>
      <c r="T91" s="29">
        <f t="shared" si="33"/>
        <v>420737.44417026185</v>
      </c>
      <c r="U91">
        <f t="shared" si="34"/>
        <v>0</v>
      </c>
      <c r="V91" s="29">
        <f t="shared" si="35"/>
        <v>420737.44417026185</v>
      </c>
      <c r="W91" s="29">
        <f t="shared" si="25"/>
        <v>420737.44417026185</v>
      </c>
      <c r="X91" s="29">
        <f t="shared" si="36"/>
        <v>420737.44417026185</v>
      </c>
      <c r="Y91">
        <f t="shared" si="37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allocations'!$A$1:$L$317,5,FALSE)</f>
        <v>197093.95566462239</v>
      </c>
      <c r="E92" s="31">
        <f>VLOOKUP(B92,'Initial adjusted formula count'!$A$1:$P$317,12,FALSE)</f>
        <v>0.16005040957781999</v>
      </c>
      <c r="F92">
        <f>VLOOKUP(B92,'Model allocations'!$A$1:$L$317,10,FALSE)</f>
        <v>177384.56009816015</v>
      </c>
      <c r="G92" s="30">
        <f t="shared" si="26"/>
        <v>0.9</v>
      </c>
      <c r="H92">
        <f t="shared" si="27"/>
        <v>177384.56009816015</v>
      </c>
      <c r="I92">
        <f t="shared" si="19"/>
        <v>0</v>
      </c>
      <c r="J92">
        <f t="shared" si="20"/>
        <v>177384.56009816015</v>
      </c>
      <c r="K92">
        <f t="shared" si="21"/>
        <v>177283.39321230826</v>
      </c>
      <c r="L92">
        <f t="shared" si="28"/>
        <v>177283.39321230826</v>
      </c>
      <c r="M92">
        <f t="shared" si="22"/>
        <v>177384.56009816015</v>
      </c>
      <c r="N92" s="29">
        <f t="shared" si="29"/>
        <v>0</v>
      </c>
      <c r="O92" s="29">
        <f t="shared" si="23"/>
        <v>0</v>
      </c>
      <c r="P92" s="29">
        <f t="shared" si="30"/>
        <v>177384.56009816015</v>
      </c>
      <c r="Q92">
        <f t="shared" si="31"/>
        <v>0</v>
      </c>
      <c r="R92" s="29">
        <f t="shared" si="32"/>
        <v>0</v>
      </c>
      <c r="S92" s="29">
        <f t="shared" si="24"/>
        <v>0</v>
      </c>
      <c r="T92" s="29">
        <f t="shared" si="33"/>
        <v>177384.56009816015</v>
      </c>
      <c r="U92">
        <f t="shared" si="34"/>
        <v>0</v>
      </c>
      <c r="V92" s="29">
        <f t="shared" si="35"/>
        <v>0</v>
      </c>
      <c r="W92" s="29">
        <f t="shared" si="25"/>
        <v>0</v>
      </c>
      <c r="X92" s="29">
        <f t="shared" si="36"/>
        <v>177384.56009816015</v>
      </c>
      <c r="Y92">
        <f t="shared" si="37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allocations'!$A$1:$L$317,5,FALSE)</f>
        <v>89308.529998522266</v>
      </c>
      <c r="E93" s="31">
        <f>VLOOKUP(B93,'Initial adjusted formula count'!$A$1:$P$317,12,FALSE)</f>
        <v>6.4916637105356501E-2</v>
      </c>
      <c r="F93">
        <f>VLOOKUP(B93,'Model allocations'!$A$1:$L$317,10,FALSE)</f>
        <v>76742.369638277669</v>
      </c>
      <c r="G93" s="30">
        <f t="shared" si="26"/>
        <v>0.85</v>
      </c>
      <c r="H93">
        <f t="shared" si="27"/>
        <v>75912.250498743932</v>
      </c>
      <c r="I93">
        <f t="shared" si="19"/>
        <v>0</v>
      </c>
      <c r="J93">
        <f t="shared" si="20"/>
        <v>76742.369638277669</v>
      </c>
      <c r="K93">
        <f t="shared" si="21"/>
        <v>76698.601530473345</v>
      </c>
      <c r="L93">
        <f t="shared" si="28"/>
        <v>76698.601530473345</v>
      </c>
      <c r="M93">
        <f t="shared" si="22"/>
        <v>0</v>
      </c>
      <c r="N93" s="29">
        <f t="shared" si="29"/>
        <v>76698.601530473345</v>
      </c>
      <c r="O93" s="29">
        <f t="shared" si="23"/>
        <v>76693.386219205364</v>
      </c>
      <c r="P93" s="29">
        <f t="shared" si="30"/>
        <v>76693.386219205364</v>
      </c>
      <c r="Q93">
        <f t="shared" si="31"/>
        <v>0</v>
      </c>
      <c r="R93" s="29">
        <f t="shared" si="32"/>
        <v>76693.386219205364</v>
      </c>
      <c r="S93" s="29">
        <f t="shared" si="24"/>
        <v>76693.386219205393</v>
      </c>
      <c r="T93" s="29">
        <f t="shared" si="33"/>
        <v>76693.386219205393</v>
      </c>
      <c r="U93">
        <f t="shared" si="34"/>
        <v>0</v>
      </c>
      <c r="V93" s="29">
        <f t="shared" si="35"/>
        <v>76693.386219205393</v>
      </c>
      <c r="W93" s="29">
        <f t="shared" si="25"/>
        <v>76693.386219205393</v>
      </c>
      <c r="X93" s="29">
        <f t="shared" si="36"/>
        <v>76693.386219205393</v>
      </c>
      <c r="Y93">
        <f t="shared" si="37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allocations'!$A$1:$L$317,5,FALSE)</f>
        <v>16023.15756449248</v>
      </c>
      <c r="E94" s="31">
        <f>VLOOKUP(B94,'Initial adjusted formula count'!$A$1:$P$317,12,FALSE)</f>
        <v>0.10233918128654999</v>
      </c>
      <c r="F94">
        <f>VLOOKUP(B94,'Model allocations'!$A$1:$L$317,10,FALSE)</f>
        <v>14677.502389834528</v>
      </c>
      <c r="G94" s="30">
        <f t="shared" si="26"/>
        <v>0.85</v>
      </c>
      <c r="H94">
        <f t="shared" si="27"/>
        <v>13619.683929818608</v>
      </c>
      <c r="I94">
        <f t="shared" si="19"/>
        <v>0</v>
      </c>
      <c r="J94">
        <f t="shared" si="20"/>
        <v>14677.502389834528</v>
      </c>
      <c r="K94">
        <f t="shared" si="21"/>
        <v>14669.131440254465</v>
      </c>
      <c r="L94">
        <f t="shared" si="28"/>
        <v>14669.131440254465</v>
      </c>
      <c r="M94">
        <f t="shared" si="22"/>
        <v>0</v>
      </c>
      <c r="N94" s="29">
        <f t="shared" si="29"/>
        <v>14669.131440254465</v>
      </c>
      <c r="O94" s="29">
        <f t="shared" si="23"/>
        <v>14668.133976350751</v>
      </c>
      <c r="P94" s="29">
        <f t="shared" si="30"/>
        <v>14668.133976350751</v>
      </c>
      <c r="Q94">
        <f t="shared" si="31"/>
        <v>0</v>
      </c>
      <c r="R94" s="29">
        <f t="shared" si="32"/>
        <v>14668.133976350751</v>
      </c>
      <c r="S94" s="29">
        <f t="shared" si="24"/>
        <v>14668.133976350755</v>
      </c>
      <c r="T94" s="29">
        <f t="shared" si="33"/>
        <v>14668.133976350755</v>
      </c>
      <c r="U94">
        <f t="shared" si="34"/>
        <v>0</v>
      </c>
      <c r="V94" s="29">
        <f t="shared" si="35"/>
        <v>14668.133976350755</v>
      </c>
      <c r="W94" s="29">
        <f t="shared" si="25"/>
        <v>14668.133976350755</v>
      </c>
      <c r="X94" s="29">
        <f t="shared" si="36"/>
        <v>14668.133976350755</v>
      </c>
      <c r="Y94">
        <f t="shared" si="37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allocations'!$A$1:$L$317,5,FALSE)</f>
        <v>22487.548316589902</v>
      </c>
      <c r="E95" s="31">
        <f>VLOOKUP(B95,'Initial adjusted formula count'!$A$1:$P$317,12,FALSE)</f>
        <v>0.19148936170212799</v>
      </c>
      <c r="F95">
        <f>VLOOKUP(B95,'Model allocations'!$A$1:$L$317,10,FALSE)</f>
        <v>20238.793484930913</v>
      </c>
      <c r="G95" s="30">
        <f t="shared" si="26"/>
        <v>0.9</v>
      </c>
      <c r="H95">
        <f t="shared" si="27"/>
        <v>20238.793484930913</v>
      </c>
      <c r="I95">
        <f t="shared" si="19"/>
        <v>0</v>
      </c>
      <c r="J95">
        <f t="shared" si="20"/>
        <v>20238.793484930913</v>
      </c>
      <c r="K95">
        <f t="shared" si="21"/>
        <v>20227.250790859136</v>
      </c>
      <c r="L95">
        <f t="shared" si="28"/>
        <v>20227.250790859136</v>
      </c>
      <c r="M95">
        <f t="shared" si="22"/>
        <v>20238.793484930913</v>
      </c>
      <c r="N95" s="29">
        <f t="shared" si="29"/>
        <v>0</v>
      </c>
      <c r="O95" s="29">
        <f t="shared" si="23"/>
        <v>0</v>
      </c>
      <c r="P95" s="29">
        <f t="shared" si="30"/>
        <v>20238.793484930913</v>
      </c>
      <c r="Q95">
        <f t="shared" si="31"/>
        <v>0</v>
      </c>
      <c r="R95" s="29">
        <f t="shared" si="32"/>
        <v>0</v>
      </c>
      <c r="S95" s="29">
        <f t="shared" si="24"/>
        <v>0</v>
      </c>
      <c r="T95" s="29">
        <f t="shared" si="33"/>
        <v>20238.793484930913</v>
      </c>
      <c r="U95">
        <f t="shared" si="34"/>
        <v>0</v>
      </c>
      <c r="V95" s="29">
        <f t="shared" si="35"/>
        <v>0</v>
      </c>
      <c r="W95" s="29">
        <f t="shared" si="25"/>
        <v>0</v>
      </c>
      <c r="X95" s="29">
        <f t="shared" si="36"/>
        <v>20238.793484930913</v>
      </c>
      <c r="Y95">
        <f t="shared" si="37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allocations'!$A$1:$L$317,5,FALSE)</f>
        <v>6584.9607372182309</v>
      </c>
      <c r="E96" s="31">
        <f>VLOOKUP(B96,'Initial adjusted formula count'!$A$1:$P$317,12,FALSE)</f>
        <v>5.8252427184466E-2</v>
      </c>
      <c r="F96">
        <f>VLOOKUP(B96,'Model allocations'!$A$1:$L$317,10,FALSE)</f>
        <v>5597.2166266354961</v>
      </c>
      <c r="G96" s="30">
        <f t="shared" si="26"/>
        <v>0.85</v>
      </c>
      <c r="H96">
        <f t="shared" si="27"/>
        <v>5597.2166266354961</v>
      </c>
      <c r="I96">
        <f t="shared" si="19"/>
        <v>0</v>
      </c>
      <c r="J96">
        <f t="shared" si="20"/>
        <v>5597.2166266354961</v>
      </c>
      <c r="K96">
        <f t="shared" si="21"/>
        <v>5594.0243929075896</v>
      </c>
      <c r="L96">
        <f t="shared" si="28"/>
        <v>5594.0243929075896</v>
      </c>
      <c r="M96">
        <f t="shared" si="22"/>
        <v>5597.2166266354961</v>
      </c>
      <c r="N96" s="29">
        <f t="shared" si="29"/>
        <v>0</v>
      </c>
      <c r="O96" s="29">
        <f t="shared" si="23"/>
        <v>0</v>
      </c>
      <c r="P96" s="29">
        <f t="shared" si="30"/>
        <v>5597.2166266354961</v>
      </c>
      <c r="Q96">
        <f t="shared" si="31"/>
        <v>0</v>
      </c>
      <c r="R96" s="29">
        <f t="shared" si="32"/>
        <v>0</v>
      </c>
      <c r="S96" s="29">
        <f t="shared" si="24"/>
        <v>0</v>
      </c>
      <c r="T96" s="29">
        <f t="shared" si="33"/>
        <v>5597.2166266354961</v>
      </c>
      <c r="U96">
        <f t="shared" si="34"/>
        <v>0</v>
      </c>
      <c r="V96" s="29">
        <f t="shared" si="35"/>
        <v>0</v>
      </c>
      <c r="W96" s="29">
        <f t="shared" si="25"/>
        <v>0</v>
      </c>
      <c r="X96" s="29">
        <f t="shared" si="36"/>
        <v>5597.2166266354961</v>
      </c>
      <c r="Y96">
        <f t="shared" si="37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allocations'!$A$1:$L$317,5,FALSE)</f>
        <v>23700.920564145108</v>
      </c>
      <c r="E97" s="31">
        <f>VLOOKUP(B97,'Initial adjusted formula count'!$A$1:$P$317,12,FALSE)</f>
        <v>5.2338530066815103E-2</v>
      </c>
      <c r="F97">
        <f>VLOOKUP(B97,'Model allocations'!$A$1:$L$317,10,FALSE)</f>
        <v>20145.782479523343</v>
      </c>
      <c r="G97" s="30">
        <f t="shared" si="26"/>
        <v>0.85</v>
      </c>
      <c r="H97">
        <f t="shared" si="27"/>
        <v>20145.782479523343</v>
      </c>
      <c r="I97">
        <f t="shared" si="19"/>
        <v>0</v>
      </c>
      <c r="J97">
        <f t="shared" si="20"/>
        <v>20145.782479523343</v>
      </c>
      <c r="K97">
        <f t="shared" si="21"/>
        <v>20134.29283197242</v>
      </c>
      <c r="L97">
        <f t="shared" si="28"/>
        <v>20134.29283197242</v>
      </c>
      <c r="M97">
        <f t="shared" si="22"/>
        <v>20145.782479523343</v>
      </c>
      <c r="N97" s="29">
        <f t="shared" si="29"/>
        <v>0</v>
      </c>
      <c r="O97" s="29">
        <f t="shared" si="23"/>
        <v>0</v>
      </c>
      <c r="P97" s="29">
        <f t="shared" si="30"/>
        <v>20145.782479523343</v>
      </c>
      <c r="Q97">
        <f t="shared" si="31"/>
        <v>0</v>
      </c>
      <c r="R97" s="29">
        <f t="shared" si="32"/>
        <v>0</v>
      </c>
      <c r="S97" s="29">
        <f t="shared" si="24"/>
        <v>0</v>
      </c>
      <c r="T97" s="29">
        <f t="shared" si="33"/>
        <v>20145.782479523343</v>
      </c>
      <c r="U97">
        <f t="shared" si="34"/>
        <v>0</v>
      </c>
      <c r="V97" s="29">
        <f t="shared" si="35"/>
        <v>0</v>
      </c>
      <c r="W97" s="29">
        <f t="shared" si="25"/>
        <v>0</v>
      </c>
      <c r="X97" s="29">
        <f t="shared" si="36"/>
        <v>20145.782479523343</v>
      </c>
      <c r="Y97">
        <f t="shared" si="37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allocations'!$A$1:$L$317,5,FALSE)</f>
        <v>13000.348189112901</v>
      </c>
      <c r="E98" s="31">
        <f>VLOOKUP(B98,'Initial adjusted formula count'!$A$1:$P$317,12,FALSE)</f>
        <v>0.17241379310344801</v>
      </c>
      <c r="F98">
        <f>VLOOKUP(B98,'Model allocations'!$A$1:$L$317,10,FALSE)</f>
        <v>11700.313370201611</v>
      </c>
      <c r="G98" s="30">
        <f t="shared" si="26"/>
        <v>0.9</v>
      </c>
      <c r="H98">
        <f t="shared" si="27"/>
        <v>11700.313370201611</v>
      </c>
      <c r="I98">
        <f t="shared" si="19"/>
        <v>0</v>
      </c>
      <c r="J98">
        <f t="shared" si="20"/>
        <v>11700.313370201611</v>
      </c>
      <c r="K98">
        <f t="shared" si="21"/>
        <v>11693.640386563691</v>
      </c>
      <c r="L98">
        <f t="shared" si="28"/>
        <v>11693.640386563691</v>
      </c>
      <c r="M98">
        <f t="shared" si="22"/>
        <v>11700.313370201611</v>
      </c>
      <c r="N98" s="29">
        <f t="shared" si="29"/>
        <v>0</v>
      </c>
      <c r="O98" s="29">
        <f t="shared" si="23"/>
        <v>0</v>
      </c>
      <c r="P98" s="29">
        <f t="shared" si="30"/>
        <v>11700.313370201611</v>
      </c>
      <c r="Q98">
        <f t="shared" si="31"/>
        <v>0</v>
      </c>
      <c r="R98" s="29">
        <f t="shared" si="32"/>
        <v>0</v>
      </c>
      <c r="S98" s="29">
        <f t="shared" si="24"/>
        <v>0</v>
      </c>
      <c r="T98" s="29">
        <f t="shared" si="33"/>
        <v>11700.313370201611</v>
      </c>
      <c r="U98">
        <f t="shared" si="34"/>
        <v>0</v>
      </c>
      <c r="V98" s="29">
        <f t="shared" si="35"/>
        <v>0</v>
      </c>
      <c r="W98" s="29">
        <f t="shared" si="25"/>
        <v>0</v>
      </c>
      <c r="X98" s="29">
        <f t="shared" si="36"/>
        <v>11700.313370201611</v>
      </c>
      <c r="Y98">
        <f t="shared" si="37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allocations'!$A$1:$L$317,5,FALSE)</f>
        <v>108082.58230836826</v>
      </c>
      <c r="E99" s="31">
        <f>VLOOKUP(B99,'Initial adjusted formula count'!$A$1:$P$317,12,FALSE)</f>
        <v>0.11242138364779899</v>
      </c>
      <c r="F99">
        <f>VLOOKUP(B99,'Model allocations'!$A$1:$L$317,10,FALSE)</f>
        <v>91870.194962113019</v>
      </c>
      <c r="G99" s="30">
        <f t="shared" si="26"/>
        <v>0.85</v>
      </c>
      <c r="H99">
        <f t="shared" si="27"/>
        <v>91870.194962113019</v>
      </c>
      <c r="I99">
        <f t="shared" si="19"/>
        <v>0</v>
      </c>
      <c r="J99">
        <f t="shared" si="20"/>
        <v>91870.194962113019</v>
      </c>
      <c r="K99">
        <f t="shared" si="21"/>
        <v>91817.799074208335</v>
      </c>
      <c r="L99">
        <f t="shared" si="28"/>
        <v>91817.799074208335</v>
      </c>
      <c r="M99">
        <f t="shared" si="22"/>
        <v>91870.194962113019</v>
      </c>
      <c r="N99" s="29">
        <f t="shared" si="29"/>
        <v>0</v>
      </c>
      <c r="O99" s="29">
        <f t="shared" si="23"/>
        <v>0</v>
      </c>
      <c r="P99" s="29">
        <f t="shared" si="30"/>
        <v>91870.194962113019</v>
      </c>
      <c r="Q99">
        <f t="shared" si="31"/>
        <v>0</v>
      </c>
      <c r="R99" s="29">
        <f t="shared" si="32"/>
        <v>0</v>
      </c>
      <c r="S99" s="29">
        <f t="shared" si="24"/>
        <v>0</v>
      </c>
      <c r="T99" s="29">
        <f t="shared" si="33"/>
        <v>91870.194962113019</v>
      </c>
      <c r="U99">
        <f t="shared" si="34"/>
        <v>0</v>
      </c>
      <c r="V99" s="29">
        <f t="shared" si="35"/>
        <v>0</v>
      </c>
      <c r="W99" s="29">
        <f t="shared" si="25"/>
        <v>0</v>
      </c>
      <c r="X99" s="29">
        <f t="shared" si="36"/>
        <v>91870.194962113019</v>
      </c>
      <c r="Y99">
        <f t="shared" si="37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allocations'!$A$1:$L$317,5,FALSE)</f>
        <v>1895154.9630996815</v>
      </c>
      <c r="E100" s="31">
        <f>VLOOKUP(B100,'Initial adjusted formula count'!$A$1:$P$317,12,FALSE)</f>
        <v>0.16867413714330101</v>
      </c>
      <c r="F100">
        <f>VLOOKUP(B100,'Model allocations'!$A$1:$L$317,10,FALSE)</f>
        <v>2177885.8989718468</v>
      </c>
      <c r="G100" s="30">
        <f t="shared" si="26"/>
        <v>0.9</v>
      </c>
      <c r="H100">
        <f t="shared" si="27"/>
        <v>1705639.4667897134</v>
      </c>
      <c r="I100">
        <f t="shared" si="19"/>
        <v>0</v>
      </c>
      <c r="J100">
        <f t="shared" si="20"/>
        <v>2177885.8989718468</v>
      </c>
      <c r="K100">
        <f t="shared" si="21"/>
        <v>2176643.7957469788</v>
      </c>
      <c r="L100">
        <f t="shared" si="28"/>
        <v>2176643.7957469788</v>
      </c>
      <c r="M100">
        <f t="shared" si="22"/>
        <v>0</v>
      </c>
      <c r="N100" s="29">
        <f t="shared" si="29"/>
        <v>2176643.7957469788</v>
      </c>
      <c r="O100" s="29">
        <f t="shared" si="23"/>
        <v>2176495.7894641026</v>
      </c>
      <c r="P100" s="29">
        <f t="shared" si="30"/>
        <v>2176495.7894641026</v>
      </c>
      <c r="Q100">
        <f t="shared" si="31"/>
        <v>0</v>
      </c>
      <c r="R100" s="29">
        <f t="shared" si="32"/>
        <v>2176495.7894641026</v>
      </c>
      <c r="S100" s="29">
        <f t="shared" si="24"/>
        <v>2176495.7894641035</v>
      </c>
      <c r="T100" s="29">
        <f t="shared" si="33"/>
        <v>2176495.7894641035</v>
      </c>
      <c r="U100">
        <f t="shared" si="34"/>
        <v>0</v>
      </c>
      <c r="V100" s="29">
        <f t="shared" si="35"/>
        <v>2176495.7894641035</v>
      </c>
      <c r="W100" s="29">
        <f t="shared" si="25"/>
        <v>2176495.7894641035</v>
      </c>
      <c r="X100" s="29">
        <f t="shared" si="36"/>
        <v>2176495.7894641035</v>
      </c>
      <c r="Y100">
        <f t="shared" si="37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allocations'!$A$1:$L$317,5,FALSE)</f>
        <v>0</v>
      </c>
      <c r="E101" s="31">
        <f>VLOOKUP(B101,'Initial adjusted formula count'!$A$1:$P$317,12,FALSE)</f>
        <v>5.0320219579139999E-2</v>
      </c>
      <c r="F101">
        <f>VLOOKUP(B101,'Model allocations'!$A$1:$L$317,10,FALSE)</f>
        <v>46129.293225194218</v>
      </c>
      <c r="G101" s="30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46129.293225194218</v>
      </c>
      <c r="K101">
        <f t="shared" si="21"/>
        <v>46102.984526514017</v>
      </c>
      <c r="L101">
        <f t="shared" si="28"/>
        <v>46102.984526514017</v>
      </c>
      <c r="M101">
        <f t="shared" si="22"/>
        <v>0</v>
      </c>
      <c r="N101" s="29">
        <f t="shared" si="29"/>
        <v>46102.984526514017</v>
      </c>
      <c r="O101" s="29">
        <f t="shared" si="23"/>
        <v>46099.849639959488</v>
      </c>
      <c r="P101" s="29">
        <f t="shared" si="30"/>
        <v>46099.849639959488</v>
      </c>
      <c r="Q101">
        <f t="shared" si="31"/>
        <v>0</v>
      </c>
      <c r="R101" s="29">
        <f t="shared" si="32"/>
        <v>46099.849639959488</v>
      </c>
      <c r="S101" s="29">
        <f t="shared" si="24"/>
        <v>46099.849639959502</v>
      </c>
      <c r="T101" s="29">
        <f t="shared" si="33"/>
        <v>46099.849639959502</v>
      </c>
      <c r="U101">
        <f t="shared" si="34"/>
        <v>0</v>
      </c>
      <c r="V101" s="29">
        <f t="shared" si="35"/>
        <v>46099.849639959502</v>
      </c>
      <c r="W101" s="29">
        <f t="shared" si="25"/>
        <v>46099.849639959502</v>
      </c>
      <c r="X101" s="29">
        <f t="shared" si="36"/>
        <v>46099.849639959502</v>
      </c>
      <c r="Y101">
        <f t="shared" si="37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allocations'!$A$1:$L$317,5,FALSE)</f>
        <v>57685.134492198405</v>
      </c>
      <c r="E102" s="31">
        <f>VLOOKUP(B102,'Initial adjusted formula count'!$A$1:$P$317,12,FALSE)</f>
        <v>0.19602272727272699</v>
      </c>
      <c r="F102">
        <f>VLOOKUP(B102,'Model allocations'!$A$1:$L$317,10,FALSE)</f>
        <v>66777.435844328968</v>
      </c>
      <c r="G102" s="30">
        <f t="shared" si="26"/>
        <v>0.9</v>
      </c>
      <c r="H102">
        <f t="shared" si="27"/>
        <v>51916.621042978564</v>
      </c>
      <c r="I102">
        <f t="shared" si="19"/>
        <v>0</v>
      </c>
      <c r="J102">
        <f t="shared" si="20"/>
        <v>66777.435844328968</v>
      </c>
      <c r="K102">
        <f t="shared" si="21"/>
        <v>66739.350989447528</v>
      </c>
      <c r="L102">
        <f t="shared" si="28"/>
        <v>66739.350989447528</v>
      </c>
      <c r="M102">
        <f t="shared" si="22"/>
        <v>0</v>
      </c>
      <c r="N102" s="29">
        <f t="shared" si="29"/>
        <v>66739.350989447528</v>
      </c>
      <c r="O102" s="29">
        <f t="shared" si="23"/>
        <v>66734.812882072845</v>
      </c>
      <c r="P102" s="29">
        <f t="shared" si="30"/>
        <v>66734.812882072845</v>
      </c>
      <c r="Q102">
        <f t="shared" si="31"/>
        <v>0</v>
      </c>
      <c r="R102" s="29">
        <f t="shared" si="32"/>
        <v>66734.812882072845</v>
      </c>
      <c r="S102" s="29">
        <f t="shared" si="24"/>
        <v>66734.812882072874</v>
      </c>
      <c r="T102" s="29">
        <f t="shared" si="33"/>
        <v>66734.812882072874</v>
      </c>
      <c r="U102">
        <f t="shared" si="34"/>
        <v>0</v>
      </c>
      <c r="V102" s="29">
        <f t="shared" si="35"/>
        <v>66734.812882072874</v>
      </c>
      <c r="W102" s="29">
        <f t="shared" si="25"/>
        <v>66734.812882072874</v>
      </c>
      <c r="X102" s="29">
        <f t="shared" si="36"/>
        <v>66734.812882072874</v>
      </c>
      <c r="Y102">
        <f t="shared" si="37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allocations'!$A$1:$L$317,5,FALSE)</f>
        <v>303180.72897455021</v>
      </c>
      <c r="E103" s="31">
        <f>VLOOKUP(B103,'Initial adjusted formula count'!$A$1:$P$317,12,FALSE)</f>
        <v>0.215815485996705</v>
      </c>
      <c r="F103">
        <f>VLOOKUP(B103,'Model allocations'!$A$1:$L$317,10,FALSE)</f>
        <v>272862.65607709519</v>
      </c>
      <c r="G103" s="30">
        <f t="shared" si="26"/>
        <v>0.9</v>
      </c>
      <c r="H103">
        <f t="shared" si="27"/>
        <v>272862.65607709519</v>
      </c>
      <c r="I103">
        <f t="shared" si="19"/>
        <v>0</v>
      </c>
      <c r="J103">
        <f t="shared" si="20"/>
        <v>272862.65607709519</v>
      </c>
      <c r="K103">
        <f t="shared" si="21"/>
        <v>272707.03562644648</v>
      </c>
      <c r="L103">
        <f t="shared" si="28"/>
        <v>272707.03562644648</v>
      </c>
      <c r="M103">
        <f t="shared" si="22"/>
        <v>272862.65607709519</v>
      </c>
      <c r="N103" s="29">
        <f t="shared" si="29"/>
        <v>0</v>
      </c>
      <c r="O103" s="29">
        <f t="shared" si="23"/>
        <v>0</v>
      </c>
      <c r="P103" s="29">
        <f t="shared" si="30"/>
        <v>272862.65607709519</v>
      </c>
      <c r="Q103">
        <f t="shared" si="31"/>
        <v>0</v>
      </c>
      <c r="R103" s="29">
        <f t="shared" si="32"/>
        <v>0</v>
      </c>
      <c r="S103" s="29">
        <f t="shared" si="24"/>
        <v>0</v>
      </c>
      <c r="T103" s="29">
        <f t="shared" si="33"/>
        <v>272862.65607709519</v>
      </c>
      <c r="U103">
        <f t="shared" si="34"/>
        <v>0</v>
      </c>
      <c r="V103" s="29">
        <f t="shared" si="35"/>
        <v>0</v>
      </c>
      <c r="W103" s="29">
        <f t="shared" si="25"/>
        <v>0</v>
      </c>
      <c r="X103" s="29">
        <f t="shared" si="36"/>
        <v>272862.65607709519</v>
      </c>
      <c r="Y103">
        <f t="shared" si="37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allocations'!$A$1:$L$317,5,FALSE)</f>
        <v>31905.156636666343</v>
      </c>
      <c r="E104" s="31">
        <f>VLOOKUP(B104,'Initial adjusted formula count'!$A$1:$P$317,12,FALSE)</f>
        <v>0.14673417211557899</v>
      </c>
      <c r="F104">
        <f>VLOOKUP(B104,'Model allocations'!$A$1:$L$317,10,FALSE)</f>
        <v>31370.359336375437</v>
      </c>
      <c r="G104" s="30">
        <f t="shared" si="26"/>
        <v>0.85</v>
      </c>
      <c r="H104">
        <f t="shared" si="27"/>
        <v>27119.383141166392</v>
      </c>
      <c r="I104">
        <f t="shared" si="19"/>
        <v>0</v>
      </c>
      <c r="J104">
        <f t="shared" si="20"/>
        <v>31370.359336375437</v>
      </c>
      <c r="K104">
        <f t="shared" si="21"/>
        <v>31352.468029711767</v>
      </c>
      <c r="L104">
        <f t="shared" si="28"/>
        <v>31352.468029711767</v>
      </c>
      <c r="M104">
        <f t="shared" si="22"/>
        <v>0</v>
      </c>
      <c r="N104" s="29">
        <f t="shared" si="29"/>
        <v>31352.468029711767</v>
      </c>
      <c r="O104" s="29">
        <f t="shared" si="23"/>
        <v>31350.33614103933</v>
      </c>
      <c r="P104" s="29">
        <f t="shared" si="30"/>
        <v>31350.33614103933</v>
      </c>
      <c r="Q104">
        <f t="shared" si="31"/>
        <v>0</v>
      </c>
      <c r="R104" s="29">
        <f t="shared" si="32"/>
        <v>31350.33614103933</v>
      </c>
      <c r="S104" s="29">
        <f t="shared" si="24"/>
        <v>31350.336141039341</v>
      </c>
      <c r="T104" s="29">
        <f t="shared" si="33"/>
        <v>31350.336141039341</v>
      </c>
      <c r="U104">
        <f t="shared" si="34"/>
        <v>0</v>
      </c>
      <c r="V104" s="29">
        <f t="shared" si="35"/>
        <v>31350.336141039341</v>
      </c>
      <c r="W104" s="29">
        <f t="shared" si="25"/>
        <v>31350.336141039341</v>
      </c>
      <c r="X104" s="29">
        <f t="shared" si="36"/>
        <v>31350.336141039341</v>
      </c>
      <c r="Y104">
        <f t="shared" si="37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allocations'!$A$1:$L$317,5,FALSE)</f>
        <v>39718.924816680737</v>
      </c>
      <c r="E105" s="31">
        <f>VLOOKUP(B105,'Initial adjusted formula count'!$A$1:$P$317,12,FALSE)</f>
        <v>0.20059580587053799</v>
      </c>
      <c r="F105">
        <f>VLOOKUP(B105,'Model allocations'!$A$1:$L$317,10,FALSE)</f>
        <v>41549.345956977952</v>
      </c>
      <c r="G105" s="30">
        <f t="shared" si="26"/>
        <v>0.9</v>
      </c>
      <c r="H105">
        <f t="shared" si="27"/>
        <v>35747.032335012664</v>
      </c>
      <c r="I105">
        <f t="shared" si="19"/>
        <v>0</v>
      </c>
      <c r="J105">
        <f t="shared" si="20"/>
        <v>41549.345956977952</v>
      </c>
      <c r="K105">
        <f t="shared" si="21"/>
        <v>41525.649317668845</v>
      </c>
      <c r="L105">
        <f t="shared" si="28"/>
        <v>41525.649317668845</v>
      </c>
      <c r="M105">
        <f t="shared" si="22"/>
        <v>0</v>
      </c>
      <c r="N105" s="29">
        <f t="shared" si="29"/>
        <v>41525.649317668845</v>
      </c>
      <c r="O105" s="29">
        <f t="shared" si="23"/>
        <v>41522.825678352412</v>
      </c>
      <c r="P105" s="29">
        <f t="shared" si="30"/>
        <v>41522.825678352412</v>
      </c>
      <c r="Q105">
        <f t="shared" si="31"/>
        <v>0</v>
      </c>
      <c r="R105" s="29">
        <f t="shared" si="32"/>
        <v>41522.825678352412</v>
      </c>
      <c r="S105" s="29">
        <f t="shared" si="24"/>
        <v>41522.825678352427</v>
      </c>
      <c r="T105" s="29">
        <f t="shared" si="33"/>
        <v>41522.825678352427</v>
      </c>
      <c r="U105">
        <f t="shared" si="34"/>
        <v>0</v>
      </c>
      <c r="V105" s="29">
        <f t="shared" si="35"/>
        <v>41522.825678352427</v>
      </c>
      <c r="W105" s="29">
        <f t="shared" si="25"/>
        <v>41522.825678352427</v>
      </c>
      <c r="X105" s="29">
        <f t="shared" si="36"/>
        <v>41522.825678352427</v>
      </c>
      <c r="Y105">
        <f t="shared" si="37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allocations'!$A$1:$L$317,5,FALSE)</f>
        <v>29910.287895488211</v>
      </c>
      <c r="E106" s="31">
        <f>VLOOKUP(B106,'Initial adjusted formula count'!$A$1:$P$317,12,FALSE)</f>
        <v>0.18899764894447399</v>
      </c>
      <c r="F106">
        <f>VLOOKUP(B106,'Model allocations'!$A$1:$L$317,10,FALSE)</f>
        <v>30576.373285847243</v>
      </c>
      <c r="G106" s="30">
        <f t="shared" si="26"/>
        <v>0.9</v>
      </c>
      <c r="H106">
        <f t="shared" si="27"/>
        <v>26919.259105939389</v>
      </c>
      <c r="I106">
        <f t="shared" si="19"/>
        <v>0</v>
      </c>
      <c r="J106">
        <f t="shared" si="20"/>
        <v>30576.373285847243</v>
      </c>
      <c r="K106">
        <f t="shared" si="21"/>
        <v>30558.934809441729</v>
      </c>
      <c r="L106">
        <f t="shared" si="28"/>
        <v>30558.934809441729</v>
      </c>
      <c r="M106">
        <f t="shared" si="22"/>
        <v>0</v>
      </c>
      <c r="N106" s="29">
        <f t="shared" si="29"/>
        <v>30558.934809441729</v>
      </c>
      <c r="O106" s="29">
        <f t="shared" si="23"/>
        <v>30556.856879024886</v>
      </c>
      <c r="P106" s="29">
        <f t="shared" si="30"/>
        <v>30556.856879024886</v>
      </c>
      <c r="Q106">
        <f t="shared" si="31"/>
        <v>0</v>
      </c>
      <c r="R106" s="29">
        <f t="shared" si="32"/>
        <v>30556.856879024886</v>
      </c>
      <c r="S106" s="29">
        <f t="shared" si="24"/>
        <v>30556.856879024897</v>
      </c>
      <c r="T106" s="29">
        <f t="shared" si="33"/>
        <v>30556.856879024897</v>
      </c>
      <c r="U106">
        <f t="shared" si="34"/>
        <v>0</v>
      </c>
      <c r="V106" s="29">
        <f t="shared" si="35"/>
        <v>30556.856879024897</v>
      </c>
      <c r="W106" s="29">
        <f t="shared" si="25"/>
        <v>30556.856879024897</v>
      </c>
      <c r="X106" s="29">
        <f t="shared" si="36"/>
        <v>30556.856879024897</v>
      </c>
      <c r="Y106">
        <f t="shared" si="37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allocations'!$A$1:$L$317,5,FALSE)</f>
        <v>24312.673074921437</v>
      </c>
      <c r="E107" s="31">
        <f>VLOOKUP(B107,'Initial adjusted formula count'!$A$1:$P$317,12,FALSE)</f>
        <v>0.29797979797979801</v>
      </c>
      <c r="F107">
        <f>VLOOKUP(B107,'Model allocations'!$A$1:$L$317,10,FALSE)</f>
        <v>38383.912310496868</v>
      </c>
      <c r="G107" s="30">
        <f t="shared" si="26"/>
        <v>0.9</v>
      </c>
      <c r="H107">
        <f t="shared" si="27"/>
        <v>21881.405767429293</v>
      </c>
      <c r="I107">
        <f t="shared" si="19"/>
        <v>0</v>
      </c>
      <c r="J107">
        <f t="shared" si="20"/>
        <v>38383.912310496868</v>
      </c>
      <c r="K107">
        <f t="shared" si="21"/>
        <v>38362.020997785563</v>
      </c>
      <c r="L107">
        <f t="shared" si="28"/>
        <v>38362.020997785563</v>
      </c>
      <c r="M107">
        <f t="shared" si="22"/>
        <v>0</v>
      </c>
      <c r="N107" s="29">
        <f t="shared" si="29"/>
        <v>38362.020997785563</v>
      </c>
      <c r="O107" s="29">
        <f t="shared" si="23"/>
        <v>38359.412477207872</v>
      </c>
      <c r="P107" s="29">
        <f t="shared" si="30"/>
        <v>38359.412477207872</v>
      </c>
      <c r="Q107">
        <f t="shared" si="31"/>
        <v>0</v>
      </c>
      <c r="R107" s="29">
        <f t="shared" si="32"/>
        <v>38359.412477207872</v>
      </c>
      <c r="S107" s="29">
        <f t="shared" si="24"/>
        <v>38359.412477207887</v>
      </c>
      <c r="T107" s="29">
        <f t="shared" si="33"/>
        <v>38359.412477207887</v>
      </c>
      <c r="U107">
        <f t="shared" si="34"/>
        <v>0</v>
      </c>
      <c r="V107" s="29">
        <f t="shared" si="35"/>
        <v>38359.412477207887</v>
      </c>
      <c r="W107" s="29">
        <f t="shared" si="25"/>
        <v>38359.412477207887</v>
      </c>
      <c r="X107" s="29">
        <f t="shared" si="36"/>
        <v>38359.412477207887</v>
      </c>
      <c r="Y107">
        <f t="shared" si="37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allocations'!$A$1:$L$317,5,FALSE)</f>
        <v>0</v>
      </c>
      <c r="E108" s="31">
        <f>VLOOKUP(B108,'Initial adjusted formula count'!$A$1:$P$317,12,FALSE)</f>
        <v>9.2592592592592601E-2</v>
      </c>
      <c r="F108">
        <f>VLOOKUP(B108,'Model allocations'!$A$1:$L$317,10,FALSE)</f>
        <v>0</v>
      </c>
      <c r="G108" s="30">
        <f t="shared" si="26"/>
        <v>0.85</v>
      </c>
      <c r="H108">
        <f t="shared" si="2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8"/>
        <v>0</v>
      </c>
      <c r="M108">
        <f t="shared" si="22"/>
        <v>0</v>
      </c>
      <c r="N108" s="29">
        <f t="shared" si="29"/>
        <v>0</v>
      </c>
      <c r="O108" s="29">
        <f t="shared" si="23"/>
        <v>0</v>
      </c>
      <c r="P108" s="29">
        <f t="shared" si="30"/>
        <v>0</v>
      </c>
      <c r="Q108">
        <f t="shared" si="31"/>
        <v>0</v>
      </c>
      <c r="R108" s="29">
        <f t="shared" si="32"/>
        <v>0</v>
      </c>
      <c r="S108" s="29">
        <f t="shared" si="24"/>
        <v>0</v>
      </c>
      <c r="T108" s="29">
        <f t="shared" si="33"/>
        <v>0</v>
      </c>
      <c r="U108">
        <f t="shared" si="34"/>
        <v>0</v>
      </c>
      <c r="V108" s="29">
        <f t="shared" si="35"/>
        <v>0</v>
      </c>
      <c r="W108" s="29">
        <f t="shared" si="25"/>
        <v>0</v>
      </c>
      <c r="X108" s="29">
        <f t="shared" si="36"/>
        <v>0</v>
      </c>
      <c r="Y108">
        <f t="shared" si="37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allocations'!$A$1:$L$317,5,FALSE)</f>
        <v>0</v>
      </c>
      <c r="E109" s="31">
        <f>VLOOKUP(B109,'Initial adjusted formula count'!$A$1:$P$317,12,FALSE)</f>
        <v>4.09308032779701E-2</v>
      </c>
      <c r="F109">
        <f>VLOOKUP(B109,'Model allocations'!$A$1:$L$317,10,FALSE)</f>
        <v>0</v>
      </c>
      <c r="G109" s="30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29">
        <f t="shared" si="29"/>
        <v>0</v>
      </c>
      <c r="O109" s="29">
        <f t="shared" si="23"/>
        <v>0</v>
      </c>
      <c r="P109" s="29">
        <f t="shared" si="30"/>
        <v>0</v>
      </c>
      <c r="Q109">
        <f t="shared" si="31"/>
        <v>0</v>
      </c>
      <c r="R109" s="29">
        <f t="shared" si="32"/>
        <v>0</v>
      </c>
      <c r="S109" s="29">
        <f t="shared" si="24"/>
        <v>0</v>
      </c>
      <c r="T109" s="29">
        <f t="shared" si="33"/>
        <v>0</v>
      </c>
      <c r="U109">
        <f t="shared" si="34"/>
        <v>0</v>
      </c>
      <c r="V109" s="29">
        <f t="shared" si="35"/>
        <v>0</v>
      </c>
      <c r="W109" s="29">
        <f t="shared" si="25"/>
        <v>0</v>
      </c>
      <c r="X109" s="29">
        <f t="shared" si="36"/>
        <v>0</v>
      </c>
      <c r="Y109">
        <f t="shared" si="37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allocations'!$A$1:$L$317,5,FALSE)</f>
        <v>16860.586187624245</v>
      </c>
      <c r="E110" s="31">
        <f>VLOOKUP(B110,'Initial adjusted formula count'!$A$1:$P$317,12,FALSE)</f>
        <v>8.3333333333333301E-2</v>
      </c>
      <c r="F110">
        <f>VLOOKUP(B110,'Model allocations'!$A$1:$L$317,10,FALSE)</f>
        <v>0</v>
      </c>
      <c r="G110" s="30">
        <f t="shared" si="26"/>
        <v>0.85</v>
      </c>
      <c r="H110">
        <f t="shared" si="27"/>
        <v>0</v>
      </c>
      <c r="I110">
        <f t="shared" si="19"/>
        <v>0</v>
      </c>
      <c r="J110">
        <f t="shared" si="20"/>
        <v>0</v>
      </c>
      <c r="K110">
        <f t="shared" si="21"/>
        <v>0</v>
      </c>
      <c r="L110">
        <f t="shared" si="28"/>
        <v>0</v>
      </c>
      <c r="M110">
        <f t="shared" si="22"/>
        <v>0</v>
      </c>
      <c r="N110" s="29">
        <f t="shared" si="29"/>
        <v>0</v>
      </c>
      <c r="O110" s="29">
        <f t="shared" si="23"/>
        <v>0</v>
      </c>
      <c r="P110" s="29">
        <f t="shared" si="30"/>
        <v>0</v>
      </c>
      <c r="Q110">
        <f t="shared" si="31"/>
        <v>0</v>
      </c>
      <c r="R110" s="29">
        <f t="shared" si="32"/>
        <v>0</v>
      </c>
      <c r="S110" s="29">
        <f t="shared" si="24"/>
        <v>0</v>
      </c>
      <c r="T110" s="29">
        <f t="shared" si="33"/>
        <v>0</v>
      </c>
      <c r="U110">
        <f t="shared" si="34"/>
        <v>0</v>
      </c>
      <c r="V110" s="29">
        <f t="shared" si="35"/>
        <v>0</v>
      </c>
      <c r="W110" s="29">
        <f t="shared" si="25"/>
        <v>0</v>
      </c>
      <c r="X110" s="29">
        <f t="shared" si="36"/>
        <v>0</v>
      </c>
      <c r="Y110">
        <f t="shared" si="37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allocations'!$A$1:$L$317,5,FALSE)</f>
        <v>46917.845252679894</v>
      </c>
      <c r="E111" s="31">
        <f>VLOOKUP(B111,'Initial adjusted formula count'!$A$1:$P$317,12,FALSE)</f>
        <v>7.5691411935953398E-2</v>
      </c>
      <c r="F111">
        <f>VLOOKUP(B111,'Model allocations'!$A$1:$L$317,10,FALSE)</f>
        <v>43613.149958365451</v>
      </c>
      <c r="G111" s="30">
        <f t="shared" si="26"/>
        <v>0.85</v>
      </c>
      <c r="H111">
        <f t="shared" si="27"/>
        <v>39880.168464777911</v>
      </c>
      <c r="I111">
        <f t="shared" si="19"/>
        <v>0</v>
      </c>
      <c r="J111">
        <f t="shared" si="20"/>
        <v>43613.149958365451</v>
      </c>
      <c r="K111">
        <f t="shared" si="21"/>
        <v>43588.276279613259</v>
      </c>
      <c r="L111">
        <f t="shared" si="28"/>
        <v>43588.276279613259</v>
      </c>
      <c r="M111">
        <f t="shared" si="22"/>
        <v>0</v>
      </c>
      <c r="N111" s="29">
        <f t="shared" si="29"/>
        <v>43588.276279613259</v>
      </c>
      <c r="O111" s="29">
        <f t="shared" si="23"/>
        <v>43585.312386870792</v>
      </c>
      <c r="P111" s="29">
        <f t="shared" si="30"/>
        <v>43585.312386870792</v>
      </c>
      <c r="Q111">
        <f t="shared" si="31"/>
        <v>0</v>
      </c>
      <c r="R111" s="29">
        <f t="shared" si="32"/>
        <v>43585.312386870792</v>
      </c>
      <c r="S111" s="29">
        <f t="shared" si="24"/>
        <v>43585.312386870806</v>
      </c>
      <c r="T111" s="29">
        <f t="shared" si="33"/>
        <v>43585.312386870806</v>
      </c>
      <c r="U111">
        <f t="shared" si="34"/>
        <v>0</v>
      </c>
      <c r="V111" s="29">
        <f t="shared" si="35"/>
        <v>43585.312386870806</v>
      </c>
      <c r="W111" s="29">
        <f t="shared" si="25"/>
        <v>43585.312386870806</v>
      </c>
      <c r="X111" s="29">
        <f t="shared" si="36"/>
        <v>43585.312386870806</v>
      </c>
      <c r="Y111">
        <f t="shared" si="37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allocations'!$A$1:$L$317,5,FALSE)</f>
        <v>19913.116760369812</v>
      </c>
      <c r="E112" s="31">
        <f>VLOOKUP(B112,'Initial adjusted formula count'!$A$1:$P$317,12,FALSE)</f>
        <v>0.23148148148148101</v>
      </c>
      <c r="F112">
        <f>VLOOKUP(B112,'Model allocations'!$A$1:$L$317,10,FALSE)</f>
        <v>17921.805084332831</v>
      </c>
      <c r="G112" s="30">
        <f t="shared" si="26"/>
        <v>0.9</v>
      </c>
      <c r="H112">
        <f t="shared" si="27"/>
        <v>17921.805084332831</v>
      </c>
      <c r="I112">
        <f t="shared" si="19"/>
        <v>0</v>
      </c>
      <c r="J112">
        <f t="shared" si="20"/>
        <v>17921.805084332831</v>
      </c>
      <c r="K112">
        <f t="shared" si="21"/>
        <v>17911.583827148872</v>
      </c>
      <c r="L112">
        <f t="shared" si="28"/>
        <v>17911.583827148872</v>
      </c>
      <c r="M112">
        <f t="shared" si="22"/>
        <v>17921.805084332831</v>
      </c>
      <c r="N112" s="29">
        <f t="shared" si="29"/>
        <v>0</v>
      </c>
      <c r="O112" s="29">
        <f t="shared" si="23"/>
        <v>0</v>
      </c>
      <c r="P112" s="29">
        <f t="shared" si="30"/>
        <v>17921.805084332831</v>
      </c>
      <c r="Q112">
        <f t="shared" si="31"/>
        <v>0</v>
      </c>
      <c r="R112" s="29">
        <f t="shared" si="32"/>
        <v>0</v>
      </c>
      <c r="S112" s="29">
        <f t="shared" si="24"/>
        <v>0</v>
      </c>
      <c r="T112" s="29">
        <f t="shared" si="33"/>
        <v>17921.805084332831</v>
      </c>
      <c r="U112">
        <f t="shared" si="34"/>
        <v>0</v>
      </c>
      <c r="V112" s="29">
        <f t="shared" si="35"/>
        <v>0</v>
      </c>
      <c r="W112" s="29">
        <f t="shared" si="25"/>
        <v>0</v>
      </c>
      <c r="X112" s="29">
        <f t="shared" si="36"/>
        <v>17921.805084332831</v>
      </c>
      <c r="Y112">
        <f t="shared" si="37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allocations'!$A$1:$L$317,5,FALSE)</f>
        <v>430697.58821867983</v>
      </c>
      <c r="E113" s="31">
        <f>VLOOKUP(B113,'Initial adjusted formula count'!$A$1:$P$317,12,FALSE)</f>
        <v>0.16432432432432401</v>
      </c>
      <c r="F113">
        <f>VLOOKUP(B113,'Model allocations'!$A$1:$L$317,10,FALSE)</f>
        <v>428792.74838873721</v>
      </c>
      <c r="G113" s="30">
        <f t="shared" si="26"/>
        <v>0.9</v>
      </c>
      <c r="H113">
        <f t="shared" si="27"/>
        <v>387627.82939681184</v>
      </c>
      <c r="I113">
        <f t="shared" si="19"/>
        <v>0</v>
      </c>
      <c r="J113">
        <f t="shared" si="20"/>
        <v>428792.74838873721</v>
      </c>
      <c r="K113">
        <f t="shared" si="21"/>
        <v>428548.1970760054</v>
      </c>
      <c r="L113">
        <f t="shared" si="28"/>
        <v>428548.1970760054</v>
      </c>
      <c r="M113">
        <f t="shared" si="22"/>
        <v>0</v>
      </c>
      <c r="N113" s="29">
        <f t="shared" si="29"/>
        <v>428548.1970760054</v>
      </c>
      <c r="O113" s="29">
        <f t="shared" si="23"/>
        <v>428519.05688053265</v>
      </c>
      <c r="P113" s="29">
        <f t="shared" si="30"/>
        <v>428519.05688053265</v>
      </c>
      <c r="Q113">
        <f t="shared" si="31"/>
        <v>0</v>
      </c>
      <c r="R113" s="29">
        <f t="shared" si="32"/>
        <v>428519.05688053265</v>
      </c>
      <c r="S113" s="29">
        <f t="shared" si="24"/>
        <v>428519.05688053282</v>
      </c>
      <c r="T113" s="29">
        <f t="shared" si="33"/>
        <v>428519.05688053282</v>
      </c>
      <c r="U113">
        <f t="shared" si="34"/>
        <v>0</v>
      </c>
      <c r="V113" s="29">
        <f t="shared" si="35"/>
        <v>428519.05688053282</v>
      </c>
      <c r="W113" s="29">
        <f t="shared" si="25"/>
        <v>428519.05688053282</v>
      </c>
      <c r="X113" s="29">
        <f t="shared" si="36"/>
        <v>428519.05688053282</v>
      </c>
      <c r="Y113">
        <f t="shared" si="37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allocations'!$A$1:$L$317,5,FALSE)</f>
        <v>1728346.4134967471</v>
      </c>
      <c r="E114" s="31">
        <f>VLOOKUP(B114,'Initial adjusted formula count'!$A$1:$P$317,12,FALSE)</f>
        <v>0.14553515493229199</v>
      </c>
      <c r="F114">
        <f>VLOOKUP(B114,'Model allocations'!$A$1:$L$317,10,FALSE)</f>
        <v>1913736.633028853</v>
      </c>
      <c r="G114" s="30">
        <f t="shared" si="26"/>
        <v>0.85</v>
      </c>
      <c r="H114">
        <f t="shared" si="27"/>
        <v>1469094.4514722351</v>
      </c>
      <c r="I114">
        <f t="shared" si="19"/>
        <v>0</v>
      </c>
      <c r="J114">
        <f t="shared" si="20"/>
        <v>1913736.633028853</v>
      </c>
      <c r="K114">
        <f t="shared" si="21"/>
        <v>1912645.1807886069</v>
      </c>
      <c r="L114">
        <f t="shared" si="28"/>
        <v>1912645.1807886069</v>
      </c>
      <c r="M114">
        <f t="shared" si="22"/>
        <v>0</v>
      </c>
      <c r="N114" s="29">
        <f t="shared" si="29"/>
        <v>1912645.1807886069</v>
      </c>
      <c r="O114" s="29">
        <f t="shared" si="23"/>
        <v>1912515.1257450469</v>
      </c>
      <c r="P114" s="29">
        <f t="shared" si="30"/>
        <v>1912515.1257450469</v>
      </c>
      <c r="Q114">
        <f t="shared" si="31"/>
        <v>0</v>
      </c>
      <c r="R114" s="29">
        <f t="shared" si="32"/>
        <v>1912515.1257450469</v>
      </c>
      <c r="S114" s="29">
        <f t="shared" si="24"/>
        <v>1912515.1257450476</v>
      </c>
      <c r="T114" s="29">
        <f t="shared" si="33"/>
        <v>1912515.1257450476</v>
      </c>
      <c r="U114">
        <f t="shared" si="34"/>
        <v>0</v>
      </c>
      <c r="V114" s="29">
        <f t="shared" si="35"/>
        <v>1912515.1257450476</v>
      </c>
      <c r="W114" s="29">
        <f t="shared" si="25"/>
        <v>1912515.1257450476</v>
      </c>
      <c r="X114" s="29">
        <f t="shared" si="36"/>
        <v>1912515.1257450476</v>
      </c>
      <c r="Y114">
        <f t="shared" si="37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allocations'!$A$1:$L$317,5,FALSE)</f>
        <v>2927632.3877626183</v>
      </c>
      <c r="E115" s="31">
        <f>VLOOKUP(B115,'Initial adjusted formula count'!$A$1:$P$317,12,FALSE)</f>
        <v>0.14707249070632</v>
      </c>
      <c r="F115">
        <f>VLOOKUP(B115,'Model allocations'!$A$1:$L$317,10,FALSE)</f>
        <v>3097162.6828606552</v>
      </c>
      <c r="G115" s="30">
        <f t="shared" si="26"/>
        <v>0.85</v>
      </c>
      <c r="H115">
        <f t="shared" si="27"/>
        <v>2488487.5295982254</v>
      </c>
      <c r="I115">
        <f t="shared" si="19"/>
        <v>0</v>
      </c>
      <c r="J115">
        <f t="shared" si="20"/>
        <v>3097162.6828606552</v>
      </c>
      <c r="K115">
        <f t="shared" si="21"/>
        <v>3095396.2929142681</v>
      </c>
      <c r="L115">
        <f t="shared" si="28"/>
        <v>3095396.2929142681</v>
      </c>
      <c r="M115">
        <f t="shared" si="22"/>
        <v>0</v>
      </c>
      <c r="N115" s="29">
        <f t="shared" si="29"/>
        <v>3095396.2929142681</v>
      </c>
      <c r="O115" s="29">
        <f t="shared" si="23"/>
        <v>3095185.8137811003</v>
      </c>
      <c r="P115" s="29">
        <f t="shared" si="30"/>
        <v>3095185.8137811003</v>
      </c>
      <c r="Q115">
        <f t="shared" si="31"/>
        <v>0</v>
      </c>
      <c r="R115" s="29">
        <f t="shared" si="32"/>
        <v>3095185.8137811003</v>
      </c>
      <c r="S115" s="29">
        <f t="shared" si="24"/>
        <v>3095185.8137811017</v>
      </c>
      <c r="T115" s="29">
        <f t="shared" si="33"/>
        <v>3095185.8137811017</v>
      </c>
      <c r="U115">
        <f t="shared" si="34"/>
        <v>0</v>
      </c>
      <c r="V115" s="29">
        <f t="shared" si="35"/>
        <v>3095185.8137811017</v>
      </c>
      <c r="W115" s="29">
        <f t="shared" si="25"/>
        <v>3095185.8137811017</v>
      </c>
      <c r="X115" s="29">
        <f t="shared" si="36"/>
        <v>3095185.8137811017</v>
      </c>
      <c r="Y115">
        <f t="shared" si="37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allocations'!$A$1:$L$317,5,FALSE)</f>
        <v>65710.615719978538</v>
      </c>
      <c r="E116" s="31">
        <f>VLOOKUP(B116,'Initial adjusted formula count'!$A$1:$P$317,12,FALSE)</f>
        <v>0.15733896515311499</v>
      </c>
      <c r="F116">
        <f>VLOOKUP(B116,'Model allocations'!$A$1:$L$317,10,FALSE)</f>
        <v>62942.602859215818</v>
      </c>
      <c r="G116" s="30">
        <f t="shared" si="26"/>
        <v>0.9</v>
      </c>
      <c r="H116">
        <f t="shared" si="27"/>
        <v>59139.554147980685</v>
      </c>
      <c r="I116">
        <f t="shared" si="19"/>
        <v>0</v>
      </c>
      <c r="J116">
        <f t="shared" si="20"/>
        <v>62942.602859215818</v>
      </c>
      <c r="K116">
        <f t="shared" si="21"/>
        <v>62906.705106248162</v>
      </c>
      <c r="L116">
        <f t="shared" si="28"/>
        <v>62906.705106248162</v>
      </c>
      <c r="M116">
        <f t="shared" si="22"/>
        <v>0</v>
      </c>
      <c r="N116" s="29">
        <f t="shared" si="29"/>
        <v>62906.705106248162</v>
      </c>
      <c r="O116" s="29">
        <f t="shared" si="23"/>
        <v>62902.427609117498</v>
      </c>
      <c r="P116" s="29">
        <f t="shared" si="30"/>
        <v>62902.427609117498</v>
      </c>
      <c r="Q116">
        <f t="shared" si="31"/>
        <v>0</v>
      </c>
      <c r="R116" s="29">
        <f t="shared" si="32"/>
        <v>62902.427609117498</v>
      </c>
      <c r="S116" s="29">
        <f t="shared" si="24"/>
        <v>62902.42760911752</v>
      </c>
      <c r="T116" s="29">
        <f t="shared" si="33"/>
        <v>62902.42760911752</v>
      </c>
      <c r="U116">
        <f t="shared" si="34"/>
        <v>0</v>
      </c>
      <c r="V116" s="29">
        <f t="shared" si="35"/>
        <v>62902.42760911752</v>
      </c>
      <c r="W116" s="29">
        <f t="shared" si="25"/>
        <v>62902.42760911752</v>
      </c>
      <c r="X116" s="29">
        <f t="shared" si="36"/>
        <v>62902.42760911752</v>
      </c>
      <c r="Y116">
        <f t="shared" si="37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allocations'!$A$1:$L$317,5,FALSE)</f>
        <v>102890.01151903483</v>
      </c>
      <c r="E117" s="31">
        <f>VLOOKUP(B117,'Initial adjusted formula count'!$A$1:$P$317,12,FALSE)</f>
        <v>0.11085844229675999</v>
      </c>
      <c r="F117">
        <f>VLOOKUP(B117,'Model allocations'!$A$1:$L$317,10,FALSE)</f>
        <v>87456.509791179604</v>
      </c>
      <c r="G117" s="30">
        <f t="shared" si="26"/>
        <v>0.85</v>
      </c>
      <c r="H117">
        <f t="shared" si="27"/>
        <v>87456.509791179604</v>
      </c>
      <c r="I117">
        <f t="shared" si="19"/>
        <v>0</v>
      </c>
      <c r="J117">
        <f t="shared" si="20"/>
        <v>87456.509791179604</v>
      </c>
      <c r="K117">
        <f t="shared" si="21"/>
        <v>87406.631139181074</v>
      </c>
      <c r="L117">
        <f t="shared" si="28"/>
        <v>87406.631139181074</v>
      </c>
      <c r="M117">
        <f t="shared" si="22"/>
        <v>87456.509791179604</v>
      </c>
      <c r="N117" s="29">
        <f t="shared" si="29"/>
        <v>0</v>
      </c>
      <c r="O117" s="29">
        <f t="shared" si="23"/>
        <v>0</v>
      </c>
      <c r="P117" s="29">
        <f t="shared" si="30"/>
        <v>87456.509791179604</v>
      </c>
      <c r="Q117">
        <f t="shared" si="31"/>
        <v>0</v>
      </c>
      <c r="R117" s="29">
        <f t="shared" si="32"/>
        <v>0</v>
      </c>
      <c r="S117" s="29">
        <f t="shared" si="24"/>
        <v>0</v>
      </c>
      <c r="T117" s="29">
        <f t="shared" si="33"/>
        <v>87456.509791179604</v>
      </c>
      <c r="U117">
        <f t="shared" si="34"/>
        <v>0</v>
      </c>
      <c r="V117" s="29">
        <f t="shared" si="35"/>
        <v>0</v>
      </c>
      <c r="W117" s="29">
        <f t="shared" si="25"/>
        <v>0</v>
      </c>
      <c r="X117" s="29">
        <f t="shared" si="36"/>
        <v>87456.509791179604</v>
      </c>
      <c r="Y117">
        <f t="shared" si="37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allocations'!$A$1:$L$317,5,FALSE)</f>
        <v>23870.482672416088</v>
      </c>
      <c r="E118" s="31">
        <f>VLOOKUP(B118,'Initial adjusted formula count'!$A$1:$P$317,12,FALSE)</f>
        <v>9.3708165997322596E-2</v>
      </c>
      <c r="F118">
        <f>VLOOKUP(B118,'Model allocations'!$A$1:$L$317,10,FALSE)</f>
        <v>29355.004779669056</v>
      </c>
      <c r="G118" s="30">
        <f t="shared" si="26"/>
        <v>0.85</v>
      </c>
      <c r="H118">
        <f t="shared" si="27"/>
        <v>20289.910271553676</v>
      </c>
      <c r="I118">
        <f t="shared" si="19"/>
        <v>0</v>
      </c>
      <c r="J118">
        <f t="shared" si="20"/>
        <v>29355.004779669056</v>
      </c>
      <c r="K118">
        <f t="shared" si="21"/>
        <v>29338.26288050893</v>
      </c>
      <c r="L118">
        <f t="shared" si="28"/>
        <v>29338.26288050893</v>
      </c>
      <c r="M118">
        <f t="shared" si="22"/>
        <v>0</v>
      </c>
      <c r="N118" s="29">
        <f t="shared" si="29"/>
        <v>29338.26288050893</v>
      </c>
      <c r="O118" s="29">
        <f t="shared" si="23"/>
        <v>29336.267952701503</v>
      </c>
      <c r="P118" s="29">
        <f t="shared" si="30"/>
        <v>29336.267952701503</v>
      </c>
      <c r="Q118">
        <f t="shared" si="31"/>
        <v>0</v>
      </c>
      <c r="R118" s="29">
        <f t="shared" si="32"/>
        <v>29336.267952701503</v>
      </c>
      <c r="S118" s="29">
        <f t="shared" si="24"/>
        <v>29336.26795270151</v>
      </c>
      <c r="T118" s="29">
        <f t="shared" si="33"/>
        <v>29336.26795270151</v>
      </c>
      <c r="U118">
        <f t="shared" si="34"/>
        <v>0</v>
      </c>
      <c r="V118" s="29">
        <f t="shared" si="35"/>
        <v>29336.26795270151</v>
      </c>
      <c r="W118" s="29">
        <f t="shared" si="25"/>
        <v>29336.26795270151</v>
      </c>
      <c r="X118" s="29">
        <f t="shared" si="36"/>
        <v>29336.26795270151</v>
      </c>
      <c r="Y118">
        <f t="shared" si="37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allocations'!$A$1:$L$317,5,FALSE)</f>
        <v>6509.9850655167284</v>
      </c>
      <c r="E119" s="31">
        <f>VLOOKUP(B119,'Initial adjusted formula count'!$A$1:$P$317,12,FALSE)</f>
        <v>6.0975609756097601E-2</v>
      </c>
      <c r="F119">
        <f>VLOOKUP(B119,'Model allocations'!$A$1:$L$317,10,FALSE)</f>
        <v>0</v>
      </c>
      <c r="G119" s="30">
        <f t="shared" si="26"/>
        <v>0.85</v>
      </c>
      <c r="H119">
        <f t="shared" si="27"/>
        <v>0</v>
      </c>
      <c r="I119">
        <f t="shared" si="19"/>
        <v>0</v>
      </c>
      <c r="J119">
        <f t="shared" si="20"/>
        <v>0</v>
      </c>
      <c r="K119">
        <f t="shared" si="21"/>
        <v>0</v>
      </c>
      <c r="L119">
        <f t="shared" si="28"/>
        <v>0</v>
      </c>
      <c r="M119">
        <f t="shared" si="22"/>
        <v>0</v>
      </c>
      <c r="N119" s="29">
        <f t="shared" si="29"/>
        <v>0</v>
      </c>
      <c r="O119" s="29">
        <f t="shared" si="23"/>
        <v>0</v>
      </c>
      <c r="P119" s="29">
        <f t="shared" si="30"/>
        <v>0</v>
      </c>
      <c r="Q119">
        <f t="shared" si="31"/>
        <v>0</v>
      </c>
      <c r="R119" s="29">
        <f t="shared" si="32"/>
        <v>0</v>
      </c>
      <c r="S119" s="29">
        <f t="shared" si="24"/>
        <v>0</v>
      </c>
      <c r="T119" s="29">
        <f t="shared" si="33"/>
        <v>0</v>
      </c>
      <c r="U119">
        <f t="shared" si="34"/>
        <v>0</v>
      </c>
      <c r="V119" s="29">
        <f t="shared" si="35"/>
        <v>0</v>
      </c>
      <c r="W119" s="29">
        <f t="shared" si="25"/>
        <v>0</v>
      </c>
      <c r="X119" s="29">
        <f t="shared" si="36"/>
        <v>0</v>
      </c>
      <c r="Y119">
        <f t="shared" si="37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allocations'!$A$1:$L$317,5,FALSE)</f>
        <v>52075.262084600537</v>
      </c>
      <c r="E120" s="31">
        <f>VLOOKUP(B120,'Initial adjusted formula count'!$A$1:$P$317,12,FALSE)</f>
        <v>5.5641421947449803E-2</v>
      </c>
      <c r="F120">
        <f>VLOOKUP(B120,'Model allocations'!$A$1:$L$317,10,FALSE)</f>
        <v>45290.578802917975</v>
      </c>
      <c r="G120" s="30">
        <f t="shared" si="26"/>
        <v>0.85</v>
      </c>
      <c r="H120">
        <f t="shared" si="27"/>
        <v>44263.972771910456</v>
      </c>
      <c r="I120">
        <f t="shared" si="19"/>
        <v>0</v>
      </c>
      <c r="J120">
        <f t="shared" si="20"/>
        <v>45290.578802917975</v>
      </c>
      <c r="K120">
        <f t="shared" si="21"/>
        <v>45264.748444213779</v>
      </c>
      <c r="L120">
        <f t="shared" si="28"/>
        <v>45264.748444213779</v>
      </c>
      <c r="M120">
        <f t="shared" si="22"/>
        <v>0</v>
      </c>
      <c r="N120" s="29">
        <f t="shared" si="29"/>
        <v>45264.748444213779</v>
      </c>
      <c r="O120" s="29">
        <f t="shared" si="23"/>
        <v>45261.670555596611</v>
      </c>
      <c r="P120" s="29">
        <f t="shared" si="30"/>
        <v>45261.670555596611</v>
      </c>
      <c r="Q120">
        <f t="shared" si="31"/>
        <v>0</v>
      </c>
      <c r="R120" s="29">
        <f t="shared" si="32"/>
        <v>45261.670555596611</v>
      </c>
      <c r="S120" s="29">
        <f t="shared" si="24"/>
        <v>45261.670555596633</v>
      </c>
      <c r="T120" s="29">
        <f t="shared" si="33"/>
        <v>45261.670555596633</v>
      </c>
      <c r="U120">
        <f t="shared" si="34"/>
        <v>0</v>
      </c>
      <c r="V120" s="29">
        <f t="shared" si="35"/>
        <v>45261.670555596633</v>
      </c>
      <c r="W120" s="29">
        <f t="shared" si="25"/>
        <v>45261.670555596633</v>
      </c>
      <c r="X120" s="29">
        <f t="shared" si="36"/>
        <v>45261.670555596633</v>
      </c>
      <c r="Y120">
        <f t="shared" si="37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allocations'!$A$1:$L$317,5,FALSE)</f>
        <v>60910.260330525867</v>
      </c>
      <c r="E121" s="31">
        <f>VLOOKUP(B121,'Initial adjusted formula count'!$A$1:$P$317,12,FALSE)</f>
        <v>0.100682593856655</v>
      </c>
      <c r="F121">
        <f>VLOOKUP(B121,'Model allocations'!$A$1:$L$317,10,FALSE)</f>
        <v>51773.721280946986</v>
      </c>
      <c r="G121" s="30">
        <f t="shared" si="26"/>
        <v>0.85</v>
      </c>
      <c r="H121">
        <f t="shared" si="27"/>
        <v>51773.721280946986</v>
      </c>
      <c r="I121">
        <f t="shared" si="19"/>
        <v>0</v>
      </c>
      <c r="J121">
        <f t="shared" si="20"/>
        <v>51773.721280946986</v>
      </c>
      <c r="K121">
        <f t="shared" si="21"/>
        <v>51744.193422670825</v>
      </c>
      <c r="L121">
        <f t="shared" si="28"/>
        <v>51744.193422670825</v>
      </c>
      <c r="M121">
        <f t="shared" si="22"/>
        <v>51773.721280946986</v>
      </c>
      <c r="N121" s="29">
        <f t="shared" si="29"/>
        <v>0</v>
      </c>
      <c r="O121" s="29">
        <f t="shared" si="23"/>
        <v>0</v>
      </c>
      <c r="P121" s="29">
        <f t="shared" si="30"/>
        <v>51773.721280946986</v>
      </c>
      <c r="Q121">
        <f t="shared" si="31"/>
        <v>0</v>
      </c>
      <c r="R121" s="29">
        <f t="shared" si="32"/>
        <v>0</v>
      </c>
      <c r="S121" s="29">
        <f t="shared" si="24"/>
        <v>0</v>
      </c>
      <c r="T121" s="29">
        <f t="shared" si="33"/>
        <v>51773.721280946986</v>
      </c>
      <c r="U121">
        <f t="shared" si="34"/>
        <v>0</v>
      </c>
      <c r="V121" s="29">
        <f t="shared" si="35"/>
        <v>0</v>
      </c>
      <c r="W121" s="29">
        <f t="shared" si="25"/>
        <v>0</v>
      </c>
      <c r="X121" s="29">
        <f t="shared" si="36"/>
        <v>51773.721280946986</v>
      </c>
      <c r="Y121">
        <f t="shared" si="37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allocations'!$A$1:$L$317,5,FALSE)</f>
        <v>8780.2426009906594</v>
      </c>
      <c r="E122" s="31">
        <f>VLOOKUP(B122,'Initial adjusted formula count'!$A$1:$P$317,12,FALSE)</f>
        <v>0.18888888888888899</v>
      </c>
      <c r="F122">
        <f>VLOOKUP(B122,'Model allocations'!$A$1:$L$317,10,FALSE)</f>
        <v>8065.7069204252111</v>
      </c>
      <c r="G122" s="30">
        <f t="shared" si="26"/>
        <v>0.9</v>
      </c>
      <c r="H122">
        <f t="shared" si="27"/>
        <v>7902.2183408915935</v>
      </c>
      <c r="I122">
        <f t="shared" si="19"/>
        <v>0</v>
      </c>
      <c r="J122">
        <f t="shared" si="20"/>
        <v>8065.7069204252111</v>
      </c>
      <c r="K122">
        <f t="shared" si="21"/>
        <v>8061.1068444609791</v>
      </c>
      <c r="L122">
        <f t="shared" si="28"/>
        <v>8061.1068444609791</v>
      </c>
      <c r="M122">
        <f t="shared" si="22"/>
        <v>0</v>
      </c>
      <c r="N122" s="29">
        <f t="shared" si="29"/>
        <v>8061.1068444609791</v>
      </c>
      <c r="O122" s="29">
        <f t="shared" si="23"/>
        <v>8060.55870954692</v>
      </c>
      <c r="P122" s="29">
        <f t="shared" si="30"/>
        <v>8060.55870954692</v>
      </c>
      <c r="Q122">
        <f t="shared" si="31"/>
        <v>0</v>
      </c>
      <c r="R122" s="29">
        <f t="shared" si="32"/>
        <v>8060.55870954692</v>
      </c>
      <c r="S122" s="29">
        <f t="shared" si="24"/>
        <v>8060.5587095469218</v>
      </c>
      <c r="T122" s="29">
        <f t="shared" si="33"/>
        <v>8060.5587095469218</v>
      </c>
      <c r="U122">
        <f t="shared" si="34"/>
        <v>0</v>
      </c>
      <c r="V122" s="29">
        <f t="shared" si="35"/>
        <v>8060.5587095469218</v>
      </c>
      <c r="W122" s="29">
        <f t="shared" si="25"/>
        <v>8060.5587095469218</v>
      </c>
      <c r="X122" s="29">
        <f t="shared" si="36"/>
        <v>8060.5587095469218</v>
      </c>
      <c r="Y122">
        <f t="shared" si="37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allocations'!$A$1:$L$317,5,FALSE)</f>
        <v>67084.287510410722</v>
      </c>
      <c r="E123" s="31">
        <f>VLOOKUP(B123,'Initial adjusted formula count'!$A$1:$P$317,12,FALSE)</f>
        <v>0.134136546184739</v>
      </c>
      <c r="F123">
        <f>VLOOKUP(B123,'Model allocations'!$A$1:$L$317,10,FALSE)</f>
        <v>70032.654260067589</v>
      </c>
      <c r="G123" s="30">
        <f t="shared" si="26"/>
        <v>0.85</v>
      </c>
      <c r="H123">
        <f t="shared" si="27"/>
        <v>57021.64438384911</v>
      </c>
      <c r="I123">
        <f t="shared" si="19"/>
        <v>0</v>
      </c>
      <c r="J123">
        <f t="shared" si="20"/>
        <v>70032.654260067589</v>
      </c>
      <c r="K123">
        <f t="shared" si="21"/>
        <v>69992.712872071294</v>
      </c>
      <c r="L123">
        <f t="shared" si="28"/>
        <v>69992.712872071294</v>
      </c>
      <c r="M123">
        <f t="shared" si="22"/>
        <v>0</v>
      </c>
      <c r="N123" s="29">
        <f t="shared" si="29"/>
        <v>69992.712872071294</v>
      </c>
      <c r="O123" s="29">
        <f t="shared" si="23"/>
        <v>69987.953544302145</v>
      </c>
      <c r="P123" s="29">
        <f t="shared" si="30"/>
        <v>69987.953544302145</v>
      </c>
      <c r="Q123">
        <f t="shared" si="31"/>
        <v>0</v>
      </c>
      <c r="R123" s="29">
        <f t="shared" si="32"/>
        <v>69987.953544302145</v>
      </c>
      <c r="S123" s="29">
        <f t="shared" si="24"/>
        <v>69987.95354430216</v>
      </c>
      <c r="T123" s="29">
        <f t="shared" si="33"/>
        <v>69987.95354430216</v>
      </c>
      <c r="U123">
        <f t="shared" si="34"/>
        <v>0</v>
      </c>
      <c r="V123" s="29">
        <f t="shared" si="35"/>
        <v>69987.95354430216</v>
      </c>
      <c r="W123" s="29">
        <f t="shared" si="25"/>
        <v>69987.95354430216</v>
      </c>
      <c r="X123" s="29">
        <f t="shared" si="36"/>
        <v>69987.95354430216</v>
      </c>
      <c r="Y123">
        <f t="shared" si="37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allocations'!$A$1:$L$317,5,FALSE)</f>
        <v>239527.94681631314</v>
      </c>
      <c r="E124" s="31">
        <f>VLOOKUP(B124,'Initial adjusted formula count'!$A$1:$P$317,12,FALSE)</f>
        <v>6.6008517228029404E-2</v>
      </c>
      <c r="F124">
        <f>VLOOKUP(B124,'Model allocations'!$A$1:$L$317,10,FALSE)</f>
        <v>286001.61799620412</v>
      </c>
      <c r="G124" s="30">
        <f t="shared" si="26"/>
        <v>0.85</v>
      </c>
      <c r="H124">
        <f t="shared" si="27"/>
        <v>203598.75479386616</v>
      </c>
      <c r="I124">
        <f t="shared" si="19"/>
        <v>0</v>
      </c>
      <c r="J124">
        <f t="shared" si="20"/>
        <v>286001.61799620412</v>
      </c>
      <c r="K124">
        <f t="shared" si="21"/>
        <v>285838.50406438689</v>
      </c>
      <c r="L124">
        <f t="shared" si="28"/>
        <v>285838.50406438689</v>
      </c>
      <c r="M124">
        <f t="shared" si="22"/>
        <v>0</v>
      </c>
      <c r="N124" s="29">
        <f t="shared" si="29"/>
        <v>285838.50406438689</v>
      </c>
      <c r="O124" s="29">
        <f t="shared" si="23"/>
        <v>285819.06776774878</v>
      </c>
      <c r="P124" s="29">
        <f t="shared" si="30"/>
        <v>285819.06776774878</v>
      </c>
      <c r="Q124">
        <f t="shared" si="31"/>
        <v>0</v>
      </c>
      <c r="R124" s="29">
        <f t="shared" si="32"/>
        <v>285819.06776774878</v>
      </c>
      <c r="S124" s="29">
        <f t="shared" si="24"/>
        <v>285819.06776774884</v>
      </c>
      <c r="T124" s="29">
        <f t="shared" si="33"/>
        <v>285819.06776774884</v>
      </c>
      <c r="U124">
        <f t="shared" si="34"/>
        <v>0</v>
      </c>
      <c r="V124" s="29">
        <f t="shared" si="35"/>
        <v>285819.06776774884</v>
      </c>
      <c r="W124" s="29">
        <f t="shared" si="25"/>
        <v>285819.06776774884</v>
      </c>
      <c r="X124" s="29">
        <f t="shared" si="36"/>
        <v>285819.06776774884</v>
      </c>
      <c r="Y124">
        <f t="shared" si="37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allocations'!$A$1:$L$317,5,FALSE)</f>
        <v>0</v>
      </c>
      <c r="E125" s="31">
        <f>VLOOKUP(B125,'Initial adjusted formula count'!$A$1:$P$317,12,FALSE)</f>
        <v>4.0982919124430403E-2</v>
      </c>
      <c r="F125">
        <f>VLOOKUP(B125,'Model allocations'!$A$1:$L$317,10,FALSE)</f>
        <v>0</v>
      </c>
      <c r="G125" s="30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29">
        <f t="shared" si="29"/>
        <v>0</v>
      </c>
      <c r="O125" s="29">
        <f t="shared" si="23"/>
        <v>0</v>
      </c>
      <c r="P125" s="29">
        <f t="shared" si="30"/>
        <v>0</v>
      </c>
      <c r="Q125">
        <f t="shared" si="31"/>
        <v>0</v>
      </c>
      <c r="R125" s="29">
        <f t="shared" si="32"/>
        <v>0</v>
      </c>
      <c r="S125" s="29">
        <f t="shared" si="24"/>
        <v>0</v>
      </c>
      <c r="T125" s="29">
        <f t="shared" si="33"/>
        <v>0</v>
      </c>
      <c r="U125">
        <f t="shared" si="34"/>
        <v>0</v>
      </c>
      <c r="V125" s="29">
        <f t="shared" si="35"/>
        <v>0</v>
      </c>
      <c r="W125" s="29">
        <f t="shared" si="25"/>
        <v>0</v>
      </c>
      <c r="X125" s="29">
        <f t="shared" si="36"/>
        <v>0</v>
      </c>
      <c r="Y125">
        <f t="shared" si="37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allocations'!$A$1:$L$317,5,FALSE)</f>
        <v>146926.93644918178</v>
      </c>
      <c r="E126" s="31">
        <f>VLOOKUP(B126,'Initial adjusted formula count'!$A$1:$P$317,12,FALSE)</f>
        <v>0.12734785875281701</v>
      </c>
      <c r="F126">
        <f>VLOOKUP(B126,'Model allocations'!$A$1:$L$317,10,FALSE)</f>
        <v>142162.09457582582</v>
      </c>
      <c r="G126" s="30">
        <f t="shared" si="26"/>
        <v>0.85</v>
      </c>
      <c r="H126">
        <f t="shared" si="27"/>
        <v>124887.89598180451</v>
      </c>
      <c r="I126">
        <f t="shared" si="19"/>
        <v>0</v>
      </c>
      <c r="J126">
        <f t="shared" si="20"/>
        <v>142162.09457582582</v>
      </c>
      <c r="K126">
        <f t="shared" si="21"/>
        <v>142081.01594989319</v>
      </c>
      <c r="L126">
        <f t="shared" si="28"/>
        <v>142081.01594989319</v>
      </c>
      <c r="M126">
        <f t="shared" si="22"/>
        <v>0</v>
      </c>
      <c r="N126" s="29">
        <f t="shared" si="29"/>
        <v>142081.01594989319</v>
      </c>
      <c r="O126" s="29">
        <f t="shared" si="23"/>
        <v>142071.35479951149</v>
      </c>
      <c r="P126" s="29">
        <f t="shared" si="30"/>
        <v>142071.35479951149</v>
      </c>
      <c r="Q126">
        <f t="shared" si="31"/>
        <v>0</v>
      </c>
      <c r="R126" s="29">
        <f t="shared" si="32"/>
        <v>142071.35479951149</v>
      </c>
      <c r="S126" s="29">
        <f t="shared" si="24"/>
        <v>142071.35479951155</v>
      </c>
      <c r="T126" s="29">
        <f t="shared" si="33"/>
        <v>142071.35479951155</v>
      </c>
      <c r="U126">
        <f t="shared" si="34"/>
        <v>0</v>
      </c>
      <c r="V126" s="29">
        <f t="shared" si="35"/>
        <v>142071.35479951155</v>
      </c>
      <c r="W126" s="29">
        <f t="shared" si="25"/>
        <v>142071.35479951155</v>
      </c>
      <c r="X126" s="29">
        <f t="shared" si="36"/>
        <v>142071.35479951155</v>
      </c>
      <c r="Y126">
        <f t="shared" si="37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allocations'!$A$1:$L$317,5,FALSE)</f>
        <v>0</v>
      </c>
      <c r="E127" s="31">
        <f>VLOOKUP(B127,'Initial adjusted formula count'!$A$1:$P$317,12,FALSE)</f>
        <v>0.35714285714285698</v>
      </c>
      <c r="F127">
        <f>VLOOKUP(B127,'Model allocations'!$A$1:$L$317,10,FALSE)</f>
        <v>7653.8981390875661</v>
      </c>
      <c r="G127" s="30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7653.8981390875661</v>
      </c>
      <c r="K127">
        <f t="shared" si="21"/>
        <v>7649.5329280515507</v>
      </c>
      <c r="L127">
        <f t="shared" si="28"/>
        <v>7649.5329280515507</v>
      </c>
      <c r="M127">
        <f t="shared" si="22"/>
        <v>0</v>
      </c>
      <c r="N127" s="29">
        <f t="shared" si="29"/>
        <v>7649.5329280515507</v>
      </c>
      <c r="O127" s="29">
        <f t="shared" si="23"/>
        <v>7649.0127791247323</v>
      </c>
      <c r="P127" s="29">
        <f t="shared" si="30"/>
        <v>7649.0127791247323</v>
      </c>
      <c r="Q127">
        <f t="shared" si="31"/>
        <v>0</v>
      </c>
      <c r="R127" s="29">
        <f t="shared" si="32"/>
        <v>7649.0127791247323</v>
      </c>
      <c r="S127" s="29">
        <f t="shared" si="24"/>
        <v>7649.0127791247351</v>
      </c>
      <c r="T127" s="29">
        <f t="shared" si="33"/>
        <v>7649.0127791247351</v>
      </c>
      <c r="U127">
        <f t="shared" si="34"/>
        <v>0</v>
      </c>
      <c r="V127" s="29">
        <f t="shared" si="35"/>
        <v>7649.0127791247351</v>
      </c>
      <c r="W127" s="29">
        <f t="shared" si="25"/>
        <v>7649.0127791247351</v>
      </c>
      <c r="X127" s="29">
        <f t="shared" si="36"/>
        <v>7649.0127791247351</v>
      </c>
      <c r="Y127">
        <f t="shared" si="37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allocations'!$A$1:$L$317,5,FALSE)</f>
        <v>31690.123547862735</v>
      </c>
      <c r="E128" s="31">
        <f>VLOOKUP(B128,'Initial adjusted formula count'!$A$1:$P$317,12,FALSE)</f>
        <v>4.20168067226891E-2</v>
      </c>
      <c r="F128">
        <f>VLOOKUP(B128,'Model allocations'!$A$1:$L$317,10,FALSE)</f>
        <v>0</v>
      </c>
      <c r="G128" s="30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29">
        <f t="shared" si="29"/>
        <v>0</v>
      </c>
      <c r="O128" s="29">
        <f t="shared" si="23"/>
        <v>0</v>
      </c>
      <c r="P128" s="29">
        <f t="shared" si="30"/>
        <v>0</v>
      </c>
      <c r="Q128">
        <f t="shared" si="31"/>
        <v>0</v>
      </c>
      <c r="R128" s="29">
        <f t="shared" si="32"/>
        <v>0</v>
      </c>
      <c r="S128" s="29">
        <f t="shared" si="24"/>
        <v>0</v>
      </c>
      <c r="T128" s="29">
        <f t="shared" si="33"/>
        <v>0</v>
      </c>
      <c r="U128">
        <f t="shared" si="34"/>
        <v>0</v>
      </c>
      <c r="V128" s="29">
        <f t="shared" si="35"/>
        <v>0</v>
      </c>
      <c r="W128" s="29">
        <f t="shared" si="25"/>
        <v>0</v>
      </c>
      <c r="X128" s="29">
        <f t="shared" si="36"/>
        <v>0</v>
      </c>
      <c r="Y128">
        <f t="shared" si="37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allocations'!$A$1:$L$317,5,FALSE)</f>
        <v>47625.224370874421</v>
      </c>
      <c r="E129" s="31">
        <f>VLOOKUP(B129,'Initial adjusted formula count'!$A$1:$P$317,12,FALSE)</f>
        <v>0.16611295681063101</v>
      </c>
      <c r="F129">
        <f>VLOOKUP(B129,'Model allocations'!$A$1:$L$317,10,FALSE)</f>
        <v>42862.701933786979</v>
      </c>
      <c r="G129" s="30">
        <f t="shared" si="26"/>
        <v>0.9</v>
      </c>
      <c r="H129">
        <f t="shared" si="27"/>
        <v>42862.701933786979</v>
      </c>
      <c r="I129">
        <f t="shared" si="19"/>
        <v>0</v>
      </c>
      <c r="J129">
        <f t="shared" si="20"/>
        <v>42862.701933786979</v>
      </c>
      <c r="K129">
        <f t="shared" si="21"/>
        <v>42838.256254459309</v>
      </c>
      <c r="L129">
        <f t="shared" si="28"/>
        <v>42838.256254459309</v>
      </c>
      <c r="M129">
        <f t="shared" si="22"/>
        <v>42862.701933786979</v>
      </c>
      <c r="N129" s="29">
        <f t="shared" si="29"/>
        <v>0</v>
      </c>
      <c r="O129" s="29">
        <f t="shared" si="23"/>
        <v>0</v>
      </c>
      <c r="P129" s="29">
        <f t="shared" si="30"/>
        <v>42862.701933786979</v>
      </c>
      <c r="Q129">
        <f t="shared" si="31"/>
        <v>0</v>
      </c>
      <c r="R129" s="29">
        <f t="shared" si="32"/>
        <v>0</v>
      </c>
      <c r="S129" s="29">
        <f t="shared" si="24"/>
        <v>0</v>
      </c>
      <c r="T129" s="29">
        <f t="shared" si="33"/>
        <v>42862.701933786979</v>
      </c>
      <c r="U129">
        <f t="shared" si="34"/>
        <v>0</v>
      </c>
      <c r="V129" s="29">
        <f t="shared" si="35"/>
        <v>0</v>
      </c>
      <c r="W129" s="29">
        <f t="shared" si="25"/>
        <v>0</v>
      </c>
      <c r="X129" s="29">
        <f t="shared" si="36"/>
        <v>42862.701933786979</v>
      </c>
      <c r="Y129">
        <f t="shared" si="37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allocations'!$A$1:$L$317,5,FALSE)</f>
        <v>693067.11759221891</v>
      </c>
      <c r="E130" s="31">
        <f>VLOOKUP(B130,'Initial adjusted formula count'!$A$1:$P$317,12,FALSE)</f>
        <v>0.18699631197923799</v>
      </c>
      <c r="F130">
        <f>VLOOKUP(B130,'Model allocations'!$A$1:$L$317,10,FALSE)</f>
        <v>716262.11662392516</v>
      </c>
      <c r="G130" s="30">
        <f t="shared" si="26"/>
        <v>0.9</v>
      </c>
      <c r="H130">
        <f t="shared" si="27"/>
        <v>623760.40583299706</v>
      </c>
      <c r="I130">
        <f t="shared" si="19"/>
        <v>0</v>
      </c>
      <c r="J130">
        <f t="shared" si="20"/>
        <v>716262.11662392516</v>
      </c>
      <c r="K130">
        <f t="shared" si="21"/>
        <v>715853.61428441806</v>
      </c>
      <c r="L130">
        <f t="shared" si="28"/>
        <v>715853.61428441806</v>
      </c>
      <c r="M130">
        <f t="shared" si="22"/>
        <v>0</v>
      </c>
      <c r="N130" s="29">
        <f t="shared" si="29"/>
        <v>715853.61428441806</v>
      </c>
      <c r="O130" s="29">
        <f t="shared" si="23"/>
        <v>715804.93804591685</v>
      </c>
      <c r="P130" s="29">
        <f t="shared" si="30"/>
        <v>715804.93804591685</v>
      </c>
      <c r="Q130">
        <f t="shared" si="31"/>
        <v>0</v>
      </c>
      <c r="R130" s="29">
        <f t="shared" si="32"/>
        <v>715804.93804591685</v>
      </c>
      <c r="S130" s="29">
        <f t="shared" si="24"/>
        <v>715804.93804591708</v>
      </c>
      <c r="T130" s="29">
        <f t="shared" si="33"/>
        <v>715804.93804591708</v>
      </c>
      <c r="U130">
        <f t="shared" si="34"/>
        <v>0</v>
      </c>
      <c r="V130" s="29">
        <f t="shared" si="35"/>
        <v>715804.93804591708</v>
      </c>
      <c r="W130" s="29">
        <f t="shared" si="25"/>
        <v>715804.93804591708</v>
      </c>
      <c r="X130" s="29">
        <f t="shared" si="36"/>
        <v>715804.93804591708</v>
      </c>
      <c r="Y130">
        <f t="shared" si="37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allocations'!$A$1:$L$317,5,FALSE)</f>
        <v>28981.183879583838</v>
      </c>
      <c r="E131" s="31">
        <f>VLOOKUP(B131,'Initial adjusted formula count'!$A$1:$P$317,12,FALSE)</f>
        <v>0.22957198443579799</v>
      </c>
      <c r="F131">
        <f>VLOOKUP(B131,'Model allocations'!$A$1:$L$317,10,FALSE)</f>
        <v>31389.946130647113</v>
      </c>
      <c r="G131" s="30">
        <f t="shared" si="26"/>
        <v>0.9</v>
      </c>
      <c r="H131">
        <f t="shared" si="27"/>
        <v>26083.065491625453</v>
      </c>
      <c r="I131">
        <f t="shared" si="19"/>
        <v>0</v>
      </c>
      <c r="J131">
        <f t="shared" si="20"/>
        <v>31389.946130647113</v>
      </c>
      <c r="K131">
        <f t="shared" si="21"/>
        <v>31372.043653140961</v>
      </c>
      <c r="L131">
        <f t="shared" si="28"/>
        <v>31372.043653140961</v>
      </c>
      <c r="M131">
        <f t="shared" si="22"/>
        <v>0</v>
      </c>
      <c r="N131" s="29">
        <f t="shared" si="29"/>
        <v>31372.043653140961</v>
      </c>
      <c r="O131" s="29">
        <f t="shared" si="23"/>
        <v>31369.910433375549</v>
      </c>
      <c r="P131" s="29">
        <f t="shared" si="30"/>
        <v>31369.910433375549</v>
      </c>
      <c r="Q131">
        <f t="shared" si="31"/>
        <v>0</v>
      </c>
      <c r="R131" s="29">
        <f t="shared" si="32"/>
        <v>31369.910433375549</v>
      </c>
      <c r="S131" s="29">
        <f t="shared" si="24"/>
        <v>31369.91043337556</v>
      </c>
      <c r="T131" s="29">
        <f t="shared" si="33"/>
        <v>31369.91043337556</v>
      </c>
      <c r="U131">
        <f t="shared" si="34"/>
        <v>0</v>
      </c>
      <c r="V131" s="29">
        <f t="shared" si="35"/>
        <v>31369.91043337556</v>
      </c>
      <c r="W131" s="29">
        <f t="shared" si="25"/>
        <v>31369.91043337556</v>
      </c>
      <c r="X131" s="29">
        <f t="shared" si="36"/>
        <v>31369.91043337556</v>
      </c>
      <c r="Y131">
        <f t="shared" si="37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allocations'!$A$1:$L$317,5,FALSE)</f>
        <v>23320.887004640317</v>
      </c>
      <c r="E132" s="31">
        <f>VLOOKUP(B132,'Initial adjusted formula count'!$A$1:$P$317,12,FALSE)</f>
        <v>0.17142857142857101</v>
      </c>
      <c r="F132">
        <f>VLOOKUP(B132,'Model allocations'!$A$1:$L$317,10,FALSE)</f>
        <v>21505.476501585556</v>
      </c>
      <c r="G132" s="30">
        <f t="shared" si="26"/>
        <v>0.9</v>
      </c>
      <c r="H132">
        <f t="shared" si="27"/>
        <v>20988.798304176285</v>
      </c>
      <c r="I132">
        <f t="shared" ref="I132:I195" si="38">IF(F132&lt;H132,H132,0)</f>
        <v>0</v>
      </c>
      <c r="J132">
        <f t="shared" ref="J132:J195" si="39">IF(I132=0,F132,0)</f>
        <v>21505.476501585556</v>
      </c>
      <c r="K132">
        <f t="shared" ref="K132:K195" si="40">(J132/$J$3)*($F$3-$I$3)</f>
        <v>21493.211386260846</v>
      </c>
      <c r="L132">
        <f t="shared" si="28"/>
        <v>21493.211386260846</v>
      </c>
      <c r="M132">
        <f t="shared" ref="M132:M195" si="41">IF(L132&lt;H132,H132,0)</f>
        <v>0</v>
      </c>
      <c r="N132" s="29">
        <f t="shared" si="29"/>
        <v>21493.211386260846</v>
      </c>
      <c r="O132" s="29">
        <f t="shared" ref="O132:O195" si="42">((N132/$N$3)*($F$3-$I$3-$M$3))</f>
        <v>21491.749902149124</v>
      </c>
      <c r="P132" s="29">
        <f t="shared" si="30"/>
        <v>21491.749902149124</v>
      </c>
      <c r="Q132">
        <f t="shared" si="31"/>
        <v>0</v>
      </c>
      <c r="R132" s="29">
        <f t="shared" si="32"/>
        <v>21491.749902149124</v>
      </c>
      <c r="S132" s="29">
        <f t="shared" ref="S132:S195" si="43">((R132/$R$3)*($F$3-$I$3-$M$3-$Q$3))</f>
        <v>21491.749902149131</v>
      </c>
      <c r="T132" s="29">
        <f t="shared" si="33"/>
        <v>21491.749902149131</v>
      </c>
      <c r="U132">
        <f t="shared" si="34"/>
        <v>0</v>
      </c>
      <c r="V132" s="29">
        <f t="shared" si="35"/>
        <v>21491.749902149131</v>
      </c>
      <c r="W132" s="29">
        <f t="shared" ref="W132:W195" si="44">((V132/$V$3)*($F$3-$I$3-$M$3-$Q$3-$U$3))</f>
        <v>21491.749902149131</v>
      </c>
      <c r="X132" s="29">
        <f t="shared" si="36"/>
        <v>21491.749902149131</v>
      </c>
      <c r="Y132">
        <f t="shared" si="37"/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allocations'!$A$1:$L$317,5,FALSE)</f>
        <v>0</v>
      </c>
      <c r="E133" s="31">
        <f>VLOOKUP(B133,'Initial adjusted formula count'!$A$1:$P$317,12,FALSE)</f>
        <v>0.20320371091916001</v>
      </c>
      <c r="F133">
        <f>VLOOKUP(B133,'Model allocations'!$A$1:$L$317,10,FALSE)</f>
        <v>0</v>
      </c>
      <c r="G133" s="30">
        <f t="shared" ref="G133:G196" si="45">IF(E133&lt;0.15,0.85,IF(AND(E133&gt;=0.15,E133&lt;0.3),0.9,0.95))</f>
        <v>0.9</v>
      </c>
      <c r="H133">
        <f t="shared" ref="H133:H196" si="4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ref="L133:L196" si="47">I133+K133</f>
        <v>0</v>
      </c>
      <c r="M133">
        <f t="shared" si="41"/>
        <v>0</v>
      </c>
      <c r="N133" s="29">
        <f t="shared" ref="N133:N196" si="48">IF($I133+$M133=0,L133,0)</f>
        <v>0</v>
      </c>
      <c r="O133" s="29">
        <f t="shared" si="42"/>
        <v>0</v>
      </c>
      <c r="P133" s="29">
        <f t="shared" ref="P133:P196" si="49">$I133+$M133+O133</f>
        <v>0</v>
      </c>
      <c r="Q133">
        <f t="shared" ref="Q133:Q196" si="50">IF(P133&lt;H133,H133,0)</f>
        <v>0</v>
      </c>
      <c r="R133" s="29">
        <f t="shared" ref="R133:R196" si="51">IF($I133+$M133+$Q133=0,P133,0)</f>
        <v>0</v>
      </c>
      <c r="S133" s="29">
        <f t="shared" si="43"/>
        <v>0</v>
      </c>
      <c r="T133" s="29">
        <f t="shared" ref="T133:T196" si="52">$I133+$M133+$Q133+S133</f>
        <v>0</v>
      </c>
      <c r="U133">
        <f t="shared" ref="U133:U196" si="53">IF(T133&lt;H133,H133,0)</f>
        <v>0</v>
      </c>
      <c r="V133" s="29">
        <f t="shared" ref="V133:V196" si="54">IF($I133+$M133+$Q133+U133=0,T133,0)</f>
        <v>0</v>
      </c>
      <c r="W133" s="29">
        <f t="shared" si="44"/>
        <v>0</v>
      </c>
      <c r="X133" s="29">
        <f t="shared" ref="X133:X196" si="55">$I133+$M133+$Q133+$U133+W133</f>
        <v>0</v>
      </c>
      <c r="Y133">
        <f t="shared" ref="Y133:Y196" si="56">IF(X133&lt;H133,H133,0)</f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allocations'!$A$1:$L$317,5,FALSE)</f>
        <v>43381.81107452741</v>
      </c>
      <c r="E134" s="31">
        <f>VLOOKUP(B134,'Initial adjusted formula count'!$A$1:$P$317,12,FALSE)</f>
        <v>0.21531100478468901</v>
      </c>
      <c r="F134">
        <f>VLOOKUP(B134,'Model allocations'!$A$1:$L$317,10,FALSE)</f>
        <v>45565.970683472384</v>
      </c>
      <c r="G134" s="30">
        <f t="shared" si="45"/>
        <v>0.9</v>
      </c>
      <c r="H134">
        <f t="shared" si="46"/>
        <v>39043.629967074667</v>
      </c>
      <c r="I134">
        <f t="shared" si="38"/>
        <v>0</v>
      </c>
      <c r="J134">
        <f t="shared" si="39"/>
        <v>45565.970683472384</v>
      </c>
      <c r="K134">
        <f t="shared" si="40"/>
        <v>45539.983261837071</v>
      </c>
      <c r="L134">
        <f t="shared" si="47"/>
        <v>45539.983261837071</v>
      </c>
      <c r="M134">
        <f t="shared" si="41"/>
        <v>0</v>
      </c>
      <c r="N134" s="29">
        <f t="shared" si="48"/>
        <v>45539.983261837071</v>
      </c>
      <c r="O134" s="29">
        <f t="shared" si="42"/>
        <v>45536.886657947165</v>
      </c>
      <c r="P134" s="29">
        <f t="shared" si="49"/>
        <v>45536.886657947165</v>
      </c>
      <c r="Q134">
        <f t="shared" si="50"/>
        <v>0</v>
      </c>
      <c r="R134" s="29">
        <f t="shared" si="51"/>
        <v>45536.886657947165</v>
      </c>
      <c r="S134" s="29">
        <f t="shared" si="43"/>
        <v>45536.88665794718</v>
      </c>
      <c r="T134" s="29">
        <f t="shared" si="52"/>
        <v>45536.88665794718</v>
      </c>
      <c r="U134">
        <f t="shared" si="53"/>
        <v>0</v>
      </c>
      <c r="V134" s="29">
        <f t="shared" si="54"/>
        <v>45536.88665794718</v>
      </c>
      <c r="W134" s="29">
        <f t="shared" si="44"/>
        <v>45536.88665794718</v>
      </c>
      <c r="X134" s="29">
        <f t="shared" si="55"/>
        <v>45536.88665794718</v>
      </c>
      <c r="Y134">
        <f t="shared" si="56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allocations'!$A$1:$L$317,5,FALSE)</f>
        <v>140202.62868930915</v>
      </c>
      <c r="E135" s="31">
        <f>VLOOKUP(B135,'Initial adjusted formula count'!$A$1:$P$317,12,FALSE)</f>
        <v>8.0220032088012802E-2</v>
      </c>
      <c r="F135">
        <f>VLOOKUP(B135,'Model allocations'!$A$1:$L$317,10,FALSE)</f>
        <v>146775.02389834524</v>
      </c>
      <c r="G135" s="30">
        <f t="shared" si="45"/>
        <v>0.85</v>
      </c>
      <c r="H135">
        <f t="shared" si="46"/>
        <v>119172.23438591277</v>
      </c>
      <c r="I135">
        <f t="shared" si="38"/>
        <v>0</v>
      </c>
      <c r="J135">
        <f t="shared" si="39"/>
        <v>146775.02389834524</v>
      </c>
      <c r="K135">
        <f t="shared" si="40"/>
        <v>146691.31440254464</v>
      </c>
      <c r="L135">
        <f t="shared" si="47"/>
        <v>146691.31440254464</v>
      </c>
      <c r="M135">
        <f t="shared" si="41"/>
        <v>0</v>
      </c>
      <c r="N135" s="29">
        <f t="shared" si="48"/>
        <v>146691.31440254464</v>
      </c>
      <c r="O135" s="29">
        <f t="shared" si="42"/>
        <v>146681.33976350748</v>
      </c>
      <c r="P135" s="29">
        <f t="shared" si="49"/>
        <v>146681.33976350748</v>
      </c>
      <c r="Q135">
        <f t="shared" si="50"/>
        <v>0</v>
      </c>
      <c r="R135" s="29">
        <f t="shared" si="51"/>
        <v>146681.33976350748</v>
      </c>
      <c r="S135" s="29">
        <f t="shared" si="43"/>
        <v>146681.33976350751</v>
      </c>
      <c r="T135" s="29">
        <f t="shared" si="52"/>
        <v>146681.33976350751</v>
      </c>
      <c r="U135">
        <f t="shared" si="53"/>
        <v>0</v>
      </c>
      <c r="V135" s="29">
        <f t="shared" si="54"/>
        <v>146681.33976350751</v>
      </c>
      <c r="W135" s="29">
        <f t="shared" si="44"/>
        <v>146681.33976350751</v>
      </c>
      <c r="X135" s="29">
        <f t="shared" si="55"/>
        <v>146681.33976350751</v>
      </c>
      <c r="Y135">
        <f t="shared" si="56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allocations'!$A$1:$L$317,5,FALSE)</f>
        <v>106939.86526243553</v>
      </c>
      <c r="E136" s="31">
        <f>VLOOKUP(B136,'Initial adjusted formula count'!$A$1:$P$317,12,FALSE)</f>
        <v>0.15584415584415601</v>
      </c>
      <c r="F136">
        <f>VLOOKUP(B136,'Model allocations'!$A$1:$L$317,10,FALSE)</f>
        <v>96245.878736191982</v>
      </c>
      <c r="G136" s="30">
        <f t="shared" si="45"/>
        <v>0.9</v>
      </c>
      <c r="H136">
        <f t="shared" si="46"/>
        <v>96245.878736191982</v>
      </c>
      <c r="I136">
        <f t="shared" si="38"/>
        <v>0</v>
      </c>
      <c r="J136">
        <f t="shared" si="39"/>
        <v>96245.878736191982</v>
      </c>
      <c r="K136">
        <f t="shared" si="40"/>
        <v>96190.987285535666</v>
      </c>
      <c r="L136">
        <f t="shared" si="47"/>
        <v>96190.987285535666</v>
      </c>
      <c r="M136">
        <f t="shared" si="41"/>
        <v>96245.878736191982</v>
      </c>
      <c r="N136" s="29">
        <f t="shared" si="48"/>
        <v>0</v>
      </c>
      <c r="O136" s="29">
        <f t="shared" si="42"/>
        <v>0</v>
      </c>
      <c r="P136" s="29">
        <f t="shared" si="49"/>
        <v>96245.878736191982</v>
      </c>
      <c r="Q136">
        <f t="shared" si="50"/>
        <v>0</v>
      </c>
      <c r="R136" s="29">
        <f t="shared" si="51"/>
        <v>0</v>
      </c>
      <c r="S136" s="29">
        <f t="shared" si="43"/>
        <v>0</v>
      </c>
      <c r="T136" s="29">
        <f t="shared" si="52"/>
        <v>96245.878736191982</v>
      </c>
      <c r="U136">
        <f t="shared" si="53"/>
        <v>0</v>
      </c>
      <c r="V136" s="29">
        <f t="shared" si="54"/>
        <v>0</v>
      </c>
      <c r="W136" s="29">
        <f t="shared" si="44"/>
        <v>0</v>
      </c>
      <c r="X136" s="29">
        <f t="shared" si="55"/>
        <v>96245.878736191982</v>
      </c>
      <c r="Y136">
        <f t="shared" si="56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allocations'!$A$1:$L$317,5,FALSE)</f>
        <v>15187.479207103177</v>
      </c>
      <c r="E137" s="31">
        <f>VLOOKUP(B137,'Initial adjusted formula count'!$A$1:$P$317,12,FALSE)</f>
        <v>0.127906976744186</v>
      </c>
      <c r="F137">
        <f>VLOOKUP(B137,'Model allocations'!$A$1:$L$317,10,FALSE)</f>
        <v>12909.3573260377</v>
      </c>
      <c r="G137" s="30">
        <f t="shared" si="45"/>
        <v>0.85</v>
      </c>
      <c r="H137">
        <f t="shared" si="46"/>
        <v>12909.3573260377</v>
      </c>
      <c r="I137">
        <f t="shared" si="38"/>
        <v>0</v>
      </c>
      <c r="J137">
        <f t="shared" si="39"/>
        <v>12909.3573260377</v>
      </c>
      <c r="K137">
        <f t="shared" si="40"/>
        <v>12901.994794156109</v>
      </c>
      <c r="L137">
        <f t="shared" si="47"/>
        <v>12901.994794156109</v>
      </c>
      <c r="M137">
        <f t="shared" si="41"/>
        <v>12909.3573260377</v>
      </c>
      <c r="N137" s="29">
        <f t="shared" si="48"/>
        <v>0</v>
      </c>
      <c r="O137" s="29">
        <f t="shared" si="42"/>
        <v>0</v>
      </c>
      <c r="P137" s="29">
        <f t="shared" si="49"/>
        <v>12909.3573260377</v>
      </c>
      <c r="Q137">
        <f t="shared" si="50"/>
        <v>0</v>
      </c>
      <c r="R137" s="29">
        <f t="shared" si="51"/>
        <v>0</v>
      </c>
      <c r="S137" s="29">
        <f t="shared" si="43"/>
        <v>0</v>
      </c>
      <c r="T137" s="29">
        <f t="shared" si="52"/>
        <v>12909.3573260377</v>
      </c>
      <c r="U137">
        <f t="shared" si="53"/>
        <v>0</v>
      </c>
      <c r="V137" s="29">
        <f t="shared" si="54"/>
        <v>0</v>
      </c>
      <c r="W137" s="29">
        <f t="shared" si="44"/>
        <v>0</v>
      </c>
      <c r="X137" s="29">
        <f t="shared" si="55"/>
        <v>12909.3573260377</v>
      </c>
      <c r="Y137">
        <f t="shared" si="56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allocations'!$A$1:$L$317,5,FALSE)</f>
        <v>57140.317723135166</v>
      </c>
      <c r="E138" s="31">
        <f>VLOOKUP(B138,'Initial adjusted formula count'!$A$1:$P$317,12,FALSE)</f>
        <v>0.167752442996743</v>
      </c>
      <c r="F138">
        <f>VLOOKUP(B138,'Model allocations'!$A$1:$L$317,10,FALSE)</f>
        <v>51426.28595082165</v>
      </c>
      <c r="G138" s="30">
        <f t="shared" si="45"/>
        <v>0.9</v>
      </c>
      <c r="H138">
        <f t="shared" si="46"/>
        <v>51426.28595082165</v>
      </c>
      <c r="I138">
        <f t="shared" si="38"/>
        <v>0</v>
      </c>
      <c r="J138">
        <f t="shared" si="39"/>
        <v>51426.28595082165</v>
      </c>
      <c r="K138">
        <f t="shared" si="40"/>
        <v>51396.956243671855</v>
      </c>
      <c r="L138">
        <f t="shared" si="47"/>
        <v>51396.956243671855</v>
      </c>
      <c r="M138">
        <f t="shared" si="41"/>
        <v>51426.28595082165</v>
      </c>
      <c r="N138" s="29">
        <f t="shared" si="48"/>
        <v>0</v>
      </c>
      <c r="O138" s="29">
        <f t="shared" si="42"/>
        <v>0</v>
      </c>
      <c r="P138" s="29">
        <f t="shared" si="49"/>
        <v>51426.28595082165</v>
      </c>
      <c r="Q138">
        <f t="shared" si="50"/>
        <v>0</v>
      </c>
      <c r="R138" s="29">
        <f t="shared" si="51"/>
        <v>0</v>
      </c>
      <c r="S138" s="29">
        <f t="shared" si="43"/>
        <v>0</v>
      </c>
      <c r="T138" s="29">
        <f t="shared" si="52"/>
        <v>51426.28595082165</v>
      </c>
      <c r="U138">
        <f t="shared" si="53"/>
        <v>0</v>
      </c>
      <c r="V138" s="29">
        <f t="shared" si="54"/>
        <v>0</v>
      </c>
      <c r="W138" s="29">
        <f t="shared" si="44"/>
        <v>0</v>
      </c>
      <c r="X138" s="29">
        <f t="shared" si="55"/>
        <v>51426.28595082165</v>
      </c>
      <c r="Y138">
        <f t="shared" si="56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allocations'!$A$1:$L$317,5,FALSE)</f>
        <v>22525.324704684172</v>
      </c>
      <c r="E139" s="31">
        <f>VLOOKUP(B139,'Initial adjusted formula count'!$A$1:$P$317,12,FALSE)</f>
        <v>0.120192307692308</v>
      </c>
      <c r="F139">
        <f>VLOOKUP(B139,'Model allocations'!$A$1:$L$317,10,FALSE)</f>
        <v>19146.525998981546</v>
      </c>
      <c r="G139" s="30">
        <f t="shared" si="45"/>
        <v>0.85</v>
      </c>
      <c r="H139">
        <f t="shared" si="46"/>
        <v>19146.525998981546</v>
      </c>
      <c r="I139">
        <f t="shared" si="38"/>
        <v>0</v>
      </c>
      <c r="J139">
        <f t="shared" si="39"/>
        <v>19146.525998981546</v>
      </c>
      <c r="K139">
        <f t="shared" si="40"/>
        <v>19135.606252589143</v>
      </c>
      <c r="L139">
        <f t="shared" si="47"/>
        <v>19135.606252589143</v>
      </c>
      <c r="M139">
        <f t="shared" si="41"/>
        <v>19146.525998981546</v>
      </c>
      <c r="N139" s="29">
        <f t="shared" si="48"/>
        <v>0</v>
      </c>
      <c r="O139" s="29">
        <f t="shared" si="42"/>
        <v>0</v>
      </c>
      <c r="P139" s="29">
        <f t="shared" si="49"/>
        <v>19146.525998981546</v>
      </c>
      <c r="Q139">
        <f t="shared" si="50"/>
        <v>0</v>
      </c>
      <c r="R139" s="29">
        <f t="shared" si="51"/>
        <v>0</v>
      </c>
      <c r="S139" s="29">
        <f t="shared" si="43"/>
        <v>0</v>
      </c>
      <c r="T139" s="29">
        <f t="shared" si="52"/>
        <v>19146.525998981546</v>
      </c>
      <c r="U139">
        <f t="shared" si="53"/>
        <v>0</v>
      </c>
      <c r="V139" s="29">
        <f t="shared" si="54"/>
        <v>0</v>
      </c>
      <c r="W139" s="29">
        <f t="shared" si="44"/>
        <v>0</v>
      </c>
      <c r="X139" s="29">
        <f t="shared" si="55"/>
        <v>19146.525998981546</v>
      </c>
      <c r="Y139">
        <f t="shared" si="56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allocations'!$A$1:$L$317,5,FALSE)</f>
        <v>75763.265762064344</v>
      </c>
      <c r="E140" s="31">
        <f>VLOOKUP(B140,'Initial adjusted formula count'!$A$1:$P$317,12,FALSE)</f>
        <v>0.18012422360248401</v>
      </c>
      <c r="F140">
        <f>VLOOKUP(B140,'Model allocations'!$A$1:$L$317,10,FALSE)</f>
        <v>68186.939185857918</v>
      </c>
      <c r="G140" s="30">
        <f t="shared" si="45"/>
        <v>0.9</v>
      </c>
      <c r="H140">
        <f t="shared" si="46"/>
        <v>68186.939185857918</v>
      </c>
      <c r="I140">
        <f t="shared" si="38"/>
        <v>0</v>
      </c>
      <c r="J140">
        <f t="shared" si="39"/>
        <v>68186.939185857918</v>
      </c>
      <c r="K140">
        <f t="shared" si="40"/>
        <v>68148.050455692297</v>
      </c>
      <c r="L140">
        <f t="shared" si="47"/>
        <v>68148.050455692297</v>
      </c>
      <c r="M140">
        <f t="shared" si="41"/>
        <v>68186.939185857918</v>
      </c>
      <c r="N140" s="29">
        <f t="shared" si="48"/>
        <v>0</v>
      </c>
      <c r="O140" s="29">
        <f t="shared" si="42"/>
        <v>0</v>
      </c>
      <c r="P140" s="29">
        <f t="shared" si="49"/>
        <v>68186.939185857918</v>
      </c>
      <c r="Q140">
        <f t="shared" si="50"/>
        <v>0</v>
      </c>
      <c r="R140" s="29">
        <f t="shared" si="51"/>
        <v>0</v>
      </c>
      <c r="S140" s="29">
        <f t="shared" si="43"/>
        <v>0</v>
      </c>
      <c r="T140" s="29">
        <f t="shared" si="52"/>
        <v>68186.939185857918</v>
      </c>
      <c r="U140">
        <f t="shared" si="53"/>
        <v>0</v>
      </c>
      <c r="V140" s="29">
        <f t="shared" si="54"/>
        <v>0</v>
      </c>
      <c r="W140" s="29">
        <f t="shared" si="44"/>
        <v>0</v>
      </c>
      <c r="X140" s="29">
        <f t="shared" si="55"/>
        <v>68186.939185857918</v>
      </c>
      <c r="Y140">
        <f t="shared" si="56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allocations'!$A$1:$L$317,5,FALSE)</f>
        <v>786902.80809757882</v>
      </c>
      <c r="E141" s="31">
        <f>VLOOKUP(B141,'Initial adjusted formula count'!$A$1:$P$317,12,FALSE)</f>
        <v>0.114197530864198</v>
      </c>
      <c r="F141">
        <f>VLOOKUP(B141,'Model allocations'!$A$1:$L$317,10,FALSE)</f>
        <v>762810.76706025715</v>
      </c>
      <c r="G141" s="30">
        <f t="shared" si="45"/>
        <v>0.85</v>
      </c>
      <c r="H141">
        <f t="shared" si="46"/>
        <v>668867.38688294194</v>
      </c>
      <c r="I141">
        <f t="shared" si="38"/>
        <v>0</v>
      </c>
      <c r="J141">
        <f t="shared" si="39"/>
        <v>762810.76706025715</v>
      </c>
      <c r="K141">
        <f t="shared" si="40"/>
        <v>762375.71685208194</v>
      </c>
      <c r="L141">
        <f t="shared" si="47"/>
        <v>762375.71685208194</v>
      </c>
      <c r="M141">
        <f t="shared" si="41"/>
        <v>0</v>
      </c>
      <c r="N141" s="29">
        <f t="shared" si="48"/>
        <v>762375.71685208194</v>
      </c>
      <c r="O141" s="29">
        <f t="shared" si="42"/>
        <v>762323.87722805748</v>
      </c>
      <c r="P141" s="29">
        <f t="shared" si="49"/>
        <v>762323.87722805748</v>
      </c>
      <c r="Q141">
        <f t="shared" si="50"/>
        <v>0</v>
      </c>
      <c r="R141" s="29">
        <f t="shared" si="51"/>
        <v>762323.87722805748</v>
      </c>
      <c r="S141" s="29">
        <f t="shared" si="43"/>
        <v>762323.87722805771</v>
      </c>
      <c r="T141" s="29">
        <f t="shared" si="52"/>
        <v>762323.87722805771</v>
      </c>
      <c r="U141">
        <f t="shared" si="53"/>
        <v>0</v>
      </c>
      <c r="V141" s="29">
        <f t="shared" si="54"/>
        <v>762323.87722805771</v>
      </c>
      <c r="W141" s="29">
        <f t="shared" si="44"/>
        <v>762323.87722805771</v>
      </c>
      <c r="X141" s="29">
        <f t="shared" si="55"/>
        <v>762323.87722805771</v>
      </c>
      <c r="Y141">
        <f t="shared" si="56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allocations'!$A$1:$L$317,5,FALSE)</f>
        <v>30867.003455710452</v>
      </c>
      <c r="E142" s="31">
        <f>VLOOKUP(B142,'Initial adjusted formula count'!$A$1:$P$317,12,FALSE)</f>
        <v>8.2024432809773104E-2</v>
      </c>
      <c r="F142">
        <f>VLOOKUP(B142,'Model allocations'!$A$1:$L$317,10,FALSE)</f>
        <v>26236.952937353883</v>
      </c>
      <c r="G142" s="30">
        <f t="shared" si="45"/>
        <v>0.85</v>
      </c>
      <c r="H142">
        <f t="shared" si="46"/>
        <v>26236.952937353883</v>
      </c>
      <c r="I142">
        <f t="shared" si="38"/>
        <v>0</v>
      </c>
      <c r="J142">
        <f t="shared" si="39"/>
        <v>26236.952937353883</v>
      </c>
      <c r="K142">
        <f t="shared" si="40"/>
        <v>26221.989341754321</v>
      </c>
      <c r="L142">
        <f t="shared" si="47"/>
        <v>26221.989341754321</v>
      </c>
      <c r="M142">
        <f t="shared" si="41"/>
        <v>26236.952937353883</v>
      </c>
      <c r="N142" s="29">
        <f t="shared" si="48"/>
        <v>0</v>
      </c>
      <c r="O142" s="29">
        <f t="shared" si="42"/>
        <v>0</v>
      </c>
      <c r="P142" s="29">
        <f t="shared" si="49"/>
        <v>26236.952937353883</v>
      </c>
      <c r="Q142">
        <f t="shared" si="50"/>
        <v>0</v>
      </c>
      <c r="R142" s="29">
        <f t="shared" si="51"/>
        <v>0</v>
      </c>
      <c r="S142" s="29">
        <f t="shared" si="43"/>
        <v>0</v>
      </c>
      <c r="T142" s="29">
        <f t="shared" si="52"/>
        <v>26236.952937353883</v>
      </c>
      <c r="U142">
        <f t="shared" si="53"/>
        <v>0</v>
      </c>
      <c r="V142" s="29">
        <f t="shared" si="54"/>
        <v>0</v>
      </c>
      <c r="W142" s="29">
        <f t="shared" si="44"/>
        <v>0</v>
      </c>
      <c r="X142" s="29">
        <f t="shared" si="55"/>
        <v>26236.952937353883</v>
      </c>
      <c r="Y142">
        <f t="shared" si="56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allocations'!$A$1:$L$317,5,FALSE)</f>
        <v>494900.95540655777</v>
      </c>
      <c r="E143" s="31">
        <f>VLOOKUP(B143,'Initial adjusted formula count'!$A$1:$P$317,12,FALSE)</f>
        <v>7.4355584930601404E-2</v>
      </c>
      <c r="F143">
        <f>VLOOKUP(B143,'Model allocations'!$A$1:$L$317,10,FALSE)</f>
        <v>421244.3185882509</v>
      </c>
      <c r="G143" s="30">
        <f t="shared" si="45"/>
        <v>0.85</v>
      </c>
      <c r="H143">
        <f t="shared" si="46"/>
        <v>420665.8120955741</v>
      </c>
      <c r="I143">
        <f t="shared" si="38"/>
        <v>0</v>
      </c>
      <c r="J143">
        <f t="shared" si="39"/>
        <v>421244.3185882509</v>
      </c>
      <c r="K143">
        <f t="shared" si="40"/>
        <v>421004.07233530306</v>
      </c>
      <c r="L143">
        <f t="shared" si="47"/>
        <v>421004.07233530306</v>
      </c>
      <c r="M143">
        <f t="shared" si="41"/>
        <v>0</v>
      </c>
      <c r="N143" s="29">
        <f t="shared" si="48"/>
        <v>421004.07233530306</v>
      </c>
      <c r="O143" s="29">
        <f t="shared" si="42"/>
        <v>420975.44512126647</v>
      </c>
      <c r="P143" s="29">
        <f t="shared" si="49"/>
        <v>420975.44512126647</v>
      </c>
      <c r="Q143">
        <f t="shared" si="50"/>
        <v>0</v>
      </c>
      <c r="R143" s="29">
        <f t="shared" si="51"/>
        <v>420975.44512126647</v>
      </c>
      <c r="S143" s="29">
        <f t="shared" si="43"/>
        <v>420975.44512126665</v>
      </c>
      <c r="T143" s="29">
        <f t="shared" si="52"/>
        <v>420975.44512126665</v>
      </c>
      <c r="U143">
        <f t="shared" si="53"/>
        <v>0</v>
      </c>
      <c r="V143" s="29">
        <f t="shared" si="54"/>
        <v>420975.44512126665</v>
      </c>
      <c r="W143" s="29">
        <f t="shared" si="44"/>
        <v>420975.44512126665</v>
      </c>
      <c r="X143" s="29">
        <f t="shared" si="55"/>
        <v>420975.44512126665</v>
      </c>
      <c r="Y143">
        <f t="shared" si="56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allocations'!$A$1:$L$317,5,FALSE)</f>
        <v>86427.609675989283</v>
      </c>
      <c r="E144" s="31">
        <f>VLOOKUP(B144,'Initial adjusted formula count'!$A$1:$P$317,12,FALSE)</f>
        <v>9.3715545755236995E-2</v>
      </c>
      <c r="F144">
        <f>VLOOKUP(B144,'Model allocations'!$A$1:$L$317,10,FALSE)</f>
        <v>73463.468224590892</v>
      </c>
      <c r="G144" s="30">
        <f t="shared" si="45"/>
        <v>0.85</v>
      </c>
      <c r="H144">
        <f t="shared" si="46"/>
        <v>73463.468224590892</v>
      </c>
      <c r="I144">
        <f t="shared" si="38"/>
        <v>0</v>
      </c>
      <c r="J144">
        <f t="shared" si="39"/>
        <v>73463.468224590892</v>
      </c>
      <c r="K144">
        <f t="shared" si="40"/>
        <v>73421.570156912116</v>
      </c>
      <c r="L144">
        <f t="shared" si="47"/>
        <v>73421.570156912116</v>
      </c>
      <c r="M144">
        <f t="shared" si="41"/>
        <v>73463.468224590892</v>
      </c>
      <c r="N144" s="29">
        <f t="shared" si="48"/>
        <v>0</v>
      </c>
      <c r="O144" s="29">
        <f t="shared" si="42"/>
        <v>0</v>
      </c>
      <c r="P144" s="29">
        <f t="shared" si="49"/>
        <v>73463.468224590892</v>
      </c>
      <c r="Q144">
        <f t="shared" si="50"/>
        <v>0</v>
      </c>
      <c r="R144" s="29">
        <f t="shared" si="51"/>
        <v>0</v>
      </c>
      <c r="S144" s="29">
        <f t="shared" si="43"/>
        <v>0</v>
      </c>
      <c r="T144" s="29">
        <f t="shared" si="52"/>
        <v>73463.468224590892</v>
      </c>
      <c r="U144">
        <f t="shared" si="53"/>
        <v>0</v>
      </c>
      <c r="V144" s="29">
        <f t="shared" si="54"/>
        <v>0</v>
      </c>
      <c r="W144" s="29">
        <f t="shared" si="44"/>
        <v>0</v>
      </c>
      <c r="X144" s="29">
        <f t="shared" si="55"/>
        <v>73463.468224590892</v>
      </c>
      <c r="Y144">
        <f t="shared" si="56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allocations'!$A$1:$L$317,5,FALSE)</f>
        <v>0</v>
      </c>
      <c r="E145" s="31">
        <f>VLOOKUP(B145,'Initial adjusted formula count'!$A$1:$P$317,12,FALSE)</f>
        <v>3.06122448979592E-2</v>
      </c>
      <c r="F145">
        <f>VLOOKUP(B145,'Model allocations'!$A$1:$L$317,10,FALSE)</f>
        <v>0</v>
      </c>
      <c r="G145" s="30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29">
        <f t="shared" si="48"/>
        <v>0</v>
      </c>
      <c r="O145" s="29">
        <f t="shared" si="42"/>
        <v>0</v>
      </c>
      <c r="P145" s="29">
        <f t="shared" si="49"/>
        <v>0</v>
      </c>
      <c r="Q145">
        <f t="shared" si="50"/>
        <v>0</v>
      </c>
      <c r="R145" s="29">
        <f t="shared" si="51"/>
        <v>0</v>
      </c>
      <c r="S145" s="29">
        <f t="shared" si="43"/>
        <v>0</v>
      </c>
      <c r="T145" s="29">
        <f t="shared" si="52"/>
        <v>0</v>
      </c>
      <c r="U145">
        <f t="shared" si="53"/>
        <v>0</v>
      </c>
      <c r="V145" s="29">
        <f t="shared" si="54"/>
        <v>0</v>
      </c>
      <c r="W145" s="29">
        <f t="shared" si="44"/>
        <v>0</v>
      </c>
      <c r="X145" s="29">
        <f t="shared" si="55"/>
        <v>0</v>
      </c>
      <c r="Y145">
        <f t="shared" si="56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allocations'!$A$1:$L$317,5,FALSE)</f>
        <v>85604.489583837028</v>
      </c>
      <c r="E146" s="31">
        <f>VLOOKUP(B146,'Initial adjusted formula count'!$A$1:$P$317,12,FALSE)</f>
        <v>0.12697483908718499</v>
      </c>
      <c r="F146">
        <f>VLOOKUP(B146,'Model allocations'!$A$1:$L$317,10,FALSE)</f>
        <v>91000.514816974086</v>
      </c>
      <c r="G146" s="30">
        <f t="shared" si="45"/>
        <v>0.85</v>
      </c>
      <c r="H146">
        <f t="shared" si="46"/>
        <v>72763.816146261466</v>
      </c>
      <c r="I146">
        <f t="shared" si="38"/>
        <v>0</v>
      </c>
      <c r="J146">
        <f t="shared" si="39"/>
        <v>91000.514816974086</v>
      </c>
      <c r="K146">
        <f t="shared" si="40"/>
        <v>90948.614929577685</v>
      </c>
      <c r="L146">
        <f t="shared" si="47"/>
        <v>90948.614929577685</v>
      </c>
      <c r="M146">
        <f t="shared" si="41"/>
        <v>0</v>
      </c>
      <c r="N146" s="29">
        <f t="shared" si="48"/>
        <v>90948.614929577685</v>
      </c>
      <c r="O146" s="29">
        <f t="shared" si="42"/>
        <v>90942.430653374657</v>
      </c>
      <c r="P146" s="29">
        <f t="shared" si="49"/>
        <v>90942.430653374657</v>
      </c>
      <c r="Q146">
        <f t="shared" si="50"/>
        <v>0</v>
      </c>
      <c r="R146" s="29">
        <f t="shared" si="51"/>
        <v>90942.430653374657</v>
      </c>
      <c r="S146" s="29">
        <f t="shared" si="43"/>
        <v>90942.430653374686</v>
      </c>
      <c r="T146" s="29">
        <f t="shared" si="52"/>
        <v>90942.430653374686</v>
      </c>
      <c r="U146">
        <f t="shared" si="53"/>
        <v>0</v>
      </c>
      <c r="V146" s="29">
        <f t="shared" si="54"/>
        <v>90942.430653374686</v>
      </c>
      <c r="W146" s="29">
        <f t="shared" si="44"/>
        <v>90942.430653374686</v>
      </c>
      <c r="X146" s="29">
        <f t="shared" si="55"/>
        <v>90942.430653374686</v>
      </c>
      <c r="Y146">
        <f t="shared" si="56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allocations'!$A$1:$L$317,5,FALSE)</f>
        <v>34128.880920257703</v>
      </c>
      <c r="E147" s="31">
        <f>VLOOKUP(B147,'Initial adjusted formula count'!$A$1:$P$317,12,FALSE)</f>
        <v>0.154121863799283</v>
      </c>
      <c r="F147">
        <f>VLOOKUP(B147,'Model allocations'!$A$1:$L$317,10,FALSE)</f>
        <v>54097.080236818678</v>
      </c>
      <c r="G147" s="30">
        <f t="shared" si="45"/>
        <v>0.9</v>
      </c>
      <c r="H147">
        <f t="shared" si="46"/>
        <v>30715.992828231934</v>
      </c>
      <c r="I147">
        <f t="shared" si="38"/>
        <v>0</v>
      </c>
      <c r="J147">
        <f t="shared" si="39"/>
        <v>54097.080236818678</v>
      </c>
      <c r="K147">
        <f t="shared" si="40"/>
        <v>54066.227308366448</v>
      </c>
      <c r="L147">
        <f t="shared" si="47"/>
        <v>54066.227308366448</v>
      </c>
      <c r="M147">
        <f t="shared" si="41"/>
        <v>0</v>
      </c>
      <c r="N147" s="29">
        <f t="shared" si="48"/>
        <v>54066.227308366448</v>
      </c>
      <c r="O147" s="29">
        <f t="shared" si="42"/>
        <v>54062.550941407048</v>
      </c>
      <c r="P147" s="29">
        <f t="shared" si="49"/>
        <v>54062.550941407048</v>
      </c>
      <c r="Q147">
        <f t="shared" si="50"/>
        <v>0</v>
      </c>
      <c r="R147" s="29">
        <f t="shared" si="51"/>
        <v>54062.550941407048</v>
      </c>
      <c r="S147" s="29">
        <f t="shared" si="43"/>
        <v>54062.550941407069</v>
      </c>
      <c r="T147" s="29">
        <f t="shared" si="52"/>
        <v>54062.550941407069</v>
      </c>
      <c r="U147">
        <f t="shared" si="53"/>
        <v>0</v>
      </c>
      <c r="V147" s="29">
        <f t="shared" si="54"/>
        <v>54062.550941407069</v>
      </c>
      <c r="W147" s="29">
        <f t="shared" si="44"/>
        <v>54062.550941407069</v>
      </c>
      <c r="X147" s="29">
        <f t="shared" si="55"/>
        <v>54062.550941407069</v>
      </c>
      <c r="Y147">
        <f t="shared" si="56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allocations'!$A$1:$L$317,5,FALSE)</f>
        <v>9911.2096076078942</v>
      </c>
      <c r="E148" s="31">
        <f>VLOOKUP(B148,'Initial adjusted formula count'!$A$1:$P$317,12,FALSE)</f>
        <v>0.17808219178082199</v>
      </c>
      <c r="F148">
        <f>VLOOKUP(B148,'Model allocations'!$A$1:$L$317,10,FALSE)</f>
        <v>8920.0886468471053</v>
      </c>
      <c r="G148" s="30">
        <f t="shared" si="45"/>
        <v>0.9</v>
      </c>
      <c r="H148">
        <f t="shared" si="46"/>
        <v>8920.0886468471053</v>
      </c>
      <c r="I148">
        <f t="shared" si="38"/>
        <v>0</v>
      </c>
      <c r="J148">
        <f t="shared" si="39"/>
        <v>8920.0886468471053</v>
      </c>
      <c r="K148">
        <f t="shared" si="40"/>
        <v>8915.0012954483991</v>
      </c>
      <c r="L148">
        <f t="shared" si="47"/>
        <v>8915.0012954483991</v>
      </c>
      <c r="M148">
        <f t="shared" si="41"/>
        <v>8920.0886468471053</v>
      </c>
      <c r="N148" s="29">
        <f t="shared" si="48"/>
        <v>0</v>
      </c>
      <c r="O148" s="29">
        <f t="shared" si="42"/>
        <v>0</v>
      </c>
      <c r="P148" s="29">
        <f t="shared" si="49"/>
        <v>8920.0886468471053</v>
      </c>
      <c r="Q148">
        <f t="shared" si="50"/>
        <v>0</v>
      </c>
      <c r="R148" s="29">
        <f t="shared" si="51"/>
        <v>0</v>
      </c>
      <c r="S148" s="29">
        <f t="shared" si="43"/>
        <v>0</v>
      </c>
      <c r="T148" s="29">
        <f t="shared" si="52"/>
        <v>8920.0886468471053</v>
      </c>
      <c r="U148">
        <f t="shared" si="53"/>
        <v>0</v>
      </c>
      <c r="V148" s="29">
        <f t="shared" si="54"/>
        <v>0</v>
      </c>
      <c r="W148" s="29">
        <f t="shared" si="44"/>
        <v>0</v>
      </c>
      <c r="X148" s="29">
        <f t="shared" si="55"/>
        <v>8920.0886468471053</v>
      </c>
      <c r="Y148">
        <f t="shared" si="56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allocations'!$A$1:$L$317,5,FALSE)</f>
        <v>179028.6200431207</v>
      </c>
      <c r="E149" s="31">
        <f>VLOOKUP(B149,'Initial adjusted formula count'!$A$1:$P$317,12,FALSE)</f>
        <v>6.8399044205495793E-2</v>
      </c>
      <c r="F149">
        <f>VLOOKUP(B149,'Model allocations'!$A$1:$L$317,10,FALSE)</f>
        <v>192065.60270126321</v>
      </c>
      <c r="G149" s="30">
        <f t="shared" si="45"/>
        <v>0.85</v>
      </c>
      <c r="H149">
        <f t="shared" si="46"/>
        <v>152174.3270366526</v>
      </c>
      <c r="I149">
        <f t="shared" si="38"/>
        <v>0</v>
      </c>
      <c r="J149">
        <f t="shared" si="39"/>
        <v>192065.60270126321</v>
      </c>
      <c r="K149">
        <f t="shared" si="40"/>
        <v>191956.06284675837</v>
      </c>
      <c r="L149">
        <f t="shared" si="47"/>
        <v>191956.06284675837</v>
      </c>
      <c r="M149">
        <f t="shared" si="41"/>
        <v>0</v>
      </c>
      <c r="N149" s="29">
        <f t="shared" si="48"/>
        <v>191956.06284675837</v>
      </c>
      <c r="O149" s="29">
        <f t="shared" si="42"/>
        <v>191943.01031910407</v>
      </c>
      <c r="P149" s="29">
        <f t="shared" si="49"/>
        <v>191943.01031910407</v>
      </c>
      <c r="Q149">
        <f t="shared" si="50"/>
        <v>0</v>
      </c>
      <c r="R149" s="29">
        <f t="shared" si="51"/>
        <v>191943.01031910407</v>
      </c>
      <c r="S149" s="29">
        <f t="shared" si="43"/>
        <v>191943.01031910416</v>
      </c>
      <c r="T149" s="29">
        <f t="shared" si="52"/>
        <v>191943.01031910416</v>
      </c>
      <c r="U149">
        <f t="shared" si="53"/>
        <v>0</v>
      </c>
      <c r="V149" s="29">
        <f t="shared" si="54"/>
        <v>191943.01031910416</v>
      </c>
      <c r="W149" s="29">
        <f t="shared" si="44"/>
        <v>191943.01031910416</v>
      </c>
      <c r="X149" s="29">
        <f t="shared" si="55"/>
        <v>191943.01031910416</v>
      </c>
      <c r="Y149">
        <f t="shared" si="56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allocations'!$A$1:$L$317,5,FALSE)</f>
        <v>89255.891468629154</v>
      </c>
      <c r="E150" s="31">
        <f>VLOOKUP(B150,'Initial adjusted formula count'!$A$1:$P$317,12,FALSE)</f>
        <v>9.4988780852655205E-2</v>
      </c>
      <c r="F150">
        <f>VLOOKUP(B150,'Model allocations'!$A$1:$L$317,10,FALSE)</f>
        <v>75867.507748334785</v>
      </c>
      <c r="G150" s="30">
        <f t="shared" si="45"/>
        <v>0.85</v>
      </c>
      <c r="H150">
        <f t="shared" si="46"/>
        <v>75867.507748334785</v>
      </c>
      <c r="I150">
        <f t="shared" si="38"/>
        <v>0</v>
      </c>
      <c r="J150">
        <f t="shared" si="39"/>
        <v>75867.507748334785</v>
      </c>
      <c r="K150">
        <f t="shared" si="40"/>
        <v>75824.238596318421</v>
      </c>
      <c r="L150">
        <f t="shared" si="47"/>
        <v>75824.238596318421</v>
      </c>
      <c r="M150">
        <f t="shared" si="41"/>
        <v>75867.507748334785</v>
      </c>
      <c r="N150" s="29">
        <f t="shared" si="48"/>
        <v>0</v>
      </c>
      <c r="O150" s="29">
        <f t="shared" si="42"/>
        <v>0</v>
      </c>
      <c r="P150" s="29">
        <f t="shared" si="49"/>
        <v>75867.507748334785</v>
      </c>
      <c r="Q150">
        <f t="shared" si="50"/>
        <v>0</v>
      </c>
      <c r="R150" s="29">
        <f t="shared" si="51"/>
        <v>0</v>
      </c>
      <c r="S150" s="29">
        <f t="shared" si="43"/>
        <v>0</v>
      </c>
      <c r="T150" s="29">
        <f t="shared" si="52"/>
        <v>75867.507748334785</v>
      </c>
      <c r="U150">
        <f t="shared" si="53"/>
        <v>0</v>
      </c>
      <c r="V150" s="29">
        <f t="shared" si="54"/>
        <v>0</v>
      </c>
      <c r="W150" s="29">
        <f t="shared" si="44"/>
        <v>0</v>
      </c>
      <c r="X150" s="29">
        <f t="shared" si="55"/>
        <v>75867.507748334785</v>
      </c>
      <c r="Y150">
        <f t="shared" si="56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allocations'!$A$1:$L$317,5,FALSE)</f>
        <v>25605.606656467629</v>
      </c>
      <c r="E151" s="31">
        <f>VLOOKUP(B151,'Initial adjusted formula count'!$A$1:$P$317,12,FALSE)</f>
        <v>0.124629080118694</v>
      </c>
      <c r="F151">
        <f>VLOOKUP(B151,'Model allocations'!$A$1:$L$317,10,FALSE)</f>
        <v>21764.765657997483</v>
      </c>
      <c r="G151" s="30">
        <f t="shared" si="45"/>
        <v>0.85</v>
      </c>
      <c r="H151">
        <f t="shared" si="46"/>
        <v>21764.765657997483</v>
      </c>
      <c r="I151">
        <f t="shared" si="38"/>
        <v>0</v>
      </c>
      <c r="J151">
        <f t="shared" si="39"/>
        <v>21764.765657997483</v>
      </c>
      <c r="K151">
        <f t="shared" si="40"/>
        <v>21752.352663531121</v>
      </c>
      <c r="L151">
        <f t="shared" si="47"/>
        <v>21752.352663531121</v>
      </c>
      <c r="M151">
        <f t="shared" si="41"/>
        <v>21764.765657997483</v>
      </c>
      <c r="N151" s="29">
        <f t="shared" si="48"/>
        <v>0</v>
      </c>
      <c r="O151" s="29">
        <f t="shared" si="42"/>
        <v>0</v>
      </c>
      <c r="P151" s="29">
        <f t="shared" si="49"/>
        <v>21764.765657997483</v>
      </c>
      <c r="Q151">
        <f t="shared" si="50"/>
        <v>0</v>
      </c>
      <c r="R151" s="29">
        <f t="shared" si="51"/>
        <v>0</v>
      </c>
      <c r="S151" s="29">
        <f t="shared" si="43"/>
        <v>0</v>
      </c>
      <c r="T151" s="29">
        <f t="shared" si="52"/>
        <v>21764.765657997483</v>
      </c>
      <c r="U151">
        <f t="shared" si="53"/>
        <v>0</v>
      </c>
      <c r="V151" s="29">
        <f t="shared" si="54"/>
        <v>0</v>
      </c>
      <c r="W151" s="29">
        <f t="shared" si="44"/>
        <v>0</v>
      </c>
      <c r="X151" s="29">
        <f t="shared" si="55"/>
        <v>21764.765657997483</v>
      </c>
      <c r="Y151">
        <f t="shared" si="56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allocations'!$A$1:$L$317,5,FALSE)</f>
        <v>708500.61932007421</v>
      </c>
      <c r="E152" s="31">
        <f>VLOOKUP(B152,'Initial adjusted formula count'!$A$1:$P$317,12,FALSE)</f>
        <v>0.16554054054054099</v>
      </c>
      <c r="F152">
        <f>VLOOKUP(B152,'Model allocations'!$A$1:$L$317,10,FALSE)</f>
        <v>872262.99916730914</v>
      </c>
      <c r="G152" s="30">
        <f t="shared" si="45"/>
        <v>0.9</v>
      </c>
      <c r="H152">
        <f t="shared" si="46"/>
        <v>637650.55738806678</v>
      </c>
      <c r="I152">
        <f t="shared" si="38"/>
        <v>0</v>
      </c>
      <c r="J152">
        <f t="shared" si="39"/>
        <v>872262.99916730914</v>
      </c>
      <c r="K152">
        <f t="shared" si="40"/>
        <v>871765.52559226542</v>
      </c>
      <c r="L152">
        <f t="shared" si="47"/>
        <v>871765.52559226542</v>
      </c>
      <c r="M152">
        <f t="shared" si="41"/>
        <v>0</v>
      </c>
      <c r="N152" s="29">
        <f t="shared" si="48"/>
        <v>871765.52559226542</v>
      </c>
      <c r="O152" s="29">
        <f t="shared" si="42"/>
        <v>871706.24773741607</v>
      </c>
      <c r="P152" s="29">
        <f t="shared" si="49"/>
        <v>871706.24773741607</v>
      </c>
      <c r="Q152">
        <f t="shared" si="50"/>
        <v>0</v>
      </c>
      <c r="R152" s="29">
        <f t="shared" si="51"/>
        <v>871706.24773741607</v>
      </c>
      <c r="S152" s="29">
        <f t="shared" si="43"/>
        <v>871706.2477374163</v>
      </c>
      <c r="T152" s="29">
        <f t="shared" si="52"/>
        <v>871706.2477374163</v>
      </c>
      <c r="U152">
        <f t="shared" si="53"/>
        <v>0</v>
      </c>
      <c r="V152" s="29">
        <f t="shared" si="54"/>
        <v>871706.2477374163</v>
      </c>
      <c r="W152" s="29">
        <f t="shared" si="44"/>
        <v>871706.2477374163</v>
      </c>
      <c r="X152" s="29">
        <f t="shared" si="55"/>
        <v>871706.2477374163</v>
      </c>
      <c r="Y152">
        <f t="shared" si="56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allocations'!$A$1:$L$317,5,FALSE)</f>
        <v>55693.066821108448</v>
      </c>
      <c r="E153" s="31">
        <f>VLOOKUP(B153,'Initial adjusted formula count'!$A$1:$P$317,12,FALSE)</f>
        <v>9.6045197740112997E-2</v>
      </c>
      <c r="F153">
        <f>VLOOKUP(B153,'Model allocations'!$A$1:$L$317,10,FALSE)</f>
        <v>47339.106797942179</v>
      </c>
      <c r="G153" s="30">
        <f t="shared" si="45"/>
        <v>0.85</v>
      </c>
      <c r="H153">
        <f t="shared" si="46"/>
        <v>47339.106797942179</v>
      </c>
      <c r="I153">
        <f t="shared" si="38"/>
        <v>0</v>
      </c>
      <c r="J153">
        <f t="shared" si="39"/>
        <v>47339.106797942179</v>
      </c>
      <c r="K153">
        <f t="shared" si="40"/>
        <v>47312.108112086382</v>
      </c>
      <c r="L153">
        <f t="shared" si="47"/>
        <v>47312.108112086382</v>
      </c>
      <c r="M153">
        <f t="shared" si="41"/>
        <v>47339.106797942179</v>
      </c>
      <c r="N153" s="29">
        <f t="shared" si="48"/>
        <v>0</v>
      </c>
      <c r="O153" s="29">
        <f t="shared" si="42"/>
        <v>0</v>
      </c>
      <c r="P153" s="29">
        <f t="shared" si="49"/>
        <v>47339.106797942179</v>
      </c>
      <c r="Q153">
        <f t="shared" si="50"/>
        <v>0</v>
      </c>
      <c r="R153" s="29">
        <f t="shared" si="51"/>
        <v>0</v>
      </c>
      <c r="S153" s="29">
        <f t="shared" si="43"/>
        <v>0</v>
      </c>
      <c r="T153" s="29">
        <f t="shared" si="52"/>
        <v>47339.106797942179</v>
      </c>
      <c r="U153">
        <f t="shared" si="53"/>
        <v>0</v>
      </c>
      <c r="V153" s="29">
        <f t="shared" si="54"/>
        <v>0</v>
      </c>
      <c r="W153" s="29">
        <f t="shared" si="44"/>
        <v>0</v>
      </c>
      <c r="X153" s="29">
        <f t="shared" si="55"/>
        <v>47339.106797942179</v>
      </c>
      <c r="Y153">
        <f t="shared" si="56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allocations'!$A$1:$L$317,5,FALSE)</f>
        <v>157582.37008810914</v>
      </c>
      <c r="E154" s="31">
        <f>VLOOKUP(B154,'Initial adjusted formula count'!$A$1:$P$317,12,FALSE)</f>
        <v>0.1312625250501</v>
      </c>
      <c r="F154">
        <f>VLOOKUP(B154,'Model allocations'!$A$1:$L$317,10,FALSE)</f>
        <v>133945.01457489276</v>
      </c>
      <c r="G154" s="30">
        <f t="shared" si="45"/>
        <v>0.85</v>
      </c>
      <c r="H154">
        <f t="shared" si="46"/>
        <v>133945.01457489276</v>
      </c>
      <c r="I154">
        <f t="shared" si="38"/>
        <v>0</v>
      </c>
      <c r="J154">
        <f t="shared" si="39"/>
        <v>133945.01457489276</v>
      </c>
      <c r="K154">
        <f t="shared" si="40"/>
        <v>133868.62235680778</v>
      </c>
      <c r="L154">
        <f t="shared" si="47"/>
        <v>133868.62235680778</v>
      </c>
      <c r="M154">
        <f t="shared" si="41"/>
        <v>133945.01457489276</v>
      </c>
      <c r="N154" s="29">
        <f t="shared" si="48"/>
        <v>0</v>
      </c>
      <c r="O154" s="29">
        <f t="shared" si="42"/>
        <v>0</v>
      </c>
      <c r="P154" s="29">
        <f t="shared" si="49"/>
        <v>133945.01457489276</v>
      </c>
      <c r="Q154">
        <f t="shared" si="50"/>
        <v>0</v>
      </c>
      <c r="R154" s="29">
        <f t="shared" si="51"/>
        <v>0</v>
      </c>
      <c r="S154" s="29">
        <f t="shared" si="43"/>
        <v>0</v>
      </c>
      <c r="T154" s="29">
        <f t="shared" si="52"/>
        <v>133945.01457489276</v>
      </c>
      <c r="U154">
        <f t="shared" si="53"/>
        <v>0</v>
      </c>
      <c r="V154" s="29">
        <f t="shared" si="54"/>
        <v>0</v>
      </c>
      <c r="W154" s="29">
        <f t="shared" si="44"/>
        <v>0</v>
      </c>
      <c r="X154" s="29">
        <f t="shared" si="55"/>
        <v>133945.01457489276</v>
      </c>
      <c r="Y154">
        <f t="shared" si="56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allocations'!$A$1:$L$317,5,FALSE)</f>
        <v>150916.49630401793</v>
      </c>
      <c r="E155" s="31">
        <f>VLOOKUP(B155,'Initial adjusted formula count'!$A$1:$P$317,12,FALSE)</f>
        <v>0.111839410077837</v>
      </c>
      <c r="F155">
        <f>VLOOKUP(B155,'Model allocations'!$A$1:$L$317,10,FALSE)</f>
        <v>128279.02185841523</v>
      </c>
      <c r="G155" s="30">
        <f t="shared" si="45"/>
        <v>0.85</v>
      </c>
      <c r="H155">
        <f t="shared" si="46"/>
        <v>128279.02185841523</v>
      </c>
      <c r="I155">
        <f t="shared" si="38"/>
        <v>0</v>
      </c>
      <c r="J155">
        <f t="shared" si="39"/>
        <v>128279.02185841523</v>
      </c>
      <c r="K155">
        <f t="shared" si="40"/>
        <v>128205.86109879578</v>
      </c>
      <c r="L155">
        <f t="shared" si="47"/>
        <v>128205.86109879578</v>
      </c>
      <c r="M155">
        <f t="shared" si="41"/>
        <v>128279.02185841523</v>
      </c>
      <c r="N155" s="29">
        <f t="shared" si="48"/>
        <v>0</v>
      </c>
      <c r="O155" s="29">
        <f t="shared" si="42"/>
        <v>0</v>
      </c>
      <c r="P155" s="29">
        <f t="shared" si="49"/>
        <v>128279.02185841523</v>
      </c>
      <c r="Q155">
        <f t="shared" si="50"/>
        <v>0</v>
      </c>
      <c r="R155" s="29">
        <f t="shared" si="51"/>
        <v>0</v>
      </c>
      <c r="S155" s="29">
        <f t="shared" si="43"/>
        <v>0</v>
      </c>
      <c r="T155" s="29">
        <f t="shared" si="52"/>
        <v>128279.02185841523</v>
      </c>
      <c r="U155">
        <f t="shared" si="53"/>
        <v>0</v>
      </c>
      <c r="V155" s="29">
        <f t="shared" si="54"/>
        <v>0</v>
      </c>
      <c r="W155" s="29">
        <f t="shared" si="44"/>
        <v>0</v>
      </c>
      <c r="X155" s="29">
        <f t="shared" si="55"/>
        <v>128279.02185841523</v>
      </c>
      <c r="Y155">
        <f t="shared" si="56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allocations'!$A$1:$L$317,5,FALSE)</f>
        <v>0</v>
      </c>
      <c r="E156" s="31">
        <f>VLOOKUP(B156,'Initial adjusted formula count'!$A$1:$P$317,12,FALSE)</f>
        <v>4.8780487804878002E-2</v>
      </c>
      <c r="F156">
        <f>VLOOKUP(B156,'Model allocations'!$A$1:$L$317,10,FALSE)</f>
        <v>0</v>
      </c>
      <c r="G156" s="30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29">
        <f t="shared" si="48"/>
        <v>0</v>
      </c>
      <c r="O156" s="29">
        <f t="shared" si="42"/>
        <v>0</v>
      </c>
      <c r="P156" s="29">
        <f t="shared" si="49"/>
        <v>0</v>
      </c>
      <c r="Q156">
        <f t="shared" si="50"/>
        <v>0</v>
      </c>
      <c r="R156" s="29">
        <f t="shared" si="51"/>
        <v>0</v>
      </c>
      <c r="S156" s="29">
        <f t="shared" si="43"/>
        <v>0</v>
      </c>
      <c r="T156" s="29">
        <f t="shared" si="52"/>
        <v>0</v>
      </c>
      <c r="U156">
        <f t="shared" si="53"/>
        <v>0</v>
      </c>
      <c r="V156" s="29">
        <f t="shared" si="54"/>
        <v>0</v>
      </c>
      <c r="W156" s="29">
        <f t="shared" si="44"/>
        <v>0</v>
      </c>
      <c r="X156" s="29">
        <f t="shared" si="55"/>
        <v>0</v>
      </c>
      <c r="Y156">
        <f t="shared" si="56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allocations'!$A$1:$L$317,5,FALSE)</f>
        <v>433166.94849513663</v>
      </c>
      <c r="E157" s="31">
        <f>VLOOKUP(B157,'Initial adjusted formula count'!$A$1:$P$317,12,FALSE)</f>
        <v>0.13442136498516299</v>
      </c>
      <c r="F157">
        <f>VLOOKUP(B157,'Model allocations'!$A$1:$L$317,10,FALSE)</f>
        <v>425018.53348849405</v>
      </c>
      <c r="G157" s="30">
        <f t="shared" si="45"/>
        <v>0.85</v>
      </c>
      <c r="H157">
        <f t="shared" si="46"/>
        <v>368191.90622086613</v>
      </c>
      <c r="I157">
        <f t="shared" si="38"/>
        <v>0</v>
      </c>
      <c r="J157">
        <f t="shared" si="39"/>
        <v>425018.53348849405</v>
      </c>
      <c r="K157">
        <f t="shared" si="40"/>
        <v>424776.13470565429</v>
      </c>
      <c r="L157">
        <f t="shared" si="47"/>
        <v>424776.13470565429</v>
      </c>
      <c r="M157">
        <f t="shared" si="41"/>
        <v>0</v>
      </c>
      <c r="N157" s="29">
        <f t="shared" si="48"/>
        <v>424776.13470565429</v>
      </c>
      <c r="O157" s="29">
        <f t="shared" si="42"/>
        <v>424747.25100089959</v>
      </c>
      <c r="P157" s="29">
        <f t="shared" si="49"/>
        <v>424747.25100089959</v>
      </c>
      <c r="Q157">
        <f t="shared" si="50"/>
        <v>0</v>
      </c>
      <c r="R157" s="29">
        <f t="shared" si="51"/>
        <v>424747.25100089959</v>
      </c>
      <c r="S157" s="29">
        <f t="shared" si="43"/>
        <v>424747.25100089971</v>
      </c>
      <c r="T157" s="29">
        <f t="shared" si="52"/>
        <v>424747.25100089971</v>
      </c>
      <c r="U157">
        <f t="shared" si="53"/>
        <v>0</v>
      </c>
      <c r="V157" s="29">
        <f t="shared" si="54"/>
        <v>424747.25100089971</v>
      </c>
      <c r="W157" s="29">
        <f t="shared" si="44"/>
        <v>424747.25100089971</v>
      </c>
      <c r="X157" s="29">
        <f t="shared" si="55"/>
        <v>424747.25100089971</v>
      </c>
      <c r="Y157">
        <f t="shared" si="56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allocations'!$A$1:$L$317,5,FALSE)</f>
        <v>1302793.325854019</v>
      </c>
      <c r="E158" s="31">
        <f>VLOOKUP(B158,'Initial adjusted formula count'!$A$1:$P$317,12,FALSE)</f>
        <v>0.144155235080314</v>
      </c>
      <c r="F158">
        <f>VLOOKUP(B158,'Model allocations'!$A$1:$L$317,10,FALSE)</f>
        <v>1443217.8421318722</v>
      </c>
      <c r="G158" s="30">
        <f t="shared" si="45"/>
        <v>0.85</v>
      </c>
      <c r="H158">
        <f t="shared" si="46"/>
        <v>1107374.326975916</v>
      </c>
      <c r="I158">
        <f t="shared" si="38"/>
        <v>0</v>
      </c>
      <c r="J158">
        <f t="shared" si="39"/>
        <v>1443217.8421318722</v>
      </c>
      <c r="K158">
        <f t="shared" si="40"/>
        <v>1442394.7386181639</v>
      </c>
      <c r="L158">
        <f t="shared" si="47"/>
        <v>1442394.7386181639</v>
      </c>
      <c r="M158">
        <f t="shared" si="41"/>
        <v>0</v>
      </c>
      <c r="N158" s="29">
        <f t="shared" si="48"/>
        <v>1442394.7386181639</v>
      </c>
      <c r="O158" s="29">
        <f t="shared" si="42"/>
        <v>1442296.65941746</v>
      </c>
      <c r="P158" s="29">
        <f t="shared" si="49"/>
        <v>1442296.65941746</v>
      </c>
      <c r="Q158">
        <f t="shared" si="50"/>
        <v>0</v>
      </c>
      <c r="R158" s="29">
        <f t="shared" si="51"/>
        <v>1442296.65941746</v>
      </c>
      <c r="S158" s="29">
        <f t="shared" si="43"/>
        <v>1442296.6594174604</v>
      </c>
      <c r="T158" s="29">
        <f t="shared" si="52"/>
        <v>1442296.6594174604</v>
      </c>
      <c r="U158">
        <f t="shared" si="53"/>
        <v>0</v>
      </c>
      <c r="V158" s="29">
        <f t="shared" si="54"/>
        <v>1442296.6594174604</v>
      </c>
      <c r="W158" s="29">
        <f t="shared" si="44"/>
        <v>1442296.6594174604</v>
      </c>
      <c r="X158" s="29">
        <f t="shared" si="55"/>
        <v>1442296.6594174604</v>
      </c>
      <c r="Y158">
        <f t="shared" si="56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allocations'!$A$1:$L$317,5,FALSE)</f>
        <v>90131.65009067455</v>
      </c>
      <c r="E159" s="31">
        <f>VLOOKUP(B159,'Initial adjusted formula count'!$A$1:$P$317,12,FALSE)</f>
        <v>0.107806691449814</v>
      </c>
      <c r="F159">
        <f>VLOOKUP(B159,'Model allocations'!$A$1:$L$317,10,FALSE)</f>
        <v>76611.902577073372</v>
      </c>
      <c r="G159" s="30">
        <f t="shared" si="45"/>
        <v>0.85</v>
      </c>
      <c r="H159">
        <f t="shared" si="46"/>
        <v>76611.902577073372</v>
      </c>
      <c r="I159">
        <f t="shared" si="38"/>
        <v>0</v>
      </c>
      <c r="J159">
        <f t="shared" si="39"/>
        <v>76611.902577073372</v>
      </c>
      <c r="K159">
        <f t="shared" si="40"/>
        <v>76568.208877922647</v>
      </c>
      <c r="L159">
        <f t="shared" si="47"/>
        <v>76568.208877922647</v>
      </c>
      <c r="M159">
        <f t="shared" si="41"/>
        <v>76611.902577073372</v>
      </c>
      <c r="N159" s="29">
        <f t="shared" si="48"/>
        <v>0</v>
      </c>
      <c r="O159" s="29">
        <f t="shared" si="42"/>
        <v>0</v>
      </c>
      <c r="P159" s="29">
        <f t="shared" si="49"/>
        <v>76611.902577073372</v>
      </c>
      <c r="Q159">
        <f t="shared" si="50"/>
        <v>0</v>
      </c>
      <c r="R159" s="29">
        <f t="shared" si="51"/>
        <v>0</v>
      </c>
      <c r="S159" s="29">
        <f t="shared" si="43"/>
        <v>0</v>
      </c>
      <c r="T159" s="29">
        <f t="shared" si="52"/>
        <v>76611.902577073372</v>
      </c>
      <c r="U159">
        <f t="shared" si="53"/>
        <v>0</v>
      </c>
      <c r="V159" s="29">
        <f t="shared" si="54"/>
        <v>0</v>
      </c>
      <c r="W159" s="29">
        <f t="shared" si="44"/>
        <v>0</v>
      </c>
      <c r="X159" s="29">
        <f t="shared" si="55"/>
        <v>76611.902577073372</v>
      </c>
      <c r="Y159">
        <f t="shared" si="56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allocations'!$A$1:$L$317,5,FALSE)</f>
        <v>29372.545979747349</v>
      </c>
      <c r="E160" s="31">
        <f>VLOOKUP(B160,'Initial adjusted formula count'!$A$1:$P$317,12,FALSE)</f>
        <v>0.104458598726115</v>
      </c>
      <c r="F160">
        <f>VLOOKUP(B160,'Model allocations'!$A$1:$L$317,10,FALSE)</f>
        <v>34387.291313326605</v>
      </c>
      <c r="G160" s="30">
        <f t="shared" si="45"/>
        <v>0.85</v>
      </c>
      <c r="H160">
        <f t="shared" si="46"/>
        <v>24966.664082785246</v>
      </c>
      <c r="I160">
        <f t="shared" si="38"/>
        <v>0</v>
      </c>
      <c r="J160">
        <f t="shared" si="39"/>
        <v>34387.291313326605</v>
      </c>
      <c r="K160">
        <f t="shared" si="40"/>
        <v>34367.679374310457</v>
      </c>
      <c r="L160">
        <f t="shared" si="47"/>
        <v>34367.679374310457</v>
      </c>
      <c r="M160">
        <f t="shared" si="41"/>
        <v>0</v>
      </c>
      <c r="N160" s="29">
        <f t="shared" si="48"/>
        <v>34367.679374310457</v>
      </c>
      <c r="O160" s="29">
        <f t="shared" si="42"/>
        <v>34365.342458878898</v>
      </c>
      <c r="P160" s="29">
        <f t="shared" si="49"/>
        <v>34365.342458878898</v>
      </c>
      <c r="Q160">
        <f t="shared" si="50"/>
        <v>0</v>
      </c>
      <c r="R160" s="29">
        <f t="shared" si="51"/>
        <v>34365.342458878898</v>
      </c>
      <c r="S160" s="29">
        <f t="shared" si="43"/>
        <v>34365.342458878913</v>
      </c>
      <c r="T160" s="29">
        <f t="shared" si="52"/>
        <v>34365.342458878913</v>
      </c>
      <c r="U160">
        <f t="shared" si="53"/>
        <v>0</v>
      </c>
      <c r="V160" s="29">
        <f t="shared" si="54"/>
        <v>34365.342458878913</v>
      </c>
      <c r="W160" s="29">
        <f t="shared" si="44"/>
        <v>34365.342458878913</v>
      </c>
      <c r="X160" s="29">
        <f t="shared" si="55"/>
        <v>34365.342458878913</v>
      </c>
      <c r="Y160">
        <f t="shared" si="56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allocations'!$A$1:$L$317,5,FALSE)</f>
        <v>16023.157564492476</v>
      </c>
      <c r="E161" s="31">
        <f>VLOOKUP(B161,'Initial adjusted formula count'!$A$1:$P$317,12,FALSE)</f>
        <v>0.119402985074627</v>
      </c>
      <c r="F161">
        <f>VLOOKUP(B161,'Model allocations'!$A$1:$L$317,10,FALSE)</f>
        <v>16774.288445525166</v>
      </c>
      <c r="G161" s="30">
        <f t="shared" si="45"/>
        <v>0.85</v>
      </c>
      <c r="H161">
        <f t="shared" si="46"/>
        <v>13619.683929818604</v>
      </c>
      <c r="I161">
        <f t="shared" si="38"/>
        <v>0</v>
      </c>
      <c r="J161">
        <f t="shared" si="39"/>
        <v>16774.288445525166</v>
      </c>
      <c r="K161">
        <f t="shared" si="40"/>
        <v>16764.721646005095</v>
      </c>
      <c r="L161">
        <f t="shared" si="47"/>
        <v>16764.721646005095</v>
      </c>
      <c r="M161">
        <f t="shared" si="41"/>
        <v>0</v>
      </c>
      <c r="N161" s="29">
        <f t="shared" si="48"/>
        <v>16764.721646005095</v>
      </c>
      <c r="O161" s="29">
        <f t="shared" si="42"/>
        <v>16763.581687257993</v>
      </c>
      <c r="P161" s="29">
        <f t="shared" si="49"/>
        <v>16763.581687257993</v>
      </c>
      <c r="Q161">
        <f t="shared" si="50"/>
        <v>0</v>
      </c>
      <c r="R161" s="29">
        <f t="shared" si="51"/>
        <v>16763.581687257993</v>
      </c>
      <c r="S161" s="29">
        <f t="shared" si="43"/>
        <v>16763.581687257996</v>
      </c>
      <c r="T161" s="29">
        <f t="shared" si="52"/>
        <v>16763.581687257996</v>
      </c>
      <c r="U161">
        <f t="shared" si="53"/>
        <v>0</v>
      </c>
      <c r="V161" s="29">
        <f t="shared" si="54"/>
        <v>16763.581687257996</v>
      </c>
      <c r="W161" s="29">
        <f t="shared" si="44"/>
        <v>16763.581687257996</v>
      </c>
      <c r="X161" s="29">
        <f t="shared" si="55"/>
        <v>16763.581687257996</v>
      </c>
      <c r="Y161">
        <f t="shared" si="56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allocations'!$A$1:$L$317,5,FALSE)</f>
        <v>40531.760618726796</v>
      </c>
      <c r="E162" s="31">
        <f>VLOOKUP(B162,'Initial adjusted formula count'!$A$1:$P$317,12,FALSE)</f>
        <v>0.284552845528455</v>
      </c>
      <c r="F162">
        <f>VLOOKUP(B162,'Model allocations'!$A$1:$L$317,10,FALSE)</f>
        <v>44226.229233188846</v>
      </c>
      <c r="G162" s="30">
        <f t="shared" si="45"/>
        <v>0.9</v>
      </c>
      <c r="H162">
        <f t="shared" si="46"/>
        <v>36478.584556854119</v>
      </c>
      <c r="I162">
        <f t="shared" si="38"/>
        <v>0</v>
      </c>
      <c r="J162">
        <f t="shared" si="39"/>
        <v>44226.229233188846</v>
      </c>
      <c r="K162">
        <f t="shared" si="40"/>
        <v>44201.005899872696</v>
      </c>
      <c r="L162">
        <f t="shared" si="47"/>
        <v>44201.005899872696</v>
      </c>
      <c r="M162">
        <f t="shared" si="41"/>
        <v>0</v>
      </c>
      <c r="N162" s="29">
        <f t="shared" si="48"/>
        <v>44201.005899872696</v>
      </c>
      <c r="O162" s="29">
        <f t="shared" si="42"/>
        <v>44198.000343062973</v>
      </c>
      <c r="P162" s="29">
        <f t="shared" si="49"/>
        <v>44198.000343062973</v>
      </c>
      <c r="Q162">
        <f t="shared" si="50"/>
        <v>0</v>
      </c>
      <c r="R162" s="29">
        <f t="shared" si="51"/>
        <v>44198.000343062973</v>
      </c>
      <c r="S162" s="29">
        <f t="shared" si="43"/>
        <v>44198.000343062988</v>
      </c>
      <c r="T162" s="29">
        <f t="shared" si="52"/>
        <v>44198.000343062988</v>
      </c>
      <c r="U162">
        <f t="shared" si="53"/>
        <v>0</v>
      </c>
      <c r="V162" s="29">
        <f t="shared" si="54"/>
        <v>44198.000343062988</v>
      </c>
      <c r="W162" s="29">
        <f t="shared" si="44"/>
        <v>44198.000343062988</v>
      </c>
      <c r="X162" s="29">
        <f t="shared" si="55"/>
        <v>44198.000343062988</v>
      </c>
      <c r="Y162">
        <f t="shared" si="56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allocations'!$A$1:$L$317,5,FALSE)</f>
        <v>143377.85888625012</v>
      </c>
      <c r="E163" s="31">
        <f>VLOOKUP(B163,'Initial adjusted formula count'!$A$1:$P$317,12,FALSE)</f>
        <v>0.190909090909091</v>
      </c>
      <c r="F163">
        <f>VLOOKUP(B163,'Model allocations'!$A$1:$L$317,10,FALSE)</f>
        <v>130275.20474751004</v>
      </c>
      <c r="G163" s="30">
        <f t="shared" si="45"/>
        <v>0.9</v>
      </c>
      <c r="H163">
        <f t="shared" si="46"/>
        <v>129040.07299762512</v>
      </c>
      <c r="I163">
        <f t="shared" si="38"/>
        <v>0</v>
      </c>
      <c r="J163">
        <f t="shared" si="39"/>
        <v>130275.20474751004</v>
      </c>
      <c r="K163">
        <f t="shared" si="40"/>
        <v>130200.90551447234</v>
      </c>
      <c r="L163">
        <f t="shared" si="47"/>
        <v>130200.90551447234</v>
      </c>
      <c r="M163">
        <f t="shared" si="41"/>
        <v>0</v>
      </c>
      <c r="N163" s="29">
        <f t="shared" si="48"/>
        <v>130200.90551447234</v>
      </c>
      <c r="O163" s="29">
        <f t="shared" si="42"/>
        <v>130192.05218160732</v>
      </c>
      <c r="P163" s="29">
        <f t="shared" si="49"/>
        <v>130192.05218160732</v>
      </c>
      <c r="Q163">
        <f t="shared" si="50"/>
        <v>0</v>
      </c>
      <c r="R163" s="29">
        <f t="shared" si="51"/>
        <v>130192.05218160732</v>
      </c>
      <c r="S163" s="29">
        <f t="shared" si="43"/>
        <v>130192.05218160737</v>
      </c>
      <c r="T163" s="29">
        <f t="shared" si="52"/>
        <v>130192.05218160737</v>
      </c>
      <c r="U163">
        <f t="shared" si="53"/>
        <v>0</v>
      </c>
      <c r="V163" s="29">
        <f t="shared" si="54"/>
        <v>130192.05218160737</v>
      </c>
      <c r="W163" s="29">
        <f t="shared" si="44"/>
        <v>130192.05218160737</v>
      </c>
      <c r="X163" s="29">
        <f t="shared" si="55"/>
        <v>130192.05218160737</v>
      </c>
      <c r="Y163">
        <f t="shared" si="56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allocations'!$A$1:$L$317,5,FALSE)</f>
        <v>85401.938378745821</v>
      </c>
      <c r="E164" s="31">
        <f>VLOOKUP(B164,'Initial adjusted formula count'!$A$1:$P$317,12,FALSE)</f>
        <v>7.3062261753494298E-2</v>
      </c>
      <c r="F164">
        <f>VLOOKUP(B164,'Model allocations'!$A$1:$L$317,10,FALSE)</f>
        <v>72591.647621933953</v>
      </c>
      <c r="G164" s="30">
        <f t="shared" si="45"/>
        <v>0.85</v>
      </c>
      <c r="H164">
        <f t="shared" si="46"/>
        <v>72591.647621933953</v>
      </c>
      <c r="I164">
        <f t="shared" si="38"/>
        <v>0</v>
      </c>
      <c r="J164">
        <f t="shared" si="39"/>
        <v>72591.647621933953</v>
      </c>
      <c r="K164">
        <f t="shared" si="40"/>
        <v>72550.24677552034</v>
      </c>
      <c r="L164">
        <f t="shared" si="47"/>
        <v>72550.24677552034</v>
      </c>
      <c r="M164">
        <f t="shared" si="41"/>
        <v>72591.647621933953</v>
      </c>
      <c r="N164" s="29">
        <f t="shared" si="48"/>
        <v>0</v>
      </c>
      <c r="O164" s="29">
        <f t="shared" si="42"/>
        <v>0</v>
      </c>
      <c r="P164" s="29">
        <f t="shared" si="49"/>
        <v>72591.647621933953</v>
      </c>
      <c r="Q164">
        <f t="shared" si="50"/>
        <v>0</v>
      </c>
      <c r="R164" s="29">
        <f t="shared" si="51"/>
        <v>0</v>
      </c>
      <c r="S164" s="29">
        <f t="shared" si="43"/>
        <v>0</v>
      </c>
      <c r="T164" s="29">
        <f t="shared" si="52"/>
        <v>72591.647621933953</v>
      </c>
      <c r="U164">
        <f t="shared" si="53"/>
        <v>0</v>
      </c>
      <c r="V164" s="29">
        <f t="shared" si="54"/>
        <v>0</v>
      </c>
      <c r="W164" s="29">
        <f t="shared" si="44"/>
        <v>0</v>
      </c>
      <c r="X164" s="29">
        <f t="shared" si="55"/>
        <v>72591.647621933953</v>
      </c>
      <c r="Y164">
        <f t="shared" si="56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allocations'!$A$1:$L$317,5,FALSE)</f>
        <v>100812.36634326512</v>
      </c>
      <c r="E165" s="31">
        <f>VLOOKUP(B165,'Initial adjusted formula count'!$A$1:$P$317,12,FALSE)</f>
        <v>0.112815884476534</v>
      </c>
      <c r="F165">
        <f>VLOOKUP(B165,'Model allocations'!$A$1:$L$317,10,FALSE)</f>
        <v>104839.30278453234</v>
      </c>
      <c r="G165" s="30">
        <f t="shared" si="45"/>
        <v>0.85</v>
      </c>
      <c r="H165">
        <f t="shared" si="46"/>
        <v>85690.511391775348</v>
      </c>
      <c r="I165">
        <f t="shared" si="38"/>
        <v>0</v>
      </c>
      <c r="J165">
        <f t="shared" si="39"/>
        <v>104839.30278453234</v>
      </c>
      <c r="K165">
        <f t="shared" si="40"/>
        <v>104779.51028753188</v>
      </c>
      <c r="L165">
        <f t="shared" si="47"/>
        <v>104779.51028753188</v>
      </c>
      <c r="M165">
        <f t="shared" si="41"/>
        <v>0</v>
      </c>
      <c r="N165" s="29">
        <f t="shared" si="48"/>
        <v>104779.51028753188</v>
      </c>
      <c r="O165" s="29">
        <f t="shared" si="42"/>
        <v>104772.3855453625</v>
      </c>
      <c r="P165" s="29">
        <f t="shared" si="49"/>
        <v>104772.3855453625</v>
      </c>
      <c r="Q165">
        <f t="shared" si="50"/>
        <v>0</v>
      </c>
      <c r="R165" s="29">
        <f t="shared" si="51"/>
        <v>104772.3855453625</v>
      </c>
      <c r="S165" s="29">
        <f t="shared" si="43"/>
        <v>104772.38554536254</v>
      </c>
      <c r="T165" s="29">
        <f t="shared" si="52"/>
        <v>104772.38554536254</v>
      </c>
      <c r="U165">
        <f t="shared" si="53"/>
        <v>0</v>
      </c>
      <c r="V165" s="29">
        <f t="shared" si="54"/>
        <v>104772.38554536254</v>
      </c>
      <c r="W165" s="29">
        <f t="shared" si="44"/>
        <v>104772.38554536254</v>
      </c>
      <c r="X165" s="29">
        <f t="shared" si="55"/>
        <v>104772.38554536254</v>
      </c>
      <c r="Y165">
        <f t="shared" si="56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allocations'!$A$1:$L$317,5,FALSE)</f>
        <v>82838.590005181162</v>
      </c>
      <c r="E166" s="31">
        <f>VLOOKUP(B166,'Initial adjusted formula count'!$A$1:$P$317,12,FALSE)</f>
        <v>0.182978723404255</v>
      </c>
      <c r="F166">
        <f>VLOOKUP(B166,'Model allocations'!$A$1:$L$317,10,FALSE)</f>
        <v>74554.731004663045</v>
      </c>
      <c r="G166" s="30">
        <f t="shared" si="45"/>
        <v>0.9</v>
      </c>
      <c r="H166">
        <f t="shared" si="46"/>
        <v>74554.731004663045</v>
      </c>
      <c r="I166">
        <f t="shared" si="38"/>
        <v>0</v>
      </c>
      <c r="J166">
        <f t="shared" si="39"/>
        <v>74554.731004663045</v>
      </c>
      <c r="K166">
        <f t="shared" si="40"/>
        <v>74512.21056231398</v>
      </c>
      <c r="L166">
        <f t="shared" si="47"/>
        <v>74512.21056231398</v>
      </c>
      <c r="M166">
        <f t="shared" si="41"/>
        <v>74554.731004663045</v>
      </c>
      <c r="N166" s="29">
        <f t="shared" si="48"/>
        <v>0</v>
      </c>
      <c r="O166" s="29">
        <f t="shared" si="42"/>
        <v>0</v>
      </c>
      <c r="P166" s="29">
        <f t="shared" si="49"/>
        <v>74554.731004663045</v>
      </c>
      <c r="Q166">
        <f t="shared" si="50"/>
        <v>0</v>
      </c>
      <c r="R166" s="29">
        <f t="shared" si="51"/>
        <v>0</v>
      </c>
      <c r="S166" s="29">
        <f t="shared" si="43"/>
        <v>0</v>
      </c>
      <c r="T166" s="29">
        <f t="shared" si="52"/>
        <v>74554.731004663045</v>
      </c>
      <c r="U166">
        <f t="shared" si="53"/>
        <v>0</v>
      </c>
      <c r="V166" s="29">
        <f t="shared" si="54"/>
        <v>0</v>
      </c>
      <c r="W166" s="29">
        <f t="shared" si="44"/>
        <v>0</v>
      </c>
      <c r="X166" s="29">
        <f t="shared" si="55"/>
        <v>74554.731004663045</v>
      </c>
      <c r="Y166">
        <f t="shared" si="56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allocations'!$A$1:$L$317,5,FALSE)</f>
        <v>191846.51363214594</v>
      </c>
      <c r="E167" s="31">
        <f>VLOOKUP(B167,'Initial adjusted formula count'!$A$1:$P$317,12,FALSE)</f>
        <v>8.9673913043478201E-2</v>
      </c>
      <c r="F167">
        <f>VLOOKUP(B167,'Model allocations'!$A$1:$L$317,10,FALSE)</f>
        <v>163069.53658732405</v>
      </c>
      <c r="G167" s="30">
        <f t="shared" si="45"/>
        <v>0.85</v>
      </c>
      <c r="H167">
        <f t="shared" si="46"/>
        <v>163069.53658732405</v>
      </c>
      <c r="I167">
        <f t="shared" si="38"/>
        <v>0</v>
      </c>
      <c r="J167">
        <f t="shared" si="39"/>
        <v>163069.53658732405</v>
      </c>
      <c r="K167">
        <f t="shared" si="40"/>
        <v>162976.53392021073</v>
      </c>
      <c r="L167">
        <f t="shared" si="47"/>
        <v>162976.53392021073</v>
      </c>
      <c r="M167">
        <f t="shared" si="41"/>
        <v>163069.53658732405</v>
      </c>
      <c r="N167" s="29">
        <f t="shared" si="48"/>
        <v>0</v>
      </c>
      <c r="O167" s="29">
        <f t="shared" si="42"/>
        <v>0</v>
      </c>
      <c r="P167" s="29">
        <f t="shared" si="49"/>
        <v>163069.53658732405</v>
      </c>
      <c r="Q167">
        <f t="shared" si="50"/>
        <v>0</v>
      </c>
      <c r="R167" s="29">
        <f t="shared" si="51"/>
        <v>0</v>
      </c>
      <c r="S167" s="29">
        <f t="shared" si="43"/>
        <v>0</v>
      </c>
      <c r="T167" s="29">
        <f t="shared" si="52"/>
        <v>163069.53658732405</v>
      </c>
      <c r="U167">
        <f t="shared" si="53"/>
        <v>0</v>
      </c>
      <c r="V167" s="29">
        <f t="shared" si="54"/>
        <v>0</v>
      </c>
      <c r="W167" s="29">
        <f t="shared" si="44"/>
        <v>0</v>
      </c>
      <c r="X167" s="29">
        <f t="shared" si="55"/>
        <v>163069.53658732405</v>
      </c>
      <c r="Y167">
        <f t="shared" si="56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allocations'!$A$1:$L$317,5,FALSE)</f>
        <v>235412.3463555518</v>
      </c>
      <c r="E168" s="31">
        <f>VLOOKUP(B168,'Initial adjusted formula count'!$A$1:$P$317,12,FALSE)</f>
        <v>6.9692737430167601E-2</v>
      </c>
      <c r="F168">
        <f>VLOOKUP(B168,'Model allocations'!$A$1:$L$317,10,FALSE)</f>
        <v>209259.24835792658</v>
      </c>
      <c r="G168" s="30">
        <f t="shared" si="45"/>
        <v>0.85</v>
      </c>
      <c r="H168">
        <f t="shared" si="46"/>
        <v>200100.49440221902</v>
      </c>
      <c r="I168">
        <f t="shared" si="38"/>
        <v>0</v>
      </c>
      <c r="J168">
        <f t="shared" si="39"/>
        <v>209259.24835792658</v>
      </c>
      <c r="K168">
        <f t="shared" si="40"/>
        <v>209139.9025339137</v>
      </c>
      <c r="L168">
        <f t="shared" si="47"/>
        <v>209139.9025339137</v>
      </c>
      <c r="M168">
        <f t="shared" si="41"/>
        <v>0</v>
      </c>
      <c r="N168" s="29">
        <f t="shared" si="48"/>
        <v>209139.9025339137</v>
      </c>
      <c r="O168" s="29">
        <f t="shared" si="42"/>
        <v>209125.68154854359</v>
      </c>
      <c r="P168" s="29">
        <f t="shared" si="49"/>
        <v>209125.68154854359</v>
      </c>
      <c r="Q168">
        <f t="shared" si="50"/>
        <v>0</v>
      </c>
      <c r="R168" s="29">
        <f t="shared" si="51"/>
        <v>209125.68154854359</v>
      </c>
      <c r="S168" s="29">
        <f t="shared" si="43"/>
        <v>209125.68154854365</v>
      </c>
      <c r="T168" s="29">
        <f t="shared" si="52"/>
        <v>209125.68154854365</v>
      </c>
      <c r="U168">
        <f t="shared" si="53"/>
        <v>0</v>
      </c>
      <c r="V168" s="29">
        <f t="shared" si="54"/>
        <v>209125.68154854365</v>
      </c>
      <c r="W168" s="29">
        <f t="shared" si="44"/>
        <v>209125.68154854365</v>
      </c>
      <c r="X168" s="29">
        <f t="shared" si="55"/>
        <v>209125.68154854365</v>
      </c>
      <c r="Y168">
        <f t="shared" si="56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allocations'!$A$1:$L$317,5,FALSE)</f>
        <v>141165.09580411582</v>
      </c>
      <c r="E169" s="31">
        <f>VLOOKUP(B169,'Initial adjusted formula count'!$A$1:$P$317,12,FALSE)</f>
        <v>0.150242326332795</v>
      </c>
      <c r="F169">
        <f>VLOOKUP(B169,'Model allocations'!$A$1:$L$317,10,FALSE)</f>
        <v>156000.88254338416</v>
      </c>
      <c r="G169" s="30">
        <f t="shared" si="45"/>
        <v>0.9</v>
      </c>
      <c r="H169">
        <f t="shared" si="46"/>
        <v>127048.58622370423</v>
      </c>
      <c r="I169">
        <f t="shared" si="38"/>
        <v>0</v>
      </c>
      <c r="J169">
        <f t="shared" si="39"/>
        <v>156000.88254338416</v>
      </c>
      <c r="K169">
        <f t="shared" si="40"/>
        <v>155911.91130784748</v>
      </c>
      <c r="L169">
        <f t="shared" si="47"/>
        <v>155911.91130784748</v>
      </c>
      <c r="M169">
        <f t="shared" si="41"/>
        <v>0</v>
      </c>
      <c r="N169" s="29">
        <f t="shared" si="48"/>
        <v>155911.91130784748</v>
      </c>
      <c r="O169" s="29">
        <f t="shared" si="42"/>
        <v>155901.30969149942</v>
      </c>
      <c r="P169" s="29">
        <f t="shared" si="49"/>
        <v>155901.30969149942</v>
      </c>
      <c r="Q169">
        <f t="shared" si="50"/>
        <v>0</v>
      </c>
      <c r="R169" s="29">
        <f t="shared" si="51"/>
        <v>155901.30969149942</v>
      </c>
      <c r="S169" s="29">
        <f t="shared" si="43"/>
        <v>155901.30969149948</v>
      </c>
      <c r="T169" s="29">
        <f t="shared" si="52"/>
        <v>155901.30969149948</v>
      </c>
      <c r="U169">
        <f t="shared" si="53"/>
        <v>0</v>
      </c>
      <c r="V169" s="29">
        <f t="shared" si="54"/>
        <v>155901.30969149948</v>
      </c>
      <c r="W169" s="29">
        <f t="shared" si="44"/>
        <v>155901.30969149948</v>
      </c>
      <c r="X169" s="29">
        <f t="shared" si="55"/>
        <v>155901.30969149948</v>
      </c>
      <c r="Y169">
        <f t="shared" si="56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allocations'!$A$1:$L$317,5,FALSE)</f>
        <v>0</v>
      </c>
      <c r="E170" s="31">
        <f>VLOOKUP(B170,'Initial adjusted formula count'!$A$1:$P$317,12,FALSE)</f>
        <v>0.19607843137254899</v>
      </c>
      <c r="F170">
        <f>VLOOKUP(B170,'Model allocations'!$A$1:$L$317,10,FALSE)</f>
        <v>4839.6547987212543</v>
      </c>
      <c r="G170" s="30">
        <f t="shared" si="45"/>
        <v>0.9</v>
      </c>
      <c r="H170">
        <f t="shared" si="46"/>
        <v>0</v>
      </c>
      <c r="I170">
        <f t="shared" si="38"/>
        <v>0</v>
      </c>
      <c r="J170">
        <f t="shared" si="39"/>
        <v>4839.6547987212543</v>
      </c>
      <c r="K170">
        <f t="shared" si="40"/>
        <v>4836.894621599221</v>
      </c>
      <c r="L170">
        <f t="shared" si="47"/>
        <v>4836.894621599221</v>
      </c>
      <c r="M170">
        <f t="shared" si="41"/>
        <v>0</v>
      </c>
      <c r="N170" s="29">
        <f t="shared" si="48"/>
        <v>4836.894621599221</v>
      </c>
      <c r="O170" s="29">
        <f t="shared" si="42"/>
        <v>4836.5657249763526</v>
      </c>
      <c r="P170" s="29">
        <f t="shared" si="49"/>
        <v>4836.5657249763526</v>
      </c>
      <c r="Q170">
        <f t="shared" si="50"/>
        <v>0</v>
      </c>
      <c r="R170" s="29">
        <f t="shared" si="51"/>
        <v>4836.5657249763526</v>
      </c>
      <c r="S170" s="29">
        <f t="shared" si="43"/>
        <v>4836.5657249763544</v>
      </c>
      <c r="T170" s="29">
        <f t="shared" si="52"/>
        <v>4836.5657249763544</v>
      </c>
      <c r="U170">
        <f t="shared" si="53"/>
        <v>0</v>
      </c>
      <c r="V170" s="29">
        <f t="shared" si="54"/>
        <v>4836.5657249763544</v>
      </c>
      <c r="W170" s="29">
        <f t="shared" si="44"/>
        <v>4836.5657249763544</v>
      </c>
      <c r="X170" s="29">
        <f t="shared" si="55"/>
        <v>4836.5657249763544</v>
      </c>
      <c r="Y170">
        <f t="shared" si="56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allocations'!$A$1:$L$317,5,FALSE)</f>
        <v>798988.07563776523</v>
      </c>
      <c r="E171" s="31">
        <f>VLOOKUP(B171,'Initial adjusted formula count'!$A$1:$P$317,12,FALSE)</f>
        <v>9.5308003993188103E-2</v>
      </c>
      <c r="F171">
        <f>VLOOKUP(B171,'Model allocations'!$A$1:$L$317,10,FALSE)</f>
        <v>876037.21406755236</v>
      </c>
      <c r="G171" s="30">
        <f t="shared" si="45"/>
        <v>0.85</v>
      </c>
      <c r="H171">
        <f t="shared" si="46"/>
        <v>679139.86429210042</v>
      </c>
      <c r="I171">
        <f t="shared" si="38"/>
        <v>0</v>
      </c>
      <c r="J171">
        <f t="shared" si="39"/>
        <v>876037.21406755236</v>
      </c>
      <c r="K171">
        <f t="shared" si="40"/>
        <v>875537.58796261658</v>
      </c>
      <c r="L171">
        <f t="shared" si="47"/>
        <v>875537.58796261658</v>
      </c>
      <c r="M171">
        <f t="shared" si="41"/>
        <v>0</v>
      </c>
      <c r="N171" s="29">
        <f t="shared" si="48"/>
        <v>875537.58796261658</v>
      </c>
      <c r="O171" s="29">
        <f t="shared" si="42"/>
        <v>875478.05361704924</v>
      </c>
      <c r="P171" s="29">
        <f t="shared" si="49"/>
        <v>875478.05361704924</v>
      </c>
      <c r="Q171">
        <f t="shared" si="50"/>
        <v>0</v>
      </c>
      <c r="R171" s="29">
        <f t="shared" si="51"/>
        <v>875478.05361704924</v>
      </c>
      <c r="S171" s="29">
        <f t="shared" si="43"/>
        <v>875478.05361704959</v>
      </c>
      <c r="T171" s="29">
        <f t="shared" si="52"/>
        <v>875478.05361704959</v>
      </c>
      <c r="U171">
        <f t="shared" si="53"/>
        <v>0</v>
      </c>
      <c r="V171" s="29">
        <f t="shared" si="54"/>
        <v>875478.05361704959</v>
      </c>
      <c r="W171" s="29">
        <f t="shared" si="44"/>
        <v>875478.05361704959</v>
      </c>
      <c r="X171" s="29">
        <f t="shared" si="55"/>
        <v>875478.05361704959</v>
      </c>
      <c r="Y171">
        <f t="shared" si="56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allocations'!$A$1:$L$317,5,FALSE)</f>
        <v>46507.571331747757</v>
      </c>
      <c r="E172" s="31">
        <f>VLOOKUP(B172,'Initial adjusted formula count'!$A$1:$P$317,12,FALSE)</f>
        <v>0.19383259911894299</v>
      </c>
      <c r="F172">
        <f>VLOOKUP(B172,'Model allocations'!$A$1:$L$317,10,FALSE)</f>
        <v>41856.814198572982</v>
      </c>
      <c r="G172" s="30">
        <f t="shared" si="45"/>
        <v>0.9</v>
      </c>
      <c r="H172">
        <f t="shared" si="46"/>
        <v>41856.814198572982</v>
      </c>
      <c r="I172">
        <f t="shared" si="38"/>
        <v>0</v>
      </c>
      <c r="J172">
        <f t="shared" si="39"/>
        <v>41856.814198572982</v>
      </c>
      <c r="K172">
        <f t="shared" si="40"/>
        <v>41832.942202375525</v>
      </c>
      <c r="L172">
        <f t="shared" si="47"/>
        <v>41832.942202375525</v>
      </c>
      <c r="M172">
        <f t="shared" si="41"/>
        <v>41856.814198572982</v>
      </c>
      <c r="N172" s="29">
        <f t="shared" si="48"/>
        <v>0</v>
      </c>
      <c r="O172" s="29">
        <f t="shared" si="42"/>
        <v>0</v>
      </c>
      <c r="P172" s="29">
        <f t="shared" si="49"/>
        <v>41856.814198572982</v>
      </c>
      <c r="Q172">
        <f t="shared" si="50"/>
        <v>0</v>
      </c>
      <c r="R172" s="29">
        <f t="shared" si="51"/>
        <v>0</v>
      </c>
      <c r="S172" s="29">
        <f t="shared" si="43"/>
        <v>0</v>
      </c>
      <c r="T172" s="29">
        <f t="shared" si="52"/>
        <v>41856.814198572982</v>
      </c>
      <c r="U172">
        <f t="shared" si="53"/>
        <v>0</v>
      </c>
      <c r="V172" s="29">
        <f t="shared" si="54"/>
        <v>0</v>
      </c>
      <c r="W172" s="29">
        <f t="shared" si="44"/>
        <v>0</v>
      </c>
      <c r="X172" s="29">
        <f t="shared" si="55"/>
        <v>41856.814198572982</v>
      </c>
      <c r="Y172">
        <f t="shared" si="56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allocations'!$A$1:$L$317,5,FALSE)</f>
        <v>0</v>
      </c>
      <c r="E173" s="31">
        <f>VLOOKUP(B173,'Initial adjusted formula count'!$A$1:$P$317,12,FALSE)</f>
        <v>4.0660881427867702E-2</v>
      </c>
      <c r="F173">
        <f>VLOOKUP(B173,'Model allocations'!$A$1:$L$317,10,FALSE)</f>
        <v>0</v>
      </c>
      <c r="G173" s="30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29">
        <f t="shared" si="48"/>
        <v>0</v>
      </c>
      <c r="O173" s="29">
        <f t="shared" si="42"/>
        <v>0</v>
      </c>
      <c r="P173" s="29">
        <f t="shared" si="49"/>
        <v>0</v>
      </c>
      <c r="Q173">
        <f t="shared" si="50"/>
        <v>0</v>
      </c>
      <c r="R173" s="29">
        <f t="shared" si="51"/>
        <v>0</v>
      </c>
      <c r="S173" s="29">
        <f t="shared" si="43"/>
        <v>0</v>
      </c>
      <c r="T173" s="29">
        <f t="shared" si="52"/>
        <v>0</v>
      </c>
      <c r="U173">
        <f t="shared" si="53"/>
        <v>0</v>
      </c>
      <c r="V173" s="29">
        <f t="shared" si="54"/>
        <v>0</v>
      </c>
      <c r="W173" s="29">
        <f t="shared" si="44"/>
        <v>0</v>
      </c>
      <c r="X173" s="29">
        <f t="shared" si="55"/>
        <v>0</v>
      </c>
      <c r="Y173">
        <f t="shared" si="56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allocations'!$A$1:$L$317,5,FALSE)</f>
        <v>186936.83825241221</v>
      </c>
      <c r="E174" s="31">
        <f>VLOOKUP(B174,'Initial adjusted formula count'!$A$1:$P$317,12,FALSE)</f>
        <v>9.6389588581024394E-2</v>
      </c>
      <c r="F174">
        <f>VLOOKUP(B174,'Model allocations'!$A$1:$L$317,10,FALSE)</f>
        <v>240711.0391932863</v>
      </c>
      <c r="G174" s="30">
        <f t="shared" si="45"/>
        <v>0.85</v>
      </c>
      <c r="H174">
        <f t="shared" si="46"/>
        <v>158896.31251455037</v>
      </c>
      <c r="I174">
        <f t="shared" si="38"/>
        <v>0</v>
      </c>
      <c r="J174">
        <f t="shared" si="39"/>
        <v>240711.0391932863</v>
      </c>
      <c r="K174">
        <f t="shared" si="40"/>
        <v>240573.75562017327</v>
      </c>
      <c r="L174">
        <f t="shared" si="47"/>
        <v>240573.75562017327</v>
      </c>
      <c r="M174">
        <f t="shared" si="41"/>
        <v>0</v>
      </c>
      <c r="N174" s="29">
        <f t="shared" si="48"/>
        <v>240573.75562017327</v>
      </c>
      <c r="O174" s="29">
        <f t="shared" si="42"/>
        <v>240557.39721215234</v>
      </c>
      <c r="P174" s="29">
        <f t="shared" si="49"/>
        <v>240557.39721215234</v>
      </c>
      <c r="Q174">
        <f t="shared" si="50"/>
        <v>0</v>
      </c>
      <c r="R174" s="29">
        <f t="shared" si="51"/>
        <v>240557.39721215234</v>
      </c>
      <c r="S174" s="29">
        <f t="shared" si="43"/>
        <v>240557.39721215243</v>
      </c>
      <c r="T174" s="29">
        <f t="shared" si="52"/>
        <v>240557.39721215243</v>
      </c>
      <c r="U174">
        <f t="shared" si="53"/>
        <v>0</v>
      </c>
      <c r="V174" s="29">
        <f t="shared" si="54"/>
        <v>240557.39721215243</v>
      </c>
      <c r="W174" s="29">
        <f t="shared" si="44"/>
        <v>240557.39721215243</v>
      </c>
      <c r="X174" s="29">
        <f t="shared" si="55"/>
        <v>240557.39721215243</v>
      </c>
      <c r="Y174">
        <f t="shared" si="56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allocations'!$A$1:$L$317,5,FALSE)</f>
        <v>6996.5207832943697</v>
      </c>
      <c r="E175" s="31">
        <f>VLOOKUP(B175,'Initial adjusted formula count'!$A$1:$P$317,12,FALSE)</f>
        <v>6.8702290076335895E-2</v>
      </c>
      <c r="F175">
        <f>VLOOKUP(B175,'Model allocations'!$A$1:$L$317,10,FALSE)</f>
        <v>0</v>
      </c>
      <c r="G175" s="30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29">
        <f t="shared" si="48"/>
        <v>0</v>
      </c>
      <c r="O175" s="29">
        <f t="shared" si="42"/>
        <v>0</v>
      </c>
      <c r="P175" s="29">
        <f t="shared" si="49"/>
        <v>0</v>
      </c>
      <c r="Q175">
        <f t="shared" si="50"/>
        <v>0</v>
      </c>
      <c r="R175" s="29">
        <f t="shared" si="51"/>
        <v>0</v>
      </c>
      <c r="S175" s="29">
        <f t="shared" si="43"/>
        <v>0</v>
      </c>
      <c r="T175" s="29">
        <f t="shared" si="52"/>
        <v>0</v>
      </c>
      <c r="U175">
        <f t="shared" si="53"/>
        <v>0</v>
      </c>
      <c r="V175" s="29">
        <f t="shared" si="54"/>
        <v>0</v>
      </c>
      <c r="W175" s="29">
        <f t="shared" si="44"/>
        <v>0</v>
      </c>
      <c r="X175" s="29">
        <f t="shared" si="55"/>
        <v>0</v>
      </c>
      <c r="Y175">
        <f t="shared" si="56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allocations'!$A$1:$L$317,5,FALSE)</f>
        <v>62884.831690261322</v>
      </c>
      <c r="E176" s="31">
        <f>VLOOKUP(B176,'Initial adjusted formula count'!$A$1:$P$317,12,FALSE)</f>
        <v>0.146017699115044</v>
      </c>
      <c r="F176">
        <f>VLOOKUP(B176,'Model allocations'!$A$1:$L$317,10,FALSE)</f>
        <v>53452.106936722121</v>
      </c>
      <c r="G176" s="30">
        <f t="shared" si="45"/>
        <v>0.85</v>
      </c>
      <c r="H176">
        <f t="shared" si="46"/>
        <v>53452.106936722121</v>
      </c>
      <c r="I176">
        <f t="shared" si="38"/>
        <v>0</v>
      </c>
      <c r="J176">
        <f t="shared" si="39"/>
        <v>53452.106936722121</v>
      </c>
      <c r="K176">
        <f t="shared" si="40"/>
        <v>53421.621852800396</v>
      </c>
      <c r="L176">
        <f t="shared" si="47"/>
        <v>53421.621852800396</v>
      </c>
      <c r="M176">
        <f t="shared" si="41"/>
        <v>53452.106936722121</v>
      </c>
      <c r="N176" s="29">
        <f t="shared" si="48"/>
        <v>0</v>
      </c>
      <c r="O176" s="29">
        <f t="shared" si="42"/>
        <v>0</v>
      </c>
      <c r="P176" s="29">
        <f t="shared" si="49"/>
        <v>53452.106936722121</v>
      </c>
      <c r="Q176">
        <f t="shared" si="50"/>
        <v>0</v>
      </c>
      <c r="R176" s="29">
        <f t="shared" si="51"/>
        <v>0</v>
      </c>
      <c r="S176" s="29">
        <f t="shared" si="43"/>
        <v>0</v>
      </c>
      <c r="T176" s="29">
        <f t="shared" si="52"/>
        <v>53452.106936722121</v>
      </c>
      <c r="U176">
        <f t="shared" si="53"/>
        <v>0</v>
      </c>
      <c r="V176" s="29">
        <f t="shared" si="54"/>
        <v>0</v>
      </c>
      <c r="W176" s="29">
        <f t="shared" si="44"/>
        <v>0</v>
      </c>
      <c r="X176" s="29">
        <f t="shared" si="55"/>
        <v>53452.106936722121</v>
      </c>
      <c r="Y176">
        <f t="shared" si="56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allocations'!$A$1:$L$317,5,FALSE)</f>
        <v>88653.346983171388</v>
      </c>
      <c r="E177" s="31">
        <f>VLOOKUP(B177,'Initial adjusted formula count'!$A$1:$P$317,12,FALSE)</f>
        <v>0.18866080156402701</v>
      </c>
      <c r="F177">
        <f>VLOOKUP(B177,'Model allocations'!$A$1:$L$317,10,FALSE)</f>
        <v>91508.964467618483</v>
      </c>
      <c r="G177" s="30">
        <f t="shared" si="45"/>
        <v>0.9</v>
      </c>
      <c r="H177">
        <f t="shared" si="46"/>
        <v>79788.012284854252</v>
      </c>
      <c r="I177">
        <f t="shared" si="38"/>
        <v>0</v>
      </c>
      <c r="J177">
        <f t="shared" si="39"/>
        <v>91508.964467618483</v>
      </c>
      <c r="K177">
        <f t="shared" si="40"/>
        <v>91456.774598570148</v>
      </c>
      <c r="L177">
        <f t="shared" si="47"/>
        <v>91456.774598570148</v>
      </c>
      <c r="M177">
        <f t="shared" si="41"/>
        <v>0</v>
      </c>
      <c r="N177" s="29">
        <f t="shared" si="48"/>
        <v>91456.774598570148</v>
      </c>
      <c r="O177" s="29">
        <f t="shared" si="42"/>
        <v>91450.555768792561</v>
      </c>
      <c r="P177" s="29">
        <f t="shared" si="49"/>
        <v>91450.555768792561</v>
      </c>
      <c r="Q177">
        <f t="shared" si="50"/>
        <v>0</v>
      </c>
      <c r="R177" s="29">
        <f t="shared" si="51"/>
        <v>91450.555768792561</v>
      </c>
      <c r="S177" s="29">
        <f t="shared" si="43"/>
        <v>91450.555768792605</v>
      </c>
      <c r="T177" s="29">
        <f t="shared" si="52"/>
        <v>91450.555768792605</v>
      </c>
      <c r="U177">
        <f t="shared" si="53"/>
        <v>0</v>
      </c>
      <c r="V177" s="29">
        <f t="shared" si="54"/>
        <v>91450.555768792605</v>
      </c>
      <c r="W177" s="29">
        <f t="shared" si="44"/>
        <v>91450.555768792605</v>
      </c>
      <c r="X177" s="29">
        <f t="shared" si="55"/>
        <v>91450.555768792605</v>
      </c>
      <c r="Y177">
        <f t="shared" si="56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allocations'!$A$1:$L$317,5,FALSE)</f>
        <v>125910.41691628068</v>
      </c>
      <c r="E178" s="31">
        <f>VLOOKUP(B178,'Initial adjusted formula count'!$A$1:$P$317,12,FALSE)</f>
        <v>0.21212121212121199</v>
      </c>
      <c r="F178">
        <f>VLOOKUP(B178,'Model allocations'!$A$1:$L$317,10,FALSE)</f>
        <v>113319.37522465261</v>
      </c>
      <c r="G178" s="30">
        <f t="shared" si="45"/>
        <v>0.9</v>
      </c>
      <c r="H178">
        <f t="shared" si="46"/>
        <v>113319.37522465261</v>
      </c>
      <c r="I178">
        <f t="shared" si="38"/>
        <v>0</v>
      </c>
      <c r="J178">
        <f t="shared" si="39"/>
        <v>113319.37522465261</v>
      </c>
      <c r="K178">
        <f t="shared" si="40"/>
        <v>113254.74632858738</v>
      </c>
      <c r="L178">
        <f t="shared" si="47"/>
        <v>113254.74632858738</v>
      </c>
      <c r="M178">
        <f t="shared" si="41"/>
        <v>113319.37522465261</v>
      </c>
      <c r="N178" s="29">
        <f t="shared" si="48"/>
        <v>0</v>
      </c>
      <c r="O178" s="29">
        <f t="shared" si="42"/>
        <v>0</v>
      </c>
      <c r="P178" s="29">
        <f t="shared" si="49"/>
        <v>113319.37522465261</v>
      </c>
      <c r="Q178">
        <f t="shared" si="50"/>
        <v>0</v>
      </c>
      <c r="R178" s="29">
        <f t="shared" si="51"/>
        <v>0</v>
      </c>
      <c r="S178" s="29">
        <f t="shared" si="43"/>
        <v>0</v>
      </c>
      <c r="T178" s="29">
        <f t="shared" si="52"/>
        <v>113319.37522465261</v>
      </c>
      <c r="U178">
        <f t="shared" si="53"/>
        <v>0</v>
      </c>
      <c r="V178" s="29">
        <f t="shared" si="54"/>
        <v>0</v>
      </c>
      <c r="W178" s="29">
        <f t="shared" si="44"/>
        <v>0</v>
      </c>
      <c r="X178" s="29">
        <f t="shared" si="55"/>
        <v>113319.37522465261</v>
      </c>
      <c r="Y178">
        <f t="shared" si="56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allocations'!$A$1:$L$317,5,FALSE)</f>
        <v>13686.447086337319</v>
      </c>
      <c r="E179" s="31">
        <f>VLOOKUP(B179,'Initial adjusted formula count'!$A$1:$P$317,12,FALSE)</f>
        <v>0.14610389610389601</v>
      </c>
      <c r="F179">
        <f>VLOOKUP(B179,'Model allocations'!$A$1:$L$317,10,FALSE)</f>
        <v>18871.074501215819</v>
      </c>
      <c r="G179" s="30">
        <f t="shared" si="45"/>
        <v>0.85</v>
      </c>
      <c r="H179">
        <f t="shared" si="46"/>
        <v>11633.480023386721</v>
      </c>
      <c r="I179">
        <f t="shared" si="38"/>
        <v>0</v>
      </c>
      <c r="J179">
        <f t="shared" si="39"/>
        <v>18871.074501215819</v>
      </c>
      <c r="K179">
        <f t="shared" si="40"/>
        <v>18860.311851755738</v>
      </c>
      <c r="L179">
        <f t="shared" si="47"/>
        <v>18860.311851755738</v>
      </c>
      <c r="M179">
        <f t="shared" si="41"/>
        <v>0</v>
      </c>
      <c r="N179" s="29">
        <f t="shared" si="48"/>
        <v>18860.311851755738</v>
      </c>
      <c r="O179" s="29">
        <f t="shared" si="42"/>
        <v>18859.029398165247</v>
      </c>
      <c r="P179" s="29">
        <f t="shared" si="49"/>
        <v>18859.029398165247</v>
      </c>
      <c r="Q179">
        <f t="shared" si="50"/>
        <v>0</v>
      </c>
      <c r="R179" s="29">
        <f t="shared" si="51"/>
        <v>18859.029398165247</v>
      </c>
      <c r="S179" s="29">
        <f t="shared" si="43"/>
        <v>18859.029398165254</v>
      </c>
      <c r="T179" s="29">
        <f t="shared" si="52"/>
        <v>18859.029398165254</v>
      </c>
      <c r="U179">
        <f t="shared" si="53"/>
        <v>0</v>
      </c>
      <c r="V179" s="29">
        <f t="shared" si="54"/>
        <v>18859.029398165254</v>
      </c>
      <c r="W179" s="29">
        <f t="shared" si="44"/>
        <v>18859.029398165254</v>
      </c>
      <c r="X179" s="29">
        <f t="shared" si="55"/>
        <v>18859.029398165254</v>
      </c>
      <c r="Y179">
        <f t="shared" si="56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allocations'!$A$1:$L$317,5,FALSE)</f>
        <v>119657.10538548001</v>
      </c>
      <c r="E180" s="31">
        <f>VLOOKUP(B180,'Initial adjusted formula count'!$A$1:$P$317,12,FALSE)</f>
        <v>0.15970772442588699</v>
      </c>
      <c r="F180">
        <f>VLOOKUP(B180,'Model allocations'!$A$1:$L$317,10,FALSE)</f>
        <v>107691.39484693202</v>
      </c>
      <c r="G180" s="30">
        <f t="shared" si="45"/>
        <v>0.9</v>
      </c>
      <c r="H180">
        <f t="shared" si="46"/>
        <v>107691.39484693202</v>
      </c>
      <c r="I180">
        <f t="shared" si="38"/>
        <v>0</v>
      </c>
      <c r="J180">
        <f t="shared" si="39"/>
        <v>107691.39484693202</v>
      </c>
      <c r="K180">
        <f t="shared" si="40"/>
        <v>107629.97572993739</v>
      </c>
      <c r="L180">
        <f t="shared" si="47"/>
        <v>107629.97572993739</v>
      </c>
      <c r="M180">
        <f t="shared" si="41"/>
        <v>107691.39484693202</v>
      </c>
      <c r="N180" s="29">
        <f t="shared" si="48"/>
        <v>0</v>
      </c>
      <c r="O180" s="29">
        <f t="shared" si="42"/>
        <v>0</v>
      </c>
      <c r="P180" s="29">
        <f t="shared" si="49"/>
        <v>107691.39484693202</v>
      </c>
      <c r="Q180">
        <f t="shared" si="50"/>
        <v>0</v>
      </c>
      <c r="R180" s="29">
        <f t="shared" si="51"/>
        <v>0</v>
      </c>
      <c r="S180" s="29">
        <f t="shared" si="43"/>
        <v>0</v>
      </c>
      <c r="T180" s="29">
        <f t="shared" si="52"/>
        <v>107691.39484693202</v>
      </c>
      <c r="U180">
        <f t="shared" si="53"/>
        <v>0</v>
      </c>
      <c r="V180" s="29">
        <f t="shared" si="54"/>
        <v>0</v>
      </c>
      <c r="W180" s="29">
        <f t="shared" si="44"/>
        <v>0</v>
      </c>
      <c r="X180" s="29">
        <f t="shared" si="55"/>
        <v>107691.39484693202</v>
      </c>
      <c r="Y180">
        <f t="shared" si="56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allocations'!$A$1:$L$317,5,FALSE)</f>
        <v>531324.01948429598</v>
      </c>
      <c r="E181" s="31">
        <f>VLOOKUP(B181,'Initial adjusted formula count'!$A$1:$P$317,12,FALSE)</f>
        <v>8.54479046520569E-2</v>
      </c>
      <c r="F181">
        <f>VLOOKUP(B181,'Model allocations'!$A$1:$L$317,10,FALSE)</f>
        <v>451389.72852461907</v>
      </c>
      <c r="G181" s="30">
        <f t="shared" si="45"/>
        <v>0.85</v>
      </c>
      <c r="H181">
        <f t="shared" si="46"/>
        <v>451625.41656165157</v>
      </c>
      <c r="I181">
        <f t="shared" si="38"/>
        <v>451625.41656165157</v>
      </c>
      <c r="J181">
        <f t="shared" si="39"/>
        <v>0</v>
      </c>
      <c r="K181">
        <f t="shared" si="40"/>
        <v>0</v>
      </c>
      <c r="L181">
        <f t="shared" si="47"/>
        <v>451625.41656165157</v>
      </c>
      <c r="M181">
        <f t="shared" si="41"/>
        <v>0</v>
      </c>
      <c r="N181" s="29">
        <f t="shared" si="48"/>
        <v>0</v>
      </c>
      <c r="O181" s="29">
        <f t="shared" si="42"/>
        <v>0</v>
      </c>
      <c r="P181" s="29">
        <f t="shared" si="49"/>
        <v>451625.41656165157</v>
      </c>
      <c r="Q181">
        <f t="shared" si="50"/>
        <v>0</v>
      </c>
      <c r="R181" s="29">
        <f t="shared" si="51"/>
        <v>0</v>
      </c>
      <c r="S181" s="29">
        <f t="shared" si="43"/>
        <v>0</v>
      </c>
      <c r="T181" s="29">
        <f t="shared" si="52"/>
        <v>451625.41656165157</v>
      </c>
      <c r="U181">
        <f t="shared" si="53"/>
        <v>0</v>
      </c>
      <c r="V181" s="29">
        <f t="shared" si="54"/>
        <v>0</v>
      </c>
      <c r="W181" s="29">
        <f t="shared" si="44"/>
        <v>0</v>
      </c>
      <c r="X181" s="29">
        <f t="shared" si="55"/>
        <v>451625.41656165157</v>
      </c>
      <c r="Y181">
        <f t="shared" si="56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allocations'!$A$1:$L$317,5,FALSE)</f>
        <v>234856.15125787447</v>
      </c>
      <c r="E182" s="31">
        <f>VLOOKUP(B182,'Initial adjusted formula count'!$A$1:$P$317,12,FALSE)</f>
        <v>0.21063829787234001</v>
      </c>
      <c r="F182">
        <f>VLOOKUP(B182,'Model allocations'!$A$1:$L$317,10,FALSE)</f>
        <v>211370.53613208703</v>
      </c>
      <c r="G182" s="30">
        <f t="shared" si="45"/>
        <v>0.9</v>
      </c>
      <c r="H182">
        <f t="shared" si="46"/>
        <v>211370.53613208703</v>
      </c>
      <c r="I182">
        <f t="shared" si="38"/>
        <v>0</v>
      </c>
      <c r="J182">
        <f t="shared" si="39"/>
        <v>211370.53613208703</v>
      </c>
      <c r="K182">
        <f t="shared" si="40"/>
        <v>211249.98618743854</v>
      </c>
      <c r="L182">
        <f t="shared" si="47"/>
        <v>211249.98618743854</v>
      </c>
      <c r="M182">
        <f t="shared" si="41"/>
        <v>211370.53613208703</v>
      </c>
      <c r="N182" s="29">
        <f t="shared" si="48"/>
        <v>0</v>
      </c>
      <c r="O182" s="29">
        <f t="shared" si="42"/>
        <v>0</v>
      </c>
      <c r="P182" s="29">
        <f t="shared" si="49"/>
        <v>211370.53613208703</v>
      </c>
      <c r="Q182">
        <f t="shared" si="50"/>
        <v>0</v>
      </c>
      <c r="R182" s="29">
        <f t="shared" si="51"/>
        <v>0</v>
      </c>
      <c r="S182" s="29">
        <f t="shared" si="43"/>
        <v>0</v>
      </c>
      <c r="T182" s="29">
        <f t="shared" si="52"/>
        <v>211370.53613208703</v>
      </c>
      <c r="U182">
        <f t="shared" si="53"/>
        <v>0</v>
      </c>
      <c r="V182" s="29">
        <f t="shared" si="54"/>
        <v>0</v>
      </c>
      <c r="W182" s="29">
        <f t="shared" si="44"/>
        <v>0</v>
      </c>
      <c r="X182" s="29">
        <f t="shared" si="55"/>
        <v>211370.53613208703</v>
      </c>
      <c r="Y182">
        <f t="shared" si="56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allocations'!$A$1:$L$317,5,FALSE)</f>
        <v>53091.245943821988</v>
      </c>
      <c r="E183" s="31">
        <f>VLOOKUP(B183,'Initial adjusted formula count'!$A$1:$P$317,12,FALSE)</f>
        <v>0.10993657505285399</v>
      </c>
      <c r="F183">
        <f>VLOOKUP(B183,'Model allocations'!$A$1:$L$317,10,FALSE)</f>
        <v>45127.559052248689</v>
      </c>
      <c r="G183" s="30">
        <f t="shared" si="45"/>
        <v>0.85</v>
      </c>
      <c r="H183">
        <f t="shared" si="46"/>
        <v>45127.559052248689</v>
      </c>
      <c r="I183">
        <f t="shared" si="38"/>
        <v>0</v>
      </c>
      <c r="J183">
        <f t="shared" si="39"/>
        <v>45127.559052248689</v>
      </c>
      <c r="K183">
        <f t="shared" si="40"/>
        <v>45101.821667817443</v>
      </c>
      <c r="L183">
        <f t="shared" si="47"/>
        <v>45101.821667817443</v>
      </c>
      <c r="M183">
        <f t="shared" si="41"/>
        <v>45127.559052248689</v>
      </c>
      <c r="N183" s="29">
        <f t="shared" si="48"/>
        <v>0</v>
      </c>
      <c r="O183" s="29">
        <f t="shared" si="42"/>
        <v>0</v>
      </c>
      <c r="P183" s="29">
        <f t="shared" si="49"/>
        <v>45127.559052248689</v>
      </c>
      <c r="Q183">
        <f t="shared" si="50"/>
        <v>0</v>
      </c>
      <c r="R183" s="29">
        <f t="shared" si="51"/>
        <v>0</v>
      </c>
      <c r="S183" s="29">
        <f t="shared" si="43"/>
        <v>0</v>
      </c>
      <c r="T183" s="29">
        <f t="shared" si="52"/>
        <v>45127.559052248689</v>
      </c>
      <c r="U183">
        <f t="shared" si="53"/>
        <v>0</v>
      </c>
      <c r="V183" s="29">
        <f t="shared" si="54"/>
        <v>0</v>
      </c>
      <c r="W183" s="29">
        <f t="shared" si="44"/>
        <v>0</v>
      </c>
      <c r="X183" s="29">
        <f t="shared" si="55"/>
        <v>45127.559052248689</v>
      </c>
      <c r="Y183">
        <f t="shared" si="56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allocations'!$A$1:$L$317,5,FALSE)</f>
        <v>12429.010501487892</v>
      </c>
      <c r="E184" s="31">
        <f>VLOOKUP(B184,'Initial adjusted formula count'!$A$1:$P$317,12,FALSE)</f>
        <v>0.38095238095238099</v>
      </c>
      <c r="F184">
        <f>VLOOKUP(B184,'Model allocations'!$A$1:$L$317,10,FALSE)</f>
        <v>19265.637217245407</v>
      </c>
      <c r="G184" s="30">
        <f t="shared" si="45"/>
        <v>0.95</v>
      </c>
      <c r="H184">
        <f t="shared" si="46"/>
        <v>11807.559976413497</v>
      </c>
      <c r="I184">
        <f t="shared" si="38"/>
        <v>0</v>
      </c>
      <c r="J184">
        <f t="shared" si="39"/>
        <v>19265.637217245407</v>
      </c>
      <c r="K184">
        <f t="shared" si="40"/>
        <v>19254.649538722864</v>
      </c>
      <c r="L184">
        <f t="shared" si="47"/>
        <v>19254.649538722864</v>
      </c>
      <c r="M184">
        <f t="shared" si="41"/>
        <v>0</v>
      </c>
      <c r="N184" s="29">
        <f t="shared" si="48"/>
        <v>19254.649538722864</v>
      </c>
      <c r="O184" s="29">
        <f t="shared" si="42"/>
        <v>19253.34027116522</v>
      </c>
      <c r="P184" s="29">
        <f t="shared" si="49"/>
        <v>19253.34027116522</v>
      </c>
      <c r="Q184">
        <f t="shared" si="50"/>
        <v>0</v>
      </c>
      <c r="R184" s="29">
        <f t="shared" si="51"/>
        <v>19253.34027116522</v>
      </c>
      <c r="S184" s="29">
        <f t="shared" si="43"/>
        <v>19253.340271165223</v>
      </c>
      <c r="T184" s="29">
        <f t="shared" si="52"/>
        <v>19253.340271165223</v>
      </c>
      <c r="U184">
        <f t="shared" si="53"/>
        <v>0</v>
      </c>
      <c r="V184" s="29">
        <f t="shared" si="54"/>
        <v>19253.340271165223</v>
      </c>
      <c r="W184" s="29">
        <f t="shared" si="44"/>
        <v>19253.340271165223</v>
      </c>
      <c r="X184" s="29">
        <f t="shared" si="55"/>
        <v>19253.340271165223</v>
      </c>
      <c r="Y184">
        <f t="shared" si="56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allocations'!$A$1:$L$317,5,FALSE)</f>
        <v>32513.243640015011</v>
      </c>
      <c r="E185" s="31">
        <f>VLOOKUP(B185,'Initial adjusted formula count'!$A$1:$P$317,12,FALSE)</f>
        <v>0.146596858638743</v>
      </c>
      <c r="F185">
        <f>VLOOKUP(B185,'Model allocations'!$A$1:$L$317,10,FALSE)</f>
        <v>35226.00573560287</v>
      </c>
      <c r="G185" s="30">
        <f t="shared" si="45"/>
        <v>0.85</v>
      </c>
      <c r="H185">
        <f t="shared" si="46"/>
        <v>27636.257094012759</v>
      </c>
      <c r="I185">
        <f t="shared" si="38"/>
        <v>0</v>
      </c>
      <c r="J185">
        <f t="shared" si="39"/>
        <v>35226.00573560287</v>
      </c>
      <c r="K185">
        <f t="shared" si="40"/>
        <v>35205.915456610717</v>
      </c>
      <c r="L185">
        <f t="shared" si="47"/>
        <v>35205.915456610717</v>
      </c>
      <c r="M185">
        <f t="shared" si="41"/>
        <v>0</v>
      </c>
      <c r="N185" s="29">
        <f t="shared" si="48"/>
        <v>35205.915456610717</v>
      </c>
      <c r="O185" s="29">
        <f t="shared" si="42"/>
        <v>35203.521543241804</v>
      </c>
      <c r="P185" s="29">
        <f t="shared" si="49"/>
        <v>35203.521543241804</v>
      </c>
      <c r="Q185">
        <f t="shared" si="50"/>
        <v>0</v>
      </c>
      <c r="R185" s="29">
        <f t="shared" si="51"/>
        <v>35203.521543241804</v>
      </c>
      <c r="S185" s="29">
        <f t="shared" si="43"/>
        <v>35203.521543241812</v>
      </c>
      <c r="T185" s="29">
        <f t="shared" si="52"/>
        <v>35203.521543241812</v>
      </c>
      <c r="U185">
        <f t="shared" si="53"/>
        <v>0</v>
      </c>
      <c r="V185" s="29">
        <f t="shared" si="54"/>
        <v>35203.521543241812</v>
      </c>
      <c r="W185" s="29">
        <f t="shared" si="44"/>
        <v>35203.521543241812</v>
      </c>
      <c r="X185" s="29">
        <f t="shared" si="55"/>
        <v>35203.521543241812</v>
      </c>
      <c r="Y185">
        <f t="shared" si="56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allocations'!$A$1:$L$317,5,FALSE)</f>
        <v>9054.3210136750695</v>
      </c>
      <c r="E186" s="31">
        <f>VLOOKUP(B186,'Initial adjusted formula count'!$A$1:$P$317,12,FALSE)</f>
        <v>8.98876404494382E-2</v>
      </c>
      <c r="F186">
        <f>VLOOKUP(B186,'Model allocations'!$A$1:$L$317,10,FALSE)</f>
        <v>7696.1728616238088</v>
      </c>
      <c r="G186" s="30">
        <f t="shared" si="45"/>
        <v>0.85</v>
      </c>
      <c r="H186">
        <f t="shared" si="46"/>
        <v>7696.1728616238088</v>
      </c>
      <c r="I186">
        <f t="shared" si="38"/>
        <v>0</v>
      </c>
      <c r="J186">
        <f t="shared" si="39"/>
        <v>7696.1728616238088</v>
      </c>
      <c r="K186">
        <f t="shared" si="40"/>
        <v>7691.7835402479368</v>
      </c>
      <c r="L186">
        <f t="shared" si="47"/>
        <v>7691.7835402479368</v>
      </c>
      <c r="M186">
        <f t="shared" si="41"/>
        <v>7696.1728616238088</v>
      </c>
      <c r="N186" s="29">
        <f t="shared" si="48"/>
        <v>0</v>
      </c>
      <c r="O186" s="29">
        <f t="shared" si="42"/>
        <v>0</v>
      </c>
      <c r="P186" s="29">
        <f t="shared" si="49"/>
        <v>7696.1728616238088</v>
      </c>
      <c r="Q186">
        <f t="shared" si="50"/>
        <v>0</v>
      </c>
      <c r="R186" s="29">
        <f t="shared" si="51"/>
        <v>0</v>
      </c>
      <c r="S186" s="29">
        <f t="shared" si="43"/>
        <v>0</v>
      </c>
      <c r="T186" s="29">
        <f t="shared" si="52"/>
        <v>7696.1728616238088</v>
      </c>
      <c r="U186">
        <f t="shared" si="53"/>
        <v>0</v>
      </c>
      <c r="V186" s="29">
        <f t="shared" si="54"/>
        <v>0</v>
      </c>
      <c r="W186" s="29">
        <f t="shared" si="44"/>
        <v>0</v>
      </c>
      <c r="X186" s="29">
        <f t="shared" si="55"/>
        <v>7696.1728616238088</v>
      </c>
      <c r="Y186">
        <f t="shared" si="56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allocations'!$A$1:$L$317,5,FALSE)</f>
        <v>22149.173935707247</v>
      </c>
      <c r="E187" s="31">
        <f>VLOOKUP(B187,'Initial adjusted formula count'!$A$1:$P$317,12,FALSE)</f>
        <v>0.34615384615384598</v>
      </c>
      <c r="F187">
        <f>VLOOKUP(B187,'Model allocations'!$A$1:$L$317,10,FALSE)</f>
        <v>33588.940022622373</v>
      </c>
      <c r="G187" s="30">
        <f t="shared" si="45"/>
        <v>0.95</v>
      </c>
      <c r="H187">
        <f t="shared" si="46"/>
        <v>21041.715238921883</v>
      </c>
      <c r="I187">
        <f t="shared" si="38"/>
        <v>0</v>
      </c>
      <c r="J187">
        <f t="shared" si="39"/>
        <v>33588.940022622373</v>
      </c>
      <c r="K187">
        <f t="shared" si="40"/>
        <v>33569.783403470887</v>
      </c>
      <c r="L187">
        <f t="shared" si="47"/>
        <v>33569.783403470887</v>
      </c>
      <c r="M187">
        <f t="shared" si="41"/>
        <v>0</v>
      </c>
      <c r="N187" s="29">
        <f t="shared" si="48"/>
        <v>33569.783403470887</v>
      </c>
      <c r="O187" s="29">
        <f t="shared" si="42"/>
        <v>33567.50074295095</v>
      </c>
      <c r="P187" s="29">
        <f t="shared" si="49"/>
        <v>33567.50074295095</v>
      </c>
      <c r="Q187">
        <f t="shared" si="50"/>
        <v>0</v>
      </c>
      <c r="R187" s="29">
        <f t="shared" si="51"/>
        <v>33567.50074295095</v>
      </c>
      <c r="S187" s="29">
        <f t="shared" si="43"/>
        <v>33567.500742950964</v>
      </c>
      <c r="T187" s="29">
        <f t="shared" si="52"/>
        <v>33567.500742950964</v>
      </c>
      <c r="U187">
        <f t="shared" si="53"/>
        <v>0</v>
      </c>
      <c r="V187" s="29">
        <f t="shared" si="54"/>
        <v>33567.500742950964</v>
      </c>
      <c r="W187" s="29">
        <f t="shared" si="44"/>
        <v>33567.500742950964</v>
      </c>
      <c r="X187" s="29">
        <f t="shared" si="55"/>
        <v>33567.500742950964</v>
      </c>
      <c r="Y187">
        <f t="shared" si="56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allocations'!$A$1:$L$317,5,FALSE)</f>
        <v>25741.675201066904</v>
      </c>
      <c r="E188" s="31">
        <f>VLOOKUP(B188,'Initial adjusted formula count'!$A$1:$P$317,12,FALSE)</f>
        <v>7.1969696969697003E-2</v>
      </c>
      <c r="F188">
        <f>VLOOKUP(B188,'Model allocations'!$A$1:$L$317,10,FALSE)</f>
        <v>21880.423920906869</v>
      </c>
      <c r="G188" s="30">
        <f t="shared" si="45"/>
        <v>0.85</v>
      </c>
      <c r="H188">
        <f t="shared" si="46"/>
        <v>21880.423920906869</v>
      </c>
      <c r="I188">
        <f t="shared" si="38"/>
        <v>0</v>
      </c>
      <c r="J188">
        <f t="shared" si="39"/>
        <v>21880.423920906869</v>
      </c>
      <c r="K188">
        <f t="shared" si="40"/>
        <v>21867.944963617843</v>
      </c>
      <c r="L188">
        <f t="shared" si="47"/>
        <v>21867.944963617843</v>
      </c>
      <c r="M188">
        <f t="shared" si="41"/>
        <v>21880.423920906869</v>
      </c>
      <c r="N188" s="29">
        <f t="shared" si="48"/>
        <v>0</v>
      </c>
      <c r="O188" s="29">
        <f t="shared" si="42"/>
        <v>0</v>
      </c>
      <c r="P188" s="29">
        <f t="shared" si="49"/>
        <v>21880.423920906869</v>
      </c>
      <c r="Q188">
        <f t="shared" si="50"/>
        <v>0</v>
      </c>
      <c r="R188" s="29">
        <f t="shared" si="51"/>
        <v>0</v>
      </c>
      <c r="S188" s="29">
        <f t="shared" si="43"/>
        <v>0</v>
      </c>
      <c r="T188" s="29">
        <f t="shared" si="52"/>
        <v>21880.423920906869</v>
      </c>
      <c r="U188">
        <f t="shared" si="53"/>
        <v>0</v>
      </c>
      <c r="V188" s="29">
        <f t="shared" si="54"/>
        <v>0</v>
      </c>
      <c r="W188" s="29">
        <f t="shared" si="44"/>
        <v>0</v>
      </c>
      <c r="X188" s="29">
        <f t="shared" si="55"/>
        <v>21880.423920906869</v>
      </c>
      <c r="Y188">
        <f t="shared" si="56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allocations'!$A$1:$L$317,5,FALSE)</f>
        <v>195219.57189374111</v>
      </c>
      <c r="E189" s="31">
        <f>VLOOKUP(B189,'Initial adjusted formula count'!$A$1:$P$317,12,FALSE)</f>
        <v>0.215317919075144</v>
      </c>
      <c r="F189">
        <f>VLOOKUP(B189,'Model allocations'!$A$1:$L$317,10,FALSE)</f>
        <v>175697.61470436701</v>
      </c>
      <c r="G189" s="30">
        <f t="shared" si="45"/>
        <v>0.9</v>
      </c>
      <c r="H189">
        <f t="shared" si="46"/>
        <v>175697.61470436701</v>
      </c>
      <c r="I189">
        <f t="shared" si="38"/>
        <v>0</v>
      </c>
      <c r="J189">
        <f t="shared" si="39"/>
        <v>175697.61470436701</v>
      </c>
      <c r="K189">
        <f t="shared" si="40"/>
        <v>175597.40992599502</v>
      </c>
      <c r="L189">
        <f t="shared" si="47"/>
        <v>175597.40992599502</v>
      </c>
      <c r="M189">
        <f t="shared" si="41"/>
        <v>175697.61470436701</v>
      </c>
      <c r="N189" s="29">
        <f t="shared" si="48"/>
        <v>0</v>
      </c>
      <c r="O189" s="29">
        <f t="shared" si="42"/>
        <v>0</v>
      </c>
      <c r="P189" s="29">
        <f t="shared" si="49"/>
        <v>175697.61470436701</v>
      </c>
      <c r="Q189">
        <f t="shared" si="50"/>
        <v>0</v>
      </c>
      <c r="R189" s="29">
        <f t="shared" si="51"/>
        <v>0</v>
      </c>
      <c r="S189" s="29">
        <f t="shared" si="43"/>
        <v>0</v>
      </c>
      <c r="T189" s="29">
        <f t="shared" si="52"/>
        <v>175697.61470436701</v>
      </c>
      <c r="U189">
        <f t="shared" si="53"/>
        <v>0</v>
      </c>
      <c r="V189" s="29">
        <f t="shared" si="54"/>
        <v>0</v>
      </c>
      <c r="W189" s="29">
        <f t="shared" si="44"/>
        <v>0</v>
      </c>
      <c r="X189" s="29">
        <f t="shared" si="55"/>
        <v>175697.61470436701</v>
      </c>
      <c r="Y189">
        <f t="shared" si="56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allocations'!$A$1:$L$317,5,FALSE)</f>
        <v>71199.887971172124</v>
      </c>
      <c r="E190" s="31">
        <f>VLOOKUP(B190,'Initial adjusted formula count'!$A$1:$P$317,12,FALSE)</f>
        <v>5.0091631032376301E-2</v>
      </c>
      <c r="F190">
        <f>VLOOKUP(B190,'Model allocations'!$A$1:$L$317,10,FALSE)</f>
        <v>68774.582626653209</v>
      </c>
      <c r="G190" s="30">
        <f t="shared" si="45"/>
        <v>0.85</v>
      </c>
      <c r="H190">
        <f t="shared" si="46"/>
        <v>60519.904775496303</v>
      </c>
      <c r="I190">
        <f t="shared" si="38"/>
        <v>0</v>
      </c>
      <c r="J190">
        <f t="shared" si="39"/>
        <v>68774.582626653209</v>
      </c>
      <c r="K190">
        <f t="shared" si="40"/>
        <v>68735.358748620914</v>
      </c>
      <c r="L190">
        <f t="shared" si="47"/>
        <v>68735.358748620914</v>
      </c>
      <c r="M190">
        <f t="shared" si="41"/>
        <v>0</v>
      </c>
      <c r="N190" s="29">
        <f t="shared" si="48"/>
        <v>68735.358748620914</v>
      </c>
      <c r="O190" s="29">
        <f t="shared" si="42"/>
        <v>68730.684917757797</v>
      </c>
      <c r="P190" s="29">
        <f t="shared" si="49"/>
        <v>68730.684917757797</v>
      </c>
      <c r="Q190">
        <f t="shared" si="50"/>
        <v>0</v>
      </c>
      <c r="R190" s="29">
        <f t="shared" si="51"/>
        <v>68730.684917757797</v>
      </c>
      <c r="S190" s="29">
        <f t="shared" si="43"/>
        <v>68730.684917757826</v>
      </c>
      <c r="T190" s="29">
        <f t="shared" si="52"/>
        <v>68730.684917757826</v>
      </c>
      <c r="U190">
        <f t="shared" si="53"/>
        <v>0</v>
      </c>
      <c r="V190" s="29">
        <f t="shared" si="54"/>
        <v>68730.684917757826</v>
      </c>
      <c r="W190" s="29">
        <f t="shared" si="44"/>
        <v>68730.684917757826</v>
      </c>
      <c r="X190" s="29">
        <f t="shared" si="55"/>
        <v>68730.684917757826</v>
      </c>
      <c r="Y190">
        <f t="shared" si="56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allocations'!$A$1:$L$317,5,FALSE)</f>
        <v>362946.4858778714</v>
      </c>
      <c r="E191" s="31">
        <f>VLOOKUP(B191,'Initial adjusted formula count'!$A$1:$P$317,12,FALSE)</f>
        <v>0.199514991181658</v>
      </c>
      <c r="F191">
        <f>VLOOKUP(B191,'Model allocations'!$A$1:$L$317,10,FALSE)</f>
        <v>441884.40954893193</v>
      </c>
      <c r="G191" s="30">
        <f t="shared" si="45"/>
        <v>0.9</v>
      </c>
      <c r="H191">
        <f t="shared" si="46"/>
        <v>326651.83729008428</v>
      </c>
      <c r="I191">
        <f t="shared" si="38"/>
        <v>0</v>
      </c>
      <c r="J191">
        <f t="shared" si="39"/>
        <v>441884.40954893193</v>
      </c>
      <c r="K191">
        <f t="shared" si="40"/>
        <v>441632.39173184667</v>
      </c>
      <c r="L191">
        <f t="shared" si="47"/>
        <v>441632.39173184667</v>
      </c>
      <c r="M191">
        <f t="shared" si="41"/>
        <v>0</v>
      </c>
      <c r="N191" s="29">
        <f t="shared" si="48"/>
        <v>441632.39173184667</v>
      </c>
      <c r="O191" s="29">
        <f t="shared" si="42"/>
        <v>441602.36184417008</v>
      </c>
      <c r="P191" s="29">
        <f t="shared" si="49"/>
        <v>441602.36184417008</v>
      </c>
      <c r="Q191">
        <f t="shared" si="50"/>
        <v>0</v>
      </c>
      <c r="R191" s="29">
        <f t="shared" si="51"/>
        <v>441602.36184417008</v>
      </c>
      <c r="S191" s="29">
        <f t="shared" si="43"/>
        <v>441602.3618441702</v>
      </c>
      <c r="T191" s="29">
        <f t="shared" si="52"/>
        <v>441602.3618441702</v>
      </c>
      <c r="U191">
        <f t="shared" si="53"/>
        <v>0</v>
      </c>
      <c r="V191" s="29">
        <f t="shared" si="54"/>
        <v>441602.3618441702</v>
      </c>
      <c r="W191" s="29">
        <f t="shared" si="44"/>
        <v>441602.3618441702</v>
      </c>
      <c r="X191" s="29">
        <f t="shared" si="55"/>
        <v>441602.3618441702</v>
      </c>
      <c r="Y191">
        <f t="shared" si="56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allocations'!$A$1:$L$317,5,FALSE)</f>
        <v>5079.7004827414748</v>
      </c>
      <c r="E192" s="31">
        <f>VLOOKUP(B192,'Initial adjusted formula count'!$A$1:$P$317,12,FALSE)</f>
        <v>0.10638297872340401</v>
      </c>
      <c r="F192">
        <f>VLOOKUP(B192,'Model allocations'!$A$1:$L$317,10,FALSE)</f>
        <v>0</v>
      </c>
      <c r="G192" s="30">
        <f t="shared" si="45"/>
        <v>0.85</v>
      </c>
      <c r="H192">
        <f t="shared" si="46"/>
        <v>0</v>
      </c>
      <c r="I192">
        <f t="shared" si="38"/>
        <v>0</v>
      </c>
      <c r="J192">
        <f t="shared" si="39"/>
        <v>0</v>
      </c>
      <c r="K192">
        <f t="shared" si="40"/>
        <v>0</v>
      </c>
      <c r="L192">
        <f t="shared" si="47"/>
        <v>0</v>
      </c>
      <c r="M192">
        <f t="shared" si="41"/>
        <v>0</v>
      </c>
      <c r="N192" s="29">
        <f t="shared" si="48"/>
        <v>0</v>
      </c>
      <c r="O192" s="29">
        <f t="shared" si="42"/>
        <v>0</v>
      </c>
      <c r="P192" s="29">
        <f t="shared" si="49"/>
        <v>0</v>
      </c>
      <c r="Q192">
        <f t="shared" si="50"/>
        <v>0</v>
      </c>
      <c r="R192" s="29">
        <f t="shared" si="51"/>
        <v>0</v>
      </c>
      <c r="S192" s="29">
        <f t="shared" si="43"/>
        <v>0</v>
      </c>
      <c r="T192" s="29">
        <f t="shared" si="52"/>
        <v>0</v>
      </c>
      <c r="U192">
        <f t="shared" si="53"/>
        <v>0</v>
      </c>
      <c r="V192" s="29">
        <f t="shared" si="54"/>
        <v>0</v>
      </c>
      <c r="W192" s="29">
        <f t="shared" si="44"/>
        <v>0</v>
      </c>
      <c r="X192" s="29">
        <f t="shared" si="55"/>
        <v>0</v>
      </c>
      <c r="Y192">
        <f t="shared" si="56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allocations'!$A$1:$L$317,5,FALSE)</f>
        <v>0</v>
      </c>
      <c r="E193" s="31">
        <f>VLOOKUP(B193,'Initial adjusted formula count'!$A$1:$P$317,12,FALSE)</f>
        <v>4.8582995951416998E-2</v>
      </c>
      <c r="F193">
        <f>VLOOKUP(B193,'Model allocations'!$A$1:$L$317,10,FALSE)</f>
        <v>0</v>
      </c>
      <c r="G193" s="30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29">
        <f t="shared" si="48"/>
        <v>0</v>
      </c>
      <c r="O193" s="29">
        <f t="shared" si="42"/>
        <v>0</v>
      </c>
      <c r="P193" s="29">
        <f t="shared" si="49"/>
        <v>0</v>
      </c>
      <c r="Q193">
        <f t="shared" si="50"/>
        <v>0</v>
      </c>
      <c r="R193" s="29">
        <f t="shared" si="51"/>
        <v>0</v>
      </c>
      <c r="S193" s="29">
        <f t="shared" si="43"/>
        <v>0</v>
      </c>
      <c r="T193" s="29">
        <f t="shared" si="52"/>
        <v>0</v>
      </c>
      <c r="U193">
        <f t="shared" si="53"/>
        <v>0</v>
      </c>
      <c r="V193" s="29">
        <f t="shared" si="54"/>
        <v>0</v>
      </c>
      <c r="W193" s="29">
        <f t="shared" si="44"/>
        <v>0</v>
      </c>
      <c r="X193" s="29">
        <f t="shared" si="55"/>
        <v>0</v>
      </c>
      <c r="Y193">
        <f t="shared" si="56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allocations'!$A$1:$L$317,5,FALSE)</f>
        <v>1385105.3350692478</v>
      </c>
      <c r="E194" s="31">
        <f>VLOOKUP(B194,'Initial adjusted formula count'!$A$1:$P$317,12,FALSE)</f>
        <v>0.15642321086967201</v>
      </c>
      <c r="F194">
        <f>VLOOKUP(B194,'Model allocations'!$A$1:$L$317,10,FALSE)</f>
        <v>2055479.3703935407</v>
      </c>
      <c r="G194" s="30">
        <f t="shared" si="45"/>
        <v>0.9</v>
      </c>
      <c r="H194">
        <f t="shared" si="46"/>
        <v>1246594.801562323</v>
      </c>
      <c r="I194">
        <f t="shared" si="38"/>
        <v>0</v>
      </c>
      <c r="J194">
        <f t="shared" si="39"/>
        <v>2055479.3703935407</v>
      </c>
      <c r="K194">
        <f t="shared" si="40"/>
        <v>2054307.0786973501</v>
      </c>
      <c r="L194">
        <f t="shared" si="47"/>
        <v>2054307.0786973501</v>
      </c>
      <c r="M194">
        <f t="shared" si="41"/>
        <v>0</v>
      </c>
      <c r="N194" s="29">
        <f t="shared" si="48"/>
        <v>2054307.0786973501</v>
      </c>
      <c r="O194" s="29">
        <f t="shared" si="42"/>
        <v>2054167.391002377</v>
      </c>
      <c r="P194" s="29">
        <f t="shared" si="49"/>
        <v>2054167.391002377</v>
      </c>
      <c r="Q194">
        <f t="shared" si="50"/>
        <v>0</v>
      </c>
      <c r="R194" s="29">
        <f t="shared" si="51"/>
        <v>2054167.391002377</v>
      </c>
      <c r="S194" s="29">
        <f t="shared" si="43"/>
        <v>2054167.3910023777</v>
      </c>
      <c r="T194" s="29">
        <f t="shared" si="52"/>
        <v>2054167.3910023777</v>
      </c>
      <c r="U194">
        <f t="shared" si="53"/>
        <v>0</v>
      </c>
      <c r="V194" s="29">
        <f t="shared" si="54"/>
        <v>2054167.3910023777</v>
      </c>
      <c r="W194" s="29">
        <f t="shared" si="44"/>
        <v>2054167.3910023777</v>
      </c>
      <c r="X194" s="29">
        <f t="shared" si="55"/>
        <v>2054167.3910023777</v>
      </c>
      <c r="Y194">
        <f t="shared" si="56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allocations'!$A$1:$L$317,5,FALSE)</f>
        <v>27961.209980039668</v>
      </c>
      <c r="E195" s="31">
        <f>VLOOKUP(B195,'Initial adjusted formula count'!$A$1:$P$317,12,FALSE)</f>
        <v>0.16027874564459901</v>
      </c>
      <c r="F195">
        <f>VLOOKUP(B195,'Model allocations'!$A$1:$L$317,10,FALSE)</f>
        <v>25165.088982035701</v>
      </c>
      <c r="G195" s="30">
        <f t="shared" si="45"/>
        <v>0.9</v>
      </c>
      <c r="H195">
        <f t="shared" si="46"/>
        <v>25165.088982035701</v>
      </c>
      <c r="I195">
        <f t="shared" si="38"/>
        <v>0</v>
      </c>
      <c r="J195">
        <f t="shared" si="39"/>
        <v>25165.088982035701</v>
      </c>
      <c r="K195">
        <f t="shared" si="40"/>
        <v>25150.736697467702</v>
      </c>
      <c r="L195">
        <f t="shared" si="47"/>
        <v>25150.736697467702</v>
      </c>
      <c r="M195">
        <f t="shared" si="41"/>
        <v>25165.088982035701</v>
      </c>
      <c r="N195" s="29">
        <f t="shared" si="48"/>
        <v>0</v>
      </c>
      <c r="O195" s="29">
        <f t="shared" si="42"/>
        <v>0</v>
      </c>
      <c r="P195" s="29">
        <f t="shared" si="49"/>
        <v>25165.088982035701</v>
      </c>
      <c r="Q195">
        <f t="shared" si="50"/>
        <v>0</v>
      </c>
      <c r="R195" s="29">
        <f t="shared" si="51"/>
        <v>0</v>
      </c>
      <c r="S195" s="29">
        <f t="shared" si="43"/>
        <v>0</v>
      </c>
      <c r="T195" s="29">
        <f t="shared" si="52"/>
        <v>25165.088982035701</v>
      </c>
      <c r="U195">
        <f t="shared" si="53"/>
        <v>0</v>
      </c>
      <c r="V195" s="29">
        <f t="shared" si="54"/>
        <v>0</v>
      </c>
      <c r="W195" s="29">
        <f t="shared" si="44"/>
        <v>0</v>
      </c>
      <c r="X195" s="29">
        <f t="shared" si="55"/>
        <v>25165.088982035701</v>
      </c>
      <c r="Y195">
        <f t="shared" si="56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allocations'!$A$1:$L$317,5,FALSE)</f>
        <v>0</v>
      </c>
      <c r="E196" s="31">
        <f>VLOOKUP(B196,'Initial adjusted formula count'!$A$1:$P$317,12,FALSE)</f>
        <v>4.49438202247191E-2</v>
      </c>
      <c r="F196">
        <f>VLOOKUP(B196,'Model allocations'!$A$1:$L$317,10,FALSE)</f>
        <v>0</v>
      </c>
      <c r="G196" s="30">
        <f t="shared" si="45"/>
        <v>0.85</v>
      </c>
      <c r="H196">
        <f t="shared" si="4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si="47"/>
        <v>0</v>
      </c>
      <c r="M196">
        <f t="shared" ref="M196:M258" si="60">IF(L196&lt;H196,H196,0)</f>
        <v>0</v>
      </c>
      <c r="N196" s="29">
        <f t="shared" si="48"/>
        <v>0</v>
      </c>
      <c r="O196" s="29">
        <f t="shared" ref="O196:O258" si="61">((N196/$N$3)*($F$3-$I$3-$M$3))</f>
        <v>0</v>
      </c>
      <c r="P196" s="29">
        <f t="shared" si="49"/>
        <v>0</v>
      </c>
      <c r="Q196">
        <f t="shared" si="50"/>
        <v>0</v>
      </c>
      <c r="R196" s="29">
        <f t="shared" si="51"/>
        <v>0</v>
      </c>
      <c r="S196" s="29">
        <f t="shared" ref="S196:S258" si="62">((R196/$R$3)*($F$3-$I$3-$M$3-$Q$3))</f>
        <v>0</v>
      </c>
      <c r="T196" s="29">
        <f t="shared" si="52"/>
        <v>0</v>
      </c>
      <c r="U196">
        <f t="shared" si="53"/>
        <v>0</v>
      </c>
      <c r="V196" s="29">
        <f t="shared" si="54"/>
        <v>0</v>
      </c>
      <c r="W196" s="29">
        <f t="shared" ref="W196:W258" si="63">((V196/$V$3)*($F$3-$I$3-$M$3-$Q$3-$U$3))</f>
        <v>0</v>
      </c>
      <c r="X196" s="29">
        <f t="shared" si="55"/>
        <v>0</v>
      </c>
      <c r="Y196">
        <f t="shared" si="56"/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allocations'!$A$1:$L$317,5,FALSE)</f>
        <v>12757.7724962539</v>
      </c>
      <c r="E197" s="31">
        <f>VLOOKUP(B197,'Initial adjusted formula count'!$A$1:$P$317,12,FALSE)</f>
        <v>9.1269841269841306E-2</v>
      </c>
      <c r="F197">
        <f>VLOOKUP(B197,'Model allocations'!$A$1:$L$317,10,FALSE)</f>
        <v>10844.106621815814</v>
      </c>
      <c r="G197" s="30">
        <f t="shared" ref="G197:G259" si="64">IF(E197&lt;0.15,0.85,IF(AND(E197&gt;=0.15,E197&lt;0.3),0.9,0.95))</f>
        <v>0.85</v>
      </c>
      <c r="H197">
        <f t="shared" ref="H197:H259" si="65">IF(F197 = 0, 0, D197*G197)</f>
        <v>10844.106621815814</v>
      </c>
      <c r="I197">
        <f t="shared" si="57"/>
        <v>0</v>
      </c>
      <c r="J197">
        <f t="shared" si="58"/>
        <v>10844.106621815814</v>
      </c>
      <c r="K197">
        <f t="shared" si="59"/>
        <v>10837.921954468397</v>
      </c>
      <c r="L197">
        <f t="shared" ref="L197:L259" si="66">I197+K197</f>
        <v>10837.921954468397</v>
      </c>
      <c r="M197">
        <f t="shared" si="60"/>
        <v>10844.106621815814</v>
      </c>
      <c r="N197" s="29">
        <f t="shared" ref="N197:N259" si="67">IF($I197+$M197=0,L197,0)</f>
        <v>0</v>
      </c>
      <c r="O197" s="29">
        <f t="shared" si="61"/>
        <v>0</v>
      </c>
      <c r="P197" s="29">
        <f t="shared" ref="P197:P259" si="68">$I197+$M197+O197</f>
        <v>10844.106621815814</v>
      </c>
      <c r="Q197">
        <f t="shared" ref="Q197:Q259" si="69">IF(P197&lt;H197,H197,0)</f>
        <v>0</v>
      </c>
      <c r="R197" s="29">
        <f t="shared" ref="R197:R259" si="70">IF($I197+$M197+$Q197=0,P197,0)</f>
        <v>0</v>
      </c>
      <c r="S197" s="29">
        <f t="shared" si="62"/>
        <v>0</v>
      </c>
      <c r="T197" s="29">
        <f t="shared" ref="T197:T259" si="71">$I197+$M197+$Q197+S197</f>
        <v>10844.106621815814</v>
      </c>
      <c r="U197">
        <f t="shared" ref="U197:U259" si="72">IF(T197&lt;H197,H197,0)</f>
        <v>0</v>
      </c>
      <c r="V197" s="29">
        <f t="shared" ref="V197:V259" si="73">IF($I197+$M197+$Q197+U197=0,T197,0)</f>
        <v>0</v>
      </c>
      <c r="W197" s="29">
        <f t="shared" si="63"/>
        <v>0</v>
      </c>
      <c r="X197" s="29">
        <f t="shared" ref="X197:X259" si="74">$I197+$M197+$Q197+$U197+W197</f>
        <v>10844.106621815814</v>
      </c>
      <c r="Y197">
        <f t="shared" ref="Y197:Y259" si="75">IF(X197&lt;H197,H197,0)</f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allocations'!$A$1:$L$317,5,FALSE)</f>
        <v>0</v>
      </c>
      <c r="E198" s="31">
        <f>VLOOKUP(B198,'Initial adjusted formula count'!$A$1:$P$317,12,FALSE)</f>
        <v>4.4242527173912999E-2</v>
      </c>
      <c r="F198">
        <f>VLOOKUP(B198,'Model allocations'!$A$1:$L$317,10,FALSE)</f>
        <v>0</v>
      </c>
      <c r="G198" s="30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29">
        <f t="shared" si="67"/>
        <v>0</v>
      </c>
      <c r="O198" s="29">
        <f t="shared" si="61"/>
        <v>0</v>
      </c>
      <c r="P198" s="29">
        <f t="shared" si="68"/>
        <v>0</v>
      </c>
      <c r="Q198">
        <f t="shared" si="69"/>
        <v>0</v>
      </c>
      <c r="R198" s="29">
        <f t="shared" si="70"/>
        <v>0</v>
      </c>
      <c r="S198" s="29">
        <f t="shared" si="62"/>
        <v>0</v>
      </c>
      <c r="T198" s="29">
        <f t="shared" si="71"/>
        <v>0</v>
      </c>
      <c r="U198">
        <f t="shared" si="72"/>
        <v>0</v>
      </c>
      <c r="V198" s="29">
        <f t="shared" si="73"/>
        <v>0</v>
      </c>
      <c r="W198" s="29">
        <f t="shared" si="63"/>
        <v>0</v>
      </c>
      <c r="X198" s="29">
        <f t="shared" si="74"/>
        <v>0</v>
      </c>
      <c r="Y198">
        <f t="shared" si="75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allocations'!$A$1:$L$317,5,FALSE)</f>
        <v>9506.4184457192769</v>
      </c>
      <c r="E199" s="31">
        <f>VLOOKUP(B199,'Initial adjusted formula count'!$A$1:$P$317,12,FALSE)</f>
        <v>8.8673742888640106E-2</v>
      </c>
      <c r="F199">
        <f>VLOOKUP(B199,'Model allocations'!$A$1:$L$317,10,FALSE)</f>
        <v>11669.812934574229</v>
      </c>
      <c r="G199" s="30">
        <f t="shared" si="64"/>
        <v>0.85</v>
      </c>
      <c r="H199">
        <f t="shared" si="65"/>
        <v>8080.4556788613854</v>
      </c>
      <c r="I199">
        <f t="shared" si="57"/>
        <v>0</v>
      </c>
      <c r="J199">
        <f t="shared" si="58"/>
        <v>11669.812934574229</v>
      </c>
      <c r="K199">
        <f t="shared" si="59"/>
        <v>11663.157346103553</v>
      </c>
      <c r="L199">
        <f t="shared" si="66"/>
        <v>11663.157346103553</v>
      </c>
      <c r="M199">
        <f t="shared" si="60"/>
        <v>0</v>
      </c>
      <c r="N199" s="29">
        <f t="shared" si="67"/>
        <v>11663.157346103553</v>
      </c>
      <c r="O199" s="29">
        <f t="shared" si="61"/>
        <v>11662.36428084925</v>
      </c>
      <c r="P199" s="29">
        <f t="shared" si="68"/>
        <v>11662.36428084925</v>
      </c>
      <c r="Q199">
        <f t="shared" si="69"/>
        <v>0</v>
      </c>
      <c r="R199" s="29">
        <f t="shared" si="70"/>
        <v>11662.36428084925</v>
      </c>
      <c r="S199" s="29">
        <f t="shared" si="62"/>
        <v>11662.364280849253</v>
      </c>
      <c r="T199" s="29">
        <f t="shared" si="71"/>
        <v>11662.364280849253</v>
      </c>
      <c r="U199">
        <f t="shared" si="72"/>
        <v>0</v>
      </c>
      <c r="V199" s="29">
        <f t="shared" si="73"/>
        <v>11662.364280849253</v>
      </c>
      <c r="W199" s="29">
        <f t="shared" si="63"/>
        <v>11662.364280849253</v>
      </c>
      <c r="X199" s="29">
        <f t="shared" si="74"/>
        <v>11662.364280849253</v>
      </c>
      <c r="Y199">
        <f t="shared" si="75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allocations'!$A$1:$L$317,5,FALSE)</f>
        <v>86794.640474281914</v>
      </c>
      <c r="E200" s="31">
        <f>VLOOKUP(B200,'Initial adjusted formula count'!$A$1:$P$317,12,FALSE)</f>
        <v>0.114417989417989</v>
      </c>
      <c r="F200">
        <f>VLOOKUP(B200,'Model allocations'!$A$1:$L$317,10,FALSE)</f>
        <v>73775.444403139627</v>
      </c>
      <c r="G200" s="30">
        <f t="shared" si="64"/>
        <v>0.85</v>
      </c>
      <c r="H200">
        <f t="shared" si="65"/>
        <v>73775.444403139627</v>
      </c>
      <c r="I200">
        <f t="shared" si="57"/>
        <v>0</v>
      </c>
      <c r="J200">
        <f t="shared" si="58"/>
        <v>73775.444403139627</v>
      </c>
      <c r="K200">
        <f t="shared" si="59"/>
        <v>73733.368407582442</v>
      </c>
      <c r="L200">
        <f t="shared" si="66"/>
        <v>73733.368407582442</v>
      </c>
      <c r="M200">
        <f t="shared" si="60"/>
        <v>73775.444403139627</v>
      </c>
      <c r="N200" s="29">
        <f t="shared" si="67"/>
        <v>0</v>
      </c>
      <c r="O200" s="29">
        <f t="shared" si="61"/>
        <v>0</v>
      </c>
      <c r="P200" s="29">
        <f t="shared" si="68"/>
        <v>73775.444403139627</v>
      </c>
      <c r="Q200">
        <f t="shared" si="69"/>
        <v>0</v>
      </c>
      <c r="R200" s="29">
        <f t="shared" si="70"/>
        <v>0</v>
      </c>
      <c r="S200" s="29">
        <f t="shared" si="62"/>
        <v>0</v>
      </c>
      <c r="T200" s="29">
        <f t="shared" si="71"/>
        <v>73775.444403139627</v>
      </c>
      <c r="U200">
        <f t="shared" si="72"/>
        <v>0</v>
      </c>
      <c r="V200" s="29">
        <f t="shared" si="73"/>
        <v>0</v>
      </c>
      <c r="W200" s="29">
        <f t="shared" si="63"/>
        <v>0</v>
      </c>
      <c r="X200" s="29">
        <f t="shared" si="74"/>
        <v>73775.444403139627</v>
      </c>
      <c r="Y200">
        <f t="shared" si="75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allocations'!$A$1:$L$317,5,FALSE)</f>
        <v>28684.726889394035</v>
      </c>
      <c r="E201" s="31">
        <f>VLOOKUP(B201,'Initial adjusted formula count'!$A$1:$P$317,12,FALSE)</f>
        <v>0.16253443526170799</v>
      </c>
      <c r="F201">
        <f>VLOOKUP(B201,'Model allocations'!$A$1:$L$317,10,FALSE)</f>
        <v>25816.25420045463</v>
      </c>
      <c r="G201" s="30">
        <f t="shared" si="64"/>
        <v>0.9</v>
      </c>
      <c r="H201">
        <f t="shared" si="65"/>
        <v>25816.25420045463</v>
      </c>
      <c r="I201">
        <f t="shared" si="57"/>
        <v>0</v>
      </c>
      <c r="J201">
        <f t="shared" si="58"/>
        <v>25816.25420045463</v>
      </c>
      <c r="K201">
        <f t="shared" si="59"/>
        <v>25801.530539949028</v>
      </c>
      <c r="L201">
        <f t="shared" si="66"/>
        <v>25801.530539949028</v>
      </c>
      <c r="M201">
        <f t="shared" si="60"/>
        <v>25816.25420045463</v>
      </c>
      <c r="N201" s="29">
        <f t="shared" si="67"/>
        <v>0</v>
      </c>
      <c r="O201" s="29">
        <f t="shared" si="61"/>
        <v>0</v>
      </c>
      <c r="P201" s="29">
        <f t="shared" si="68"/>
        <v>25816.25420045463</v>
      </c>
      <c r="Q201">
        <f t="shared" si="69"/>
        <v>0</v>
      </c>
      <c r="R201" s="29">
        <f t="shared" si="70"/>
        <v>0</v>
      </c>
      <c r="S201" s="29">
        <f t="shared" si="62"/>
        <v>0</v>
      </c>
      <c r="T201" s="29">
        <f t="shared" si="71"/>
        <v>25816.25420045463</v>
      </c>
      <c r="U201">
        <f t="shared" si="72"/>
        <v>0</v>
      </c>
      <c r="V201" s="29">
        <f t="shared" si="73"/>
        <v>0</v>
      </c>
      <c r="W201" s="29">
        <f t="shared" si="63"/>
        <v>0</v>
      </c>
      <c r="X201" s="29">
        <f t="shared" si="74"/>
        <v>25816.25420045463</v>
      </c>
      <c r="Y201">
        <f t="shared" si="75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allocations'!$A$1:$L$317,5,FALSE)</f>
        <v>244878.22741530291</v>
      </c>
      <c r="E202" s="31">
        <f>VLOOKUP(B202,'Initial adjusted formula count'!$A$1:$P$317,12,FALSE)</f>
        <v>0.142252527627557</v>
      </c>
      <c r="F202">
        <f>VLOOKUP(B202,'Model allocations'!$A$1:$L$317,10,FALSE)</f>
        <v>253711.11273856828</v>
      </c>
      <c r="G202" s="30">
        <f t="shared" si="64"/>
        <v>0.85</v>
      </c>
      <c r="H202">
        <f t="shared" si="65"/>
        <v>208146.49330300748</v>
      </c>
      <c r="I202">
        <f t="shared" si="57"/>
        <v>0</v>
      </c>
      <c r="J202">
        <f t="shared" si="58"/>
        <v>253711.11273856828</v>
      </c>
      <c r="K202">
        <f t="shared" si="59"/>
        <v>253566.41489582718</v>
      </c>
      <c r="L202">
        <f t="shared" si="66"/>
        <v>253566.41489582718</v>
      </c>
      <c r="M202">
        <f t="shared" si="60"/>
        <v>0</v>
      </c>
      <c r="N202" s="29">
        <f t="shared" si="67"/>
        <v>253566.41489582718</v>
      </c>
      <c r="O202" s="29">
        <f t="shared" si="61"/>
        <v>253549.17301977726</v>
      </c>
      <c r="P202" s="29">
        <f t="shared" si="68"/>
        <v>253549.17301977726</v>
      </c>
      <c r="Q202">
        <f t="shared" si="69"/>
        <v>0</v>
      </c>
      <c r="R202" s="29">
        <f t="shared" si="70"/>
        <v>253549.17301977726</v>
      </c>
      <c r="S202" s="29">
        <f t="shared" si="62"/>
        <v>253549.17301977734</v>
      </c>
      <c r="T202" s="29">
        <f t="shared" si="71"/>
        <v>253549.17301977734</v>
      </c>
      <c r="U202">
        <f t="shared" si="72"/>
        <v>0</v>
      </c>
      <c r="V202" s="29">
        <f t="shared" si="73"/>
        <v>253549.17301977734</v>
      </c>
      <c r="W202" s="29">
        <f t="shared" si="63"/>
        <v>253549.17301977734</v>
      </c>
      <c r="X202" s="29">
        <f t="shared" si="74"/>
        <v>253549.17301977734</v>
      </c>
      <c r="Y202">
        <f t="shared" si="75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allocations'!$A$1:$L$317,5,FALSE)</f>
        <v>103432.00238795746</v>
      </c>
      <c r="E203" s="31">
        <f>VLOOKUP(B203,'Initial adjusted formula count'!$A$1:$P$317,12,FALSE)</f>
        <v>0.173180076628352</v>
      </c>
      <c r="F203">
        <f>VLOOKUP(B203,'Model allocations'!$A$1:$L$317,10,FALSE)</f>
        <v>101908.31039658515</v>
      </c>
      <c r="G203" s="30">
        <f t="shared" si="64"/>
        <v>0.9</v>
      </c>
      <c r="H203">
        <f t="shared" si="65"/>
        <v>93088.802149161711</v>
      </c>
      <c r="I203">
        <f t="shared" si="57"/>
        <v>0</v>
      </c>
      <c r="J203">
        <f t="shared" si="58"/>
        <v>101908.31039658515</v>
      </c>
      <c r="K203">
        <f t="shared" si="59"/>
        <v>101850.18951842333</v>
      </c>
      <c r="L203">
        <f t="shared" si="66"/>
        <v>101850.18951842333</v>
      </c>
      <c r="M203">
        <f t="shared" si="60"/>
        <v>0</v>
      </c>
      <c r="N203" s="29">
        <f t="shared" si="67"/>
        <v>101850.18951842333</v>
      </c>
      <c r="O203" s="29">
        <f t="shared" si="61"/>
        <v>101843.26396267077</v>
      </c>
      <c r="P203" s="29">
        <f t="shared" si="68"/>
        <v>101843.26396267077</v>
      </c>
      <c r="Q203">
        <f t="shared" si="69"/>
        <v>0</v>
      </c>
      <c r="R203" s="29">
        <f t="shared" si="70"/>
        <v>101843.26396267077</v>
      </c>
      <c r="S203" s="29">
        <f t="shared" si="62"/>
        <v>101843.2639626708</v>
      </c>
      <c r="T203" s="29">
        <f t="shared" si="71"/>
        <v>101843.2639626708</v>
      </c>
      <c r="U203">
        <f t="shared" si="72"/>
        <v>0</v>
      </c>
      <c r="V203" s="29">
        <f t="shared" si="73"/>
        <v>101843.2639626708</v>
      </c>
      <c r="W203" s="29">
        <f t="shared" si="63"/>
        <v>101843.2639626708</v>
      </c>
      <c r="X203" s="29">
        <f t="shared" si="74"/>
        <v>101843.2639626708</v>
      </c>
      <c r="Y203">
        <f t="shared" si="75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allocations'!$A$1:$L$317,5,FALSE)</f>
        <v>18931.762119502415</v>
      </c>
      <c r="E204" s="31">
        <f>VLOOKUP(B204,'Initial adjusted formula count'!$A$1:$P$317,12,FALSE)</f>
        <v>0.190751445086705</v>
      </c>
      <c r="F204">
        <f>VLOOKUP(B204,'Model allocations'!$A$1:$L$317,10,FALSE)</f>
        <v>31481.103904418254</v>
      </c>
      <c r="G204" s="30">
        <f t="shared" si="64"/>
        <v>0.9</v>
      </c>
      <c r="H204">
        <f t="shared" si="65"/>
        <v>17038.585907552173</v>
      </c>
      <c r="I204">
        <f t="shared" si="57"/>
        <v>0</v>
      </c>
      <c r="J204">
        <f t="shared" si="58"/>
        <v>31481.103904418254</v>
      </c>
      <c r="K204">
        <f t="shared" si="59"/>
        <v>31463.149437335956</v>
      </c>
      <c r="L204">
        <f t="shared" si="66"/>
        <v>31463.149437335956</v>
      </c>
      <c r="M204">
        <f t="shared" si="60"/>
        <v>0</v>
      </c>
      <c r="N204" s="29">
        <f t="shared" si="67"/>
        <v>31463.149437335956</v>
      </c>
      <c r="O204" s="29">
        <f t="shared" si="61"/>
        <v>31461.010022607228</v>
      </c>
      <c r="P204" s="29">
        <f t="shared" si="68"/>
        <v>31461.010022607228</v>
      </c>
      <c r="Q204">
        <f t="shared" si="69"/>
        <v>0</v>
      </c>
      <c r="R204" s="29">
        <f t="shared" si="70"/>
        <v>31461.010022607228</v>
      </c>
      <c r="S204" s="29">
        <f t="shared" si="62"/>
        <v>31461.010022607239</v>
      </c>
      <c r="T204" s="29">
        <f t="shared" si="71"/>
        <v>31461.010022607239</v>
      </c>
      <c r="U204">
        <f t="shared" si="72"/>
        <v>0</v>
      </c>
      <c r="V204" s="29">
        <f t="shared" si="73"/>
        <v>31461.010022607239</v>
      </c>
      <c r="W204" s="29">
        <f t="shared" si="63"/>
        <v>31461.010022607239</v>
      </c>
      <c r="X204" s="29">
        <f t="shared" si="74"/>
        <v>31461.010022607239</v>
      </c>
      <c r="Y204">
        <f t="shared" si="75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allocations'!$A$1:$L$317,5,FALSE)</f>
        <v>46405.322580160318</v>
      </c>
      <c r="E205" s="31">
        <f>VLOOKUP(B205,'Initial adjusted formula count'!$A$1:$P$317,12,FALSE)</f>
        <v>9.0700501363157299E-2</v>
      </c>
      <c r="F205">
        <f>VLOOKUP(B205,'Model allocations'!$A$1:$L$317,10,FALSE)</f>
        <v>19080.654760751218</v>
      </c>
      <c r="G205" s="30">
        <f t="shared" si="64"/>
        <v>0.85</v>
      </c>
      <c r="H205">
        <f t="shared" si="65"/>
        <v>39444.524193136269</v>
      </c>
      <c r="I205">
        <f t="shared" si="57"/>
        <v>39444.524193136269</v>
      </c>
      <c r="J205">
        <f t="shared" si="58"/>
        <v>0</v>
      </c>
      <c r="K205">
        <f t="shared" si="59"/>
        <v>0</v>
      </c>
      <c r="L205">
        <f t="shared" si="66"/>
        <v>39444.524193136269</v>
      </c>
      <c r="M205">
        <f t="shared" si="60"/>
        <v>0</v>
      </c>
      <c r="N205" s="29">
        <f t="shared" si="67"/>
        <v>0</v>
      </c>
      <c r="O205" s="29">
        <f t="shared" si="61"/>
        <v>0</v>
      </c>
      <c r="P205" s="29">
        <f t="shared" si="68"/>
        <v>39444.524193136269</v>
      </c>
      <c r="Q205">
        <f t="shared" si="69"/>
        <v>0</v>
      </c>
      <c r="R205" s="29">
        <f t="shared" si="70"/>
        <v>0</v>
      </c>
      <c r="S205" s="29">
        <f t="shared" si="62"/>
        <v>0</v>
      </c>
      <c r="T205" s="29">
        <f t="shared" si="71"/>
        <v>39444.524193136269</v>
      </c>
      <c r="U205">
        <f t="shared" si="72"/>
        <v>0</v>
      </c>
      <c r="V205" s="29">
        <f t="shared" si="73"/>
        <v>0</v>
      </c>
      <c r="W205" s="29">
        <f t="shared" si="63"/>
        <v>0</v>
      </c>
      <c r="X205" s="29">
        <f t="shared" si="74"/>
        <v>39444.524193136269</v>
      </c>
      <c r="Y205">
        <f t="shared" si="75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allocations'!$A$1:$L$317,5,FALSE)</f>
        <v>138284.17548158282</v>
      </c>
      <c r="E206" s="31">
        <f>VLOOKUP(B206,'Initial adjusted formula count'!$A$1:$P$317,12,FALSE)</f>
        <v>0.121314808539478</v>
      </c>
      <c r="F206">
        <f>VLOOKUP(B206,'Model allocations'!$A$1:$L$317,10,FALSE)</f>
        <v>150129.88158745031</v>
      </c>
      <c r="G206" s="30">
        <f t="shared" si="64"/>
        <v>0.85</v>
      </c>
      <c r="H206">
        <f t="shared" si="65"/>
        <v>117541.54915934539</v>
      </c>
      <c r="I206">
        <f t="shared" si="57"/>
        <v>0</v>
      </c>
      <c r="J206">
        <f t="shared" si="58"/>
        <v>150129.88158745031</v>
      </c>
      <c r="K206">
        <f t="shared" si="59"/>
        <v>150044.25873174565</v>
      </c>
      <c r="L206">
        <f t="shared" si="66"/>
        <v>150044.25873174565</v>
      </c>
      <c r="M206">
        <f t="shared" si="60"/>
        <v>0</v>
      </c>
      <c r="N206" s="29">
        <f t="shared" si="67"/>
        <v>150044.25873174565</v>
      </c>
      <c r="O206" s="29">
        <f t="shared" si="61"/>
        <v>150034.05610095907</v>
      </c>
      <c r="P206" s="29">
        <f t="shared" si="68"/>
        <v>150034.05610095907</v>
      </c>
      <c r="Q206">
        <f t="shared" si="69"/>
        <v>0</v>
      </c>
      <c r="R206" s="29">
        <f t="shared" si="70"/>
        <v>150034.05610095907</v>
      </c>
      <c r="S206" s="29">
        <f t="shared" si="62"/>
        <v>150034.05610095913</v>
      </c>
      <c r="T206" s="29">
        <f t="shared" si="71"/>
        <v>150034.05610095913</v>
      </c>
      <c r="U206">
        <f t="shared" si="72"/>
        <v>0</v>
      </c>
      <c r="V206" s="29">
        <f t="shared" si="73"/>
        <v>150034.05610095913</v>
      </c>
      <c r="W206" s="29">
        <f t="shared" si="63"/>
        <v>150034.05610095913</v>
      </c>
      <c r="X206" s="29">
        <f t="shared" si="74"/>
        <v>150034.05610095913</v>
      </c>
      <c r="Y206">
        <f t="shared" si="75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allocations'!$A$1:$L$317,5,FALSE)</f>
        <v>135403.25515904985</v>
      </c>
      <c r="E207" s="31">
        <f>VLOOKUP(B207,'Initial adjusted formula count'!$A$1:$P$317,12,FALSE)</f>
        <v>0.124072425051944</v>
      </c>
      <c r="F207">
        <f>VLOOKUP(B207,'Model allocations'!$A$1:$L$317,10,FALSE)</f>
        <v>175291.31425573808</v>
      </c>
      <c r="G207" s="30">
        <f t="shared" si="64"/>
        <v>0.85</v>
      </c>
      <c r="H207">
        <f t="shared" si="65"/>
        <v>115092.76688519237</v>
      </c>
      <c r="I207">
        <f t="shared" si="57"/>
        <v>0</v>
      </c>
      <c r="J207">
        <f t="shared" si="58"/>
        <v>175291.31425573808</v>
      </c>
      <c r="K207">
        <f t="shared" si="59"/>
        <v>175191.34120075332</v>
      </c>
      <c r="L207">
        <f t="shared" si="66"/>
        <v>175191.34120075332</v>
      </c>
      <c r="M207">
        <f t="shared" si="60"/>
        <v>0</v>
      </c>
      <c r="N207" s="29">
        <f t="shared" si="67"/>
        <v>175191.34120075332</v>
      </c>
      <c r="O207" s="29">
        <f t="shared" si="61"/>
        <v>175179.42863184612</v>
      </c>
      <c r="P207" s="29">
        <f t="shared" si="68"/>
        <v>175179.42863184612</v>
      </c>
      <c r="Q207">
        <f t="shared" si="69"/>
        <v>0</v>
      </c>
      <c r="R207" s="29">
        <f t="shared" si="70"/>
        <v>175179.42863184612</v>
      </c>
      <c r="S207" s="29">
        <f t="shared" si="62"/>
        <v>175179.42863184621</v>
      </c>
      <c r="T207" s="29">
        <f t="shared" si="71"/>
        <v>175179.42863184621</v>
      </c>
      <c r="U207">
        <f t="shared" si="72"/>
        <v>0</v>
      </c>
      <c r="V207" s="29">
        <f t="shared" si="73"/>
        <v>175179.42863184621</v>
      </c>
      <c r="W207" s="29">
        <f t="shared" si="63"/>
        <v>175179.42863184621</v>
      </c>
      <c r="X207" s="29">
        <f t="shared" si="74"/>
        <v>175179.42863184621</v>
      </c>
      <c r="Y207">
        <f t="shared" si="75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allocations'!$A$1:$L$317,5,FALSE)</f>
        <v>996798.43159640976</v>
      </c>
      <c r="E208" s="31">
        <f>VLOOKUP(B208,'Initial adjusted formula count'!$A$1:$P$317,12,FALSE)</f>
        <v>8.1197576887232101E-2</v>
      </c>
      <c r="F208">
        <f>VLOOKUP(B208,'Model allocations'!$A$1:$L$317,10,FALSE)</f>
        <v>1170425.9762865189</v>
      </c>
      <c r="G208" s="30">
        <f t="shared" si="64"/>
        <v>0.85</v>
      </c>
      <c r="H208">
        <f t="shared" si="65"/>
        <v>847278.66685694829</v>
      </c>
      <c r="I208">
        <f t="shared" si="57"/>
        <v>0</v>
      </c>
      <c r="J208">
        <f t="shared" si="58"/>
        <v>1170425.9762865189</v>
      </c>
      <c r="K208">
        <f t="shared" si="59"/>
        <v>1169758.4528500058</v>
      </c>
      <c r="L208">
        <f t="shared" si="66"/>
        <v>1169758.4528500058</v>
      </c>
      <c r="M208">
        <f t="shared" si="60"/>
        <v>0</v>
      </c>
      <c r="N208" s="29">
        <f t="shared" si="67"/>
        <v>1169758.4528500058</v>
      </c>
      <c r="O208" s="29">
        <f t="shared" si="61"/>
        <v>1169678.9122284269</v>
      </c>
      <c r="P208" s="29">
        <f t="shared" si="68"/>
        <v>1169678.9122284269</v>
      </c>
      <c r="Q208">
        <f t="shared" si="69"/>
        <v>0</v>
      </c>
      <c r="R208" s="29">
        <f t="shared" si="70"/>
        <v>1169678.9122284269</v>
      </c>
      <c r="S208" s="29">
        <f t="shared" si="62"/>
        <v>1169678.9122284274</v>
      </c>
      <c r="T208" s="29">
        <f t="shared" si="71"/>
        <v>1169678.9122284274</v>
      </c>
      <c r="U208">
        <f t="shared" si="72"/>
        <v>0</v>
      </c>
      <c r="V208" s="29">
        <f t="shared" si="73"/>
        <v>1169678.9122284274</v>
      </c>
      <c r="W208" s="29">
        <f t="shared" si="63"/>
        <v>1169678.9122284274</v>
      </c>
      <c r="X208" s="29">
        <f t="shared" si="74"/>
        <v>1169678.9122284274</v>
      </c>
      <c r="Y208">
        <f t="shared" si="75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allocations'!$A$1:$L$317,5,FALSE)</f>
        <v>8011.4278569181315</v>
      </c>
      <c r="E209" s="31">
        <f>VLOOKUP(B209,'Initial adjusted formula count'!$A$1:$P$317,12,FALSE)</f>
        <v>0.29032258064516098</v>
      </c>
      <c r="F209">
        <f>VLOOKUP(B209,'Model allocations'!$A$1:$L$317,10,FALSE)</f>
        <v>0</v>
      </c>
      <c r="G209" s="30">
        <f t="shared" si="64"/>
        <v>0.9</v>
      </c>
      <c r="H209">
        <f t="shared" si="6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6"/>
        <v>0</v>
      </c>
      <c r="M209">
        <f t="shared" si="60"/>
        <v>0</v>
      </c>
      <c r="N209" s="29">
        <f t="shared" si="67"/>
        <v>0</v>
      </c>
      <c r="O209" s="29">
        <f t="shared" si="61"/>
        <v>0</v>
      </c>
      <c r="P209" s="29">
        <f t="shared" si="68"/>
        <v>0</v>
      </c>
      <c r="Q209">
        <f t="shared" si="69"/>
        <v>0</v>
      </c>
      <c r="R209" s="29">
        <f t="shared" si="70"/>
        <v>0</v>
      </c>
      <c r="S209" s="29">
        <f t="shared" si="62"/>
        <v>0</v>
      </c>
      <c r="T209" s="29">
        <f t="shared" si="71"/>
        <v>0</v>
      </c>
      <c r="U209">
        <f t="shared" si="72"/>
        <v>0</v>
      </c>
      <c r="V209" s="29">
        <f t="shared" si="73"/>
        <v>0</v>
      </c>
      <c r="W209" s="29">
        <f t="shared" si="63"/>
        <v>0</v>
      </c>
      <c r="X209" s="29">
        <f t="shared" si="74"/>
        <v>0</v>
      </c>
      <c r="Y209">
        <f t="shared" si="75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allocations'!$A$1:$L$317,5,FALSE)</f>
        <v>11935.241336208044</v>
      </c>
      <c r="E210" s="31">
        <f>VLOOKUP(B210,'Initial adjusted formula count'!$A$1:$P$317,12,FALSE)</f>
        <v>0.16062176165803099</v>
      </c>
      <c r="F210">
        <f>VLOOKUP(B210,'Model allocations'!$A$1:$L$317,10,FALSE)</f>
        <v>13292.763910795871</v>
      </c>
      <c r="G210" s="30">
        <f t="shared" si="64"/>
        <v>0.9</v>
      </c>
      <c r="H210">
        <f t="shared" si="65"/>
        <v>10741.717202587241</v>
      </c>
      <c r="I210">
        <f t="shared" si="57"/>
        <v>0</v>
      </c>
      <c r="J210">
        <f t="shared" si="58"/>
        <v>13292.763910795871</v>
      </c>
      <c r="K210">
        <f t="shared" si="59"/>
        <v>13285.182712474689</v>
      </c>
      <c r="L210">
        <f t="shared" si="66"/>
        <v>13285.182712474689</v>
      </c>
      <c r="M210">
        <f t="shared" si="60"/>
        <v>0</v>
      </c>
      <c r="N210" s="29">
        <f t="shared" si="67"/>
        <v>13285.182712474689</v>
      </c>
      <c r="O210" s="29">
        <f t="shared" si="61"/>
        <v>13284.279353590497</v>
      </c>
      <c r="P210" s="29">
        <f t="shared" si="68"/>
        <v>13284.279353590497</v>
      </c>
      <c r="Q210">
        <f t="shared" si="69"/>
        <v>0</v>
      </c>
      <c r="R210" s="29">
        <f t="shared" si="70"/>
        <v>13284.279353590497</v>
      </c>
      <c r="S210" s="29">
        <f t="shared" si="62"/>
        <v>13284.2793535905</v>
      </c>
      <c r="T210" s="29">
        <f t="shared" si="71"/>
        <v>13284.2793535905</v>
      </c>
      <c r="U210">
        <f t="shared" si="72"/>
        <v>0</v>
      </c>
      <c r="V210" s="29">
        <f t="shared" si="73"/>
        <v>13284.2793535905</v>
      </c>
      <c r="W210" s="29">
        <f t="shared" si="63"/>
        <v>13284.2793535905</v>
      </c>
      <c r="X210" s="29">
        <f t="shared" si="74"/>
        <v>13284.2793535905</v>
      </c>
      <c r="Y210">
        <f t="shared" si="75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allocations'!$A$1:$L$317,5,FALSE)</f>
        <v>159884.36766561729</v>
      </c>
      <c r="E211" s="31">
        <f>VLOOKUP(B211,'Initial adjusted formula count'!$A$1:$P$317,12,FALSE)</f>
        <v>0.17814113597246101</v>
      </c>
      <c r="F211">
        <f>VLOOKUP(B211,'Model allocations'!$A$1:$L$317,10,FALSE)</f>
        <v>143895.93089905556</v>
      </c>
      <c r="G211" s="30">
        <f t="shared" si="64"/>
        <v>0.9</v>
      </c>
      <c r="H211">
        <f t="shared" si="65"/>
        <v>143895.93089905556</v>
      </c>
      <c r="I211">
        <f t="shared" si="57"/>
        <v>0</v>
      </c>
      <c r="J211">
        <f t="shared" si="58"/>
        <v>143895.93089905556</v>
      </c>
      <c r="K211">
        <f t="shared" si="59"/>
        <v>143813.86342256403</v>
      </c>
      <c r="L211">
        <f t="shared" si="66"/>
        <v>143813.86342256403</v>
      </c>
      <c r="M211">
        <f t="shared" si="60"/>
        <v>143895.93089905556</v>
      </c>
      <c r="N211" s="29">
        <f t="shared" si="67"/>
        <v>0</v>
      </c>
      <c r="O211" s="29">
        <f t="shared" si="61"/>
        <v>0</v>
      </c>
      <c r="P211" s="29">
        <f t="shared" si="68"/>
        <v>143895.93089905556</v>
      </c>
      <c r="Q211">
        <f t="shared" si="69"/>
        <v>0</v>
      </c>
      <c r="R211" s="29">
        <f t="shared" si="70"/>
        <v>0</v>
      </c>
      <c r="S211" s="29">
        <f t="shared" si="62"/>
        <v>0</v>
      </c>
      <c r="T211" s="29">
        <f t="shared" si="71"/>
        <v>143895.93089905556</v>
      </c>
      <c r="U211">
        <f t="shared" si="72"/>
        <v>0</v>
      </c>
      <c r="V211" s="29">
        <f t="shared" si="73"/>
        <v>0</v>
      </c>
      <c r="W211" s="29">
        <f t="shared" si="63"/>
        <v>0</v>
      </c>
      <c r="X211" s="29">
        <f t="shared" si="74"/>
        <v>143895.93089905556</v>
      </c>
      <c r="Y211">
        <f t="shared" si="75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allocations'!$A$1:$L$317,5,FALSE)</f>
        <v>20913.238539338301</v>
      </c>
      <c r="E212" s="31">
        <f>VLOOKUP(B212,'Initial adjusted formula count'!$A$1:$P$317,12,FALSE)</f>
        <v>0.16571428571428601</v>
      </c>
      <c r="F212">
        <f>VLOOKUP(B212,'Model allocations'!$A$1:$L$317,10,FALSE)</f>
        <v>18821.91468540447</v>
      </c>
      <c r="G212" s="30">
        <f t="shared" si="64"/>
        <v>0.9</v>
      </c>
      <c r="H212">
        <f t="shared" si="65"/>
        <v>18821.91468540447</v>
      </c>
      <c r="I212">
        <f t="shared" si="57"/>
        <v>0</v>
      </c>
      <c r="J212">
        <f t="shared" si="58"/>
        <v>18821.91468540447</v>
      </c>
      <c r="K212">
        <f t="shared" si="59"/>
        <v>18811.180073026491</v>
      </c>
      <c r="L212">
        <f t="shared" si="66"/>
        <v>18811.180073026491</v>
      </c>
      <c r="M212">
        <f t="shared" si="60"/>
        <v>18821.91468540447</v>
      </c>
      <c r="N212" s="29">
        <f t="shared" si="67"/>
        <v>0</v>
      </c>
      <c r="O212" s="29">
        <f t="shared" si="61"/>
        <v>0</v>
      </c>
      <c r="P212" s="29">
        <f t="shared" si="68"/>
        <v>18821.91468540447</v>
      </c>
      <c r="Q212">
        <f t="shared" si="69"/>
        <v>0</v>
      </c>
      <c r="R212" s="29">
        <f t="shared" si="70"/>
        <v>0</v>
      </c>
      <c r="S212" s="29">
        <f t="shared" si="62"/>
        <v>0</v>
      </c>
      <c r="T212" s="29">
        <f t="shared" si="71"/>
        <v>18821.91468540447</v>
      </c>
      <c r="U212">
        <f t="shared" si="72"/>
        <v>0</v>
      </c>
      <c r="V212" s="29">
        <f t="shared" si="73"/>
        <v>0</v>
      </c>
      <c r="W212" s="29">
        <f t="shared" si="63"/>
        <v>0</v>
      </c>
      <c r="X212" s="29">
        <f t="shared" si="74"/>
        <v>18821.91468540447</v>
      </c>
      <c r="Y212">
        <f t="shared" si="75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allocations'!$A$1:$L$317,5,FALSE)</f>
        <v>192610.10156363333</v>
      </c>
      <c r="E213" s="31">
        <f>VLOOKUP(B213,'Initial adjusted formula count'!$A$1:$P$317,12,FALSE)</f>
        <v>0.14103788602355899</v>
      </c>
      <c r="F213">
        <f>VLOOKUP(B213,'Model allocations'!$A$1:$L$317,10,FALSE)</f>
        <v>185775.2445341913</v>
      </c>
      <c r="G213" s="30">
        <f t="shared" si="64"/>
        <v>0.85</v>
      </c>
      <c r="H213">
        <f t="shared" si="65"/>
        <v>163718.58632908834</v>
      </c>
      <c r="I213">
        <f t="shared" si="57"/>
        <v>0</v>
      </c>
      <c r="J213">
        <f t="shared" si="58"/>
        <v>185775.2445341913</v>
      </c>
      <c r="K213">
        <f t="shared" si="59"/>
        <v>185669.29222950651</v>
      </c>
      <c r="L213">
        <f t="shared" si="66"/>
        <v>185669.29222950651</v>
      </c>
      <c r="M213">
        <f t="shared" si="60"/>
        <v>0</v>
      </c>
      <c r="N213" s="29">
        <f t="shared" si="67"/>
        <v>185669.29222950651</v>
      </c>
      <c r="O213" s="29">
        <f t="shared" si="61"/>
        <v>185656.66718638237</v>
      </c>
      <c r="P213" s="29">
        <f t="shared" si="68"/>
        <v>185656.66718638237</v>
      </c>
      <c r="Q213">
        <f t="shared" si="69"/>
        <v>0</v>
      </c>
      <c r="R213" s="29">
        <f t="shared" si="70"/>
        <v>185656.66718638237</v>
      </c>
      <c r="S213" s="29">
        <f t="shared" si="62"/>
        <v>185656.66718638243</v>
      </c>
      <c r="T213" s="29">
        <f t="shared" si="71"/>
        <v>185656.66718638243</v>
      </c>
      <c r="U213">
        <f t="shared" si="72"/>
        <v>0</v>
      </c>
      <c r="V213" s="29">
        <f t="shared" si="73"/>
        <v>185656.66718638243</v>
      </c>
      <c r="W213" s="29">
        <f t="shared" si="63"/>
        <v>185656.66718638243</v>
      </c>
      <c r="X213" s="29">
        <f t="shared" si="74"/>
        <v>185656.66718638243</v>
      </c>
      <c r="Y213">
        <f t="shared" si="75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allocations'!$A$1:$L$317,5,FALSE)</f>
        <v>53744.340997568514</v>
      </c>
      <c r="E214" s="31">
        <f>VLOOKUP(B214,'Initial adjusted formula count'!$A$1:$P$317,12,FALSE)</f>
        <v>8.6744639376218305E-2</v>
      </c>
      <c r="F214">
        <f>VLOOKUP(B214,'Model allocations'!$A$1:$L$317,10,FALSE)</f>
        <v>45682.689847933238</v>
      </c>
      <c r="G214" s="30">
        <f t="shared" si="64"/>
        <v>0.85</v>
      </c>
      <c r="H214">
        <f t="shared" si="65"/>
        <v>45682.689847933238</v>
      </c>
      <c r="I214">
        <f t="shared" si="57"/>
        <v>0</v>
      </c>
      <c r="J214">
        <f t="shared" si="58"/>
        <v>45682.689847933238</v>
      </c>
      <c r="K214">
        <f t="shared" si="59"/>
        <v>45656.635858416361</v>
      </c>
      <c r="L214">
        <f t="shared" si="66"/>
        <v>45656.635858416361</v>
      </c>
      <c r="M214">
        <f t="shared" si="60"/>
        <v>45682.689847933238</v>
      </c>
      <c r="N214" s="29">
        <f t="shared" si="67"/>
        <v>0</v>
      </c>
      <c r="O214" s="29">
        <f t="shared" si="61"/>
        <v>0</v>
      </c>
      <c r="P214" s="29">
        <f t="shared" si="68"/>
        <v>45682.689847933238</v>
      </c>
      <c r="Q214">
        <f t="shared" si="69"/>
        <v>0</v>
      </c>
      <c r="R214" s="29">
        <f t="shared" si="70"/>
        <v>0</v>
      </c>
      <c r="S214" s="29">
        <f t="shared" si="62"/>
        <v>0</v>
      </c>
      <c r="T214" s="29">
        <f t="shared" si="71"/>
        <v>45682.689847933238</v>
      </c>
      <c r="U214">
        <f t="shared" si="72"/>
        <v>0</v>
      </c>
      <c r="V214" s="29">
        <f t="shared" si="73"/>
        <v>0</v>
      </c>
      <c r="W214" s="29">
        <f t="shared" si="63"/>
        <v>0</v>
      </c>
      <c r="X214" s="29">
        <f t="shared" si="74"/>
        <v>45682.689847933238</v>
      </c>
      <c r="Y214">
        <f t="shared" si="75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allocations'!$A$1:$L$317,5,FALSE)</f>
        <v>36072.271866129835</v>
      </c>
      <c r="E215" s="31">
        <f>VLOOKUP(B215,'Initial adjusted formula count'!$A$1:$P$317,12,FALSE)</f>
        <v>0.172194800399085</v>
      </c>
      <c r="F215">
        <f>VLOOKUP(B215,'Model allocations'!$A$1:$L$317,10,FALSE)</f>
        <v>45159.322577754327</v>
      </c>
      <c r="G215" s="30">
        <f t="shared" si="64"/>
        <v>0.9</v>
      </c>
      <c r="H215">
        <f t="shared" si="65"/>
        <v>32465.044679516854</v>
      </c>
      <c r="I215">
        <f t="shared" si="57"/>
        <v>0</v>
      </c>
      <c r="J215">
        <f t="shared" si="58"/>
        <v>45159.322577754327</v>
      </c>
      <c r="K215">
        <f t="shared" si="59"/>
        <v>45133.567077783839</v>
      </c>
      <c r="L215">
        <f t="shared" si="66"/>
        <v>45133.567077783839</v>
      </c>
      <c r="M215">
        <f t="shared" si="60"/>
        <v>0</v>
      </c>
      <c r="N215" s="29">
        <f t="shared" si="67"/>
        <v>45133.567077783839</v>
      </c>
      <c r="O215" s="29">
        <f t="shared" si="61"/>
        <v>45130.498109168402</v>
      </c>
      <c r="P215" s="29">
        <f t="shared" si="68"/>
        <v>45130.498109168402</v>
      </c>
      <c r="Q215">
        <f t="shared" si="69"/>
        <v>0</v>
      </c>
      <c r="R215" s="29">
        <f t="shared" si="70"/>
        <v>45130.498109168402</v>
      </c>
      <c r="S215" s="29">
        <f t="shared" si="62"/>
        <v>45130.498109168424</v>
      </c>
      <c r="T215" s="29">
        <f t="shared" si="71"/>
        <v>45130.498109168424</v>
      </c>
      <c r="U215">
        <f t="shared" si="72"/>
        <v>0</v>
      </c>
      <c r="V215" s="29">
        <f t="shared" si="73"/>
        <v>45130.498109168424</v>
      </c>
      <c r="W215" s="29">
        <f t="shared" si="63"/>
        <v>45130.498109168424</v>
      </c>
      <c r="X215" s="29">
        <f t="shared" si="74"/>
        <v>45130.498109168424</v>
      </c>
      <c r="Y215">
        <f t="shared" si="75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allocations'!$A$1:$L$317,5,FALSE)</f>
        <v>40386.296278302019</v>
      </c>
      <c r="E216" s="31">
        <f>VLOOKUP(B216,'Initial adjusted formula count'!$A$1:$P$317,12,FALSE)</f>
        <v>0.14380739082834301</v>
      </c>
      <c r="F216">
        <f>VLOOKUP(B216,'Model allocations'!$A$1:$L$317,10,FALSE)</f>
        <v>18199.096826810281</v>
      </c>
      <c r="G216" s="30">
        <f t="shared" si="64"/>
        <v>0.85</v>
      </c>
      <c r="H216">
        <f t="shared" si="65"/>
        <v>34328.351836556714</v>
      </c>
      <c r="I216">
        <f t="shared" si="57"/>
        <v>34328.351836556714</v>
      </c>
      <c r="J216">
        <f t="shared" si="58"/>
        <v>0</v>
      </c>
      <c r="K216">
        <f t="shared" si="59"/>
        <v>0</v>
      </c>
      <c r="L216">
        <f t="shared" si="66"/>
        <v>34328.351836556714</v>
      </c>
      <c r="M216">
        <f t="shared" si="60"/>
        <v>0</v>
      </c>
      <c r="N216" s="29">
        <f t="shared" si="67"/>
        <v>0</v>
      </c>
      <c r="O216" s="29">
        <f t="shared" si="61"/>
        <v>0</v>
      </c>
      <c r="P216" s="29">
        <f t="shared" si="68"/>
        <v>34328.351836556714</v>
      </c>
      <c r="Q216">
        <f t="shared" si="69"/>
        <v>0</v>
      </c>
      <c r="R216" s="29">
        <f t="shared" si="70"/>
        <v>0</v>
      </c>
      <c r="S216" s="29">
        <f t="shared" si="62"/>
        <v>0</v>
      </c>
      <c r="T216" s="29">
        <f t="shared" si="71"/>
        <v>34328.351836556714</v>
      </c>
      <c r="U216">
        <f t="shared" si="72"/>
        <v>0</v>
      </c>
      <c r="V216" s="29">
        <f t="shared" si="73"/>
        <v>0</v>
      </c>
      <c r="W216" s="29">
        <f t="shared" si="63"/>
        <v>0</v>
      </c>
      <c r="X216" s="29">
        <f t="shared" si="74"/>
        <v>34328.351836556714</v>
      </c>
      <c r="Y216">
        <f t="shared" si="75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allocations'!$A$1:$L$317,5,FALSE)</f>
        <v>49696.431169756048</v>
      </c>
      <c r="E217" s="31">
        <f>VLOOKUP(B217,'Initial adjusted formula count'!$A$1:$P$317,12,FALSE)</f>
        <v>0.19674796747967499</v>
      </c>
      <c r="F217">
        <f>VLOOKUP(B217,'Model allocations'!$A$1:$L$317,10,FALSE)</f>
        <v>58662.727033782277</v>
      </c>
      <c r="G217" s="30">
        <f t="shared" si="64"/>
        <v>0.9</v>
      </c>
      <c r="H217">
        <f t="shared" si="65"/>
        <v>44726.788052780445</v>
      </c>
      <c r="I217">
        <f t="shared" si="57"/>
        <v>0</v>
      </c>
      <c r="J217">
        <f t="shared" si="58"/>
        <v>58662.727033782277</v>
      </c>
      <c r="K217">
        <f t="shared" si="59"/>
        <v>58629.270201878178</v>
      </c>
      <c r="L217">
        <f t="shared" si="66"/>
        <v>58629.270201878178</v>
      </c>
      <c r="M217">
        <f t="shared" si="60"/>
        <v>0</v>
      </c>
      <c r="N217" s="29">
        <f t="shared" si="67"/>
        <v>58629.270201878178</v>
      </c>
      <c r="O217" s="29">
        <f t="shared" si="61"/>
        <v>58625.283559522039</v>
      </c>
      <c r="P217" s="29">
        <f t="shared" si="68"/>
        <v>58625.283559522039</v>
      </c>
      <c r="Q217">
        <f t="shared" si="69"/>
        <v>0</v>
      </c>
      <c r="R217" s="29">
        <f t="shared" si="70"/>
        <v>58625.283559522039</v>
      </c>
      <c r="S217" s="29">
        <f t="shared" si="62"/>
        <v>58625.28355952206</v>
      </c>
      <c r="T217" s="29">
        <f t="shared" si="71"/>
        <v>58625.28355952206</v>
      </c>
      <c r="U217">
        <f t="shared" si="72"/>
        <v>0</v>
      </c>
      <c r="V217" s="29">
        <f t="shared" si="73"/>
        <v>58625.28355952206</v>
      </c>
      <c r="W217" s="29">
        <f t="shared" si="63"/>
        <v>58625.28355952206</v>
      </c>
      <c r="X217" s="29">
        <f t="shared" si="74"/>
        <v>58625.28355952206</v>
      </c>
      <c r="Y217">
        <f t="shared" si="75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allocations'!$A$1:$L$317,5,FALSE)</f>
        <v>52679.685897745847</v>
      </c>
      <c r="E218" s="31">
        <f>VLOOKUP(B218,'Initial adjusted formula count'!$A$1:$P$317,12,FALSE)</f>
        <v>8.1000000000000003E-2</v>
      </c>
      <c r="F218">
        <f>VLOOKUP(B218,'Model allocations'!$A$1:$L$317,10,FALSE)</f>
        <v>44777.733013083969</v>
      </c>
      <c r="G218" s="30">
        <f t="shared" si="64"/>
        <v>0.85</v>
      </c>
      <c r="H218">
        <f t="shared" si="65"/>
        <v>44777.733013083969</v>
      </c>
      <c r="I218">
        <f t="shared" si="57"/>
        <v>0</v>
      </c>
      <c r="J218">
        <f t="shared" si="58"/>
        <v>44777.733013083969</v>
      </c>
      <c r="K218">
        <f t="shared" si="59"/>
        <v>44752.195143260717</v>
      </c>
      <c r="L218">
        <f t="shared" si="66"/>
        <v>44752.195143260717</v>
      </c>
      <c r="M218">
        <f t="shared" si="60"/>
        <v>44777.733013083969</v>
      </c>
      <c r="N218" s="29">
        <f t="shared" si="67"/>
        <v>0</v>
      </c>
      <c r="O218" s="29">
        <f t="shared" si="61"/>
        <v>0</v>
      </c>
      <c r="P218" s="29">
        <f t="shared" si="68"/>
        <v>44777.733013083969</v>
      </c>
      <c r="Q218">
        <f t="shared" si="69"/>
        <v>0</v>
      </c>
      <c r="R218" s="29">
        <f t="shared" si="70"/>
        <v>0</v>
      </c>
      <c r="S218" s="29">
        <f t="shared" si="62"/>
        <v>0</v>
      </c>
      <c r="T218" s="29">
        <f t="shared" si="71"/>
        <v>44777.733013083969</v>
      </c>
      <c r="U218">
        <f t="shared" si="72"/>
        <v>0</v>
      </c>
      <c r="V218" s="29">
        <f t="shared" si="73"/>
        <v>0</v>
      </c>
      <c r="W218" s="29">
        <f t="shared" si="63"/>
        <v>0</v>
      </c>
      <c r="X218" s="29">
        <f t="shared" si="74"/>
        <v>44777.733013083969</v>
      </c>
      <c r="Y218">
        <f t="shared" si="75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allocations'!$A$1:$L$317,5,FALSE)</f>
        <v>1286170.1336722556</v>
      </c>
      <c r="E219" s="31">
        <f>VLOOKUP(B219,'Initial adjusted formula count'!$A$1:$P$317,12,FALSE)</f>
        <v>0.13406075414032301</v>
      </c>
      <c r="F219">
        <f>VLOOKUP(B219,'Model allocations'!$A$1:$L$317,10,FALSE)</f>
        <v>1358589.5261074204</v>
      </c>
      <c r="G219" s="30">
        <f t="shared" si="64"/>
        <v>0.85</v>
      </c>
      <c r="H219">
        <f t="shared" si="65"/>
        <v>1093244.6136214172</v>
      </c>
      <c r="I219">
        <f t="shared" si="57"/>
        <v>0</v>
      </c>
      <c r="J219">
        <f t="shared" si="58"/>
        <v>1358589.5261074204</v>
      </c>
      <c r="K219">
        <f t="shared" si="59"/>
        <v>1357814.688255517</v>
      </c>
      <c r="L219">
        <f t="shared" si="66"/>
        <v>1357814.688255517</v>
      </c>
      <c r="M219">
        <f t="shared" si="60"/>
        <v>0</v>
      </c>
      <c r="N219" s="29">
        <f t="shared" si="67"/>
        <v>1357814.688255517</v>
      </c>
      <c r="O219" s="29">
        <f t="shared" si="61"/>
        <v>1357722.360284704</v>
      </c>
      <c r="P219" s="29">
        <f t="shared" si="68"/>
        <v>1357722.360284704</v>
      </c>
      <c r="Q219">
        <f t="shared" si="69"/>
        <v>0</v>
      </c>
      <c r="R219" s="29">
        <f t="shared" si="70"/>
        <v>1357722.360284704</v>
      </c>
      <c r="S219" s="29">
        <f t="shared" si="62"/>
        <v>1357722.3602847045</v>
      </c>
      <c r="T219" s="29">
        <f t="shared" si="71"/>
        <v>1357722.3602847045</v>
      </c>
      <c r="U219">
        <f t="shared" si="72"/>
        <v>0</v>
      </c>
      <c r="V219" s="29">
        <f t="shared" si="73"/>
        <v>1357722.3602847045</v>
      </c>
      <c r="W219" s="29">
        <f t="shared" si="63"/>
        <v>1357722.3602847045</v>
      </c>
      <c r="X219" s="29">
        <f t="shared" si="74"/>
        <v>1357722.3602847045</v>
      </c>
      <c r="Y219">
        <f t="shared" si="75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allocations'!$A$1:$L$317,5,FALSE)</f>
        <v>49806.863019119402</v>
      </c>
      <c r="E220" s="31">
        <f>VLOOKUP(B220,'Initial adjusted formula count'!$A$1:$P$317,12,FALSE)</f>
        <v>0.24</v>
      </c>
      <c r="F220">
        <f>VLOOKUP(B220,'Model allocations'!$A$1:$L$317,10,FALSE)</f>
        <v>49902.197634152566</v>
      </c>
      <c r="G220" s="30">
        <f t="shared" si="64"/>
        <v>0.9</v>
      </c>
      <c r="H220">
        <f t="shared" si="65"/>
        <v>44826.176717207461</v>
      </c>
      <c r="I220">
        <f t="shared" si="57"/>
        <v>0</v>
      </c>
      <c r="J220">
        <f t="shared" si="58"/>
        <v>49902.197634152566</v>
      </c>
      <c r="K220">
        <f t="shared" si="59"/>
        <v>49873.73715298657</v>
      </c>
      <c r="L220">
        <f t="shared" si="66"/>
        <v>49873.73715298657</v>
      </c>
      <c r="M220">
        <f t="shared" si="60"/>
        <v>0</v>
      </c>
      <c r="N220" s="29">
        <f t="shared" si="67"/>
        <v>49873.73715298657</v>
      </c>
      <c r="O220" s="29">
        <f t="shared" si="61"/>
        <v>49870.345864773219</v>
      </c>
      <c r="P220" s="29">
        <f t="shared" si="68"/>
        <v>49870.345864773219</v>
      </c>
      <c r="Q220">
        <f t="shared" si="69"/>
        <v>0</v>
      </c>
      <c r="R220" s="29">
        <f t="shared" si="70"/>
        <v>49870.345864773219</v>
      </c>
      <c r="S220" s="29">
        <f t="shared" si="62"/>
        <v>49870.345864773233</v>
      </c>
      <c r="T220" s="29">
        <f t="shared" si="71"/>
        <v>49870.345864773233</v>
      </c>
      <c r="U220">
        <f t="shared" si="72"/>
        <v>0</v>
      </c>
      <c r="V220" s="29">
        <f t="shared" si="73"/>
        <v>49870.345864773233</v>
      </c>
      <c r="W220" s="29">
        <f t="shared" si="63"/>
        <v>49870.345864773233</v>
      </c>
      <c r="X220" s="29">
        <f t="shared" si="74"/>
        <v>49870.345864773233</v>
      </c>
      <c r="Y220">
        <f t="shared" si="75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allocations'!$A$1:$L$317,5,FALSE)</f>
        <v>687511.05697019096</v>
      </c>
      <c r="E221" s="31">
        <f>VLOOKUP(B221,'Initial adjusted formula count'!$A$1:$P$317,12,FALSE)</f>
        <v>9.5232048758809001E-2</v>
      </c>
      <c r="F221">
        <f>VLOOKUP(B221,'Model allocations'!$A$1:$L$317,10,FALSE)</f>
        <v>798665.80861256737</v>
      </c>
      <c r="G221" s="30">
        <f t="shared" si="64"/>
        <v>0.85</v>
      </c>
      <c r="H221">
        <f t="shared" si="65"/>
        <v>584384.3984246623</v>
      </c>
      <c r="I221">
        <f t="shared" si="57"/>
        <v>0</v>
      </c>
      <c r="J221">
        <f t="shared" si="58"/>
        <v>798665.80861256737</v>
      </c>
      <c r="K221">
        <f t="shared" si="59"/>
        <v>798210.30937041796</v>
      </c>
      <c r="L221">
        <f t="shared" si="66"/>
        <v>798210.30937041796</v>
      </c>
      <c r="M221">
        <f t="shared" si="60"/>
        <v>0</v>
      </c>
      <c r="N221" s="29">
        <f t="shared" si="67"/>
        <v>798210.30937041796</v>
      </c>
      <c r="O221" s="29">
        <f t="shared" si="61"/>
        <v>798156.03308457159</v>
      </c>
      <c r="P221" s="29">
        <f t="shared" si="68"/>
        <v>798156.03308457159</v>
      </c>
      <c r="Q221">
        <f t="shared" si="69"/>
        <v>0</v>
      </c>
      <c r="R221" s="29">
        <f t="shared" si="70"/>
        <v>798156.03308457159</v>
      </c>
      <c r="S221" s="29">
        <f t="shared" si="62"/>
        <v>798156.03308457183</v>
      </c>
      <c r="T221" s="29">
        <f t="shared" si="71"/>
        <v>798156.03308457183</v>
      </c>
      <c r="U221">
        <f t="shared" si="72"/>
        <v>0</v>
      </c>
      <c r="V221" s="29">
        <f t="shared" si="73"/>
        <v>798156.03308457183</v>
      </c>
      <c r="W221" s="29">
        <f t="shared" si="63"/>
        <v>798156.03308457183</v>
      </c>
      <c r="X221" s="29">
        <f t="shared" si="74"/>
        <v>798156.03308457183</v>
      </c>
      <c r="Y221">
        <f t="shared" si="75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allocations'!$A$1:$L$317,5,FALSE)</f>
        <v>0</v>
      </c>
      <c r="E222" s="31">
        <f>VLOOKUP(B222,'Initial adjusted formula count'!$A$1:$P$317,12,FALSE)</f>
        <v>4.2256902761104401E-2</v>
      </c>
      <c r="F222">
        <f>VLOOKUP(B222,'Model allocations'!$A$1:$L$317,10,FALSE)</f>
        <v>0</v>
      </c>
      <c r="G222" s="30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29">
        <f t="shared" si="67"/>
        <v>0</v>
      </c>
      <c r="O222" s="29">
        <f t="shared" si="61"/>
        <v>0</v>
      </c>
      <c r="P222" s="29">
        <f t="shared" si="68"/>
        <v>0</v>
      </c>
      <c r="Q222">
        <f t="shared" si="69"/>
        <v>0</v>
      </c>
      <c r="R222" s="29">
        <f t="shared" si="70"/>
        <v>0</v>
      </c>
      <c r="S222" s="29">
        <f t="shared" si="62"/>
        <v>0</v>
      </c>
      <c r="T222" s="29">
        <f t="shared" si="71"/>
        <v>0</v>
      </c>
      <c r="U222">
        <f t="shared" si="72"/>
        <v>0</v>
      </c>
      <c r="V222" s="29">
        <f t="shared" si="73"/>
        <v>0</v>
      </c>
      <c r="W222" s="29">
        <f t="shared" si="63"/>
        <v>0</v>
      </c>
      <c r="X222" s="29">
        <f t="shared" si="74"/>
        <v>0</v>
      </c>
      <c r="Y222">
        <f t="shared" si="75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allocations'!$A$1:$L$317,5,FALSE)</f>
        <v>24282.04271849223</v>
      </c>
      <c r="E223" s="31">
        <f>VLOOKUP(B223,'Initial adjusted formula count'!$A$1:$P$317,12,FALSE)</f>
        <v>0.115942028985507</v>
      </c>
      <c r="F223">
        <f>VLOOKUP(B223,'Model allocations'!$A$1:$L$317,10,FALSE)</f>
        <v>20639.736310718396</v>
      </c>
      <c r="G223" s="30">
        <f t="shared" si="64"/>
        <v>0.85</v>
      </c>
      <c r="H223">
        <f t="shared" si="65"/>
        <v>20639.736310718396</v>
      </c>
      <c r="I223">
        <f t="shared" si="57"/>
        <v>0</v>
      </c>
      <c r="J223">
        <f t="shared" si="58"/>
        <v>20639.736310718396</v>
      </c>
      <c r="K223">
        <f t="shared" si="59"/>
        <v>20627.96494884674</v>
      </c>
      <c r="L223">
        <f t="shared" si="66"/>
        <v>20627.96494884674</v>
      </c>
      <c r="M223">
        <f t="shared" si="60"/>
        <v>20639.736310718396</v>
      </c>
      <c r="N223" s="29">
        <f t="shared" si="67"/>
        <v>0</v>
      </c>
      <c r="O223" s="29">
        <f t="shared" si="61"/>
        <v>0</v>
      </c>
      <c r="P223" s="29">
        <f t="shared" si="68"/>
        <v>20639.736310718396</v>
      </c>
      <c r="Q223">
        <f t="shared" si="69"/>
        <v>0</v>
      </c>
      <c r="R223" s="29">
        <f t="shared" si="70"/>
        <v>0</v>
      </c>
      <c r="S223" s="29">
        <f t="shared" si="62"/>
        <v>0</v>
      </c>
      <c r="T223" s="29">
        <f t="shared" si="71"/>
        <v>20639.736310718396</v>
      </c>
      <c r="U223">
        <f t="shared" si="72"/>
        <v>0</v>
      </c>
      <c r="V223" s="29">
        <f t="shared" si="73"/>
        <v>0</v>
      </c>
      <c r="W223" s="29">
        <f t="shared" si="63"/>
        <v>0</v>
      </c>
      <c r="X223" s="29">
        <f t="shared" si="74"/>
        <v>20639.736310718396</v>
      </c>
      <c r="Y223">
        <f t="shared" si="75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allocations'!$A$1:$L$317,5,FALSE)</f>
        <v>112355.89257878606</v>
      </c>
      <c r="E224" s="31">
        <f>VLOOKUP(B224,'Initial adjusted formula count'!$A$1:$P$317,12,FALSE)</f>
        <v>0.12299465240641699</v>
      </c>
      <c r="F224">
        <f>VLOOKUP(B224,'Model allocations'!$A$1:$L$317,10,FALSE)</f>
        <v>106097.37441794672</v>
      </c>
      <c r="G224" s="30">
        <f t="shared" si="64"/>
        <v>0.85</v>
      </c>
      <c r="H224">
        <f t="shared" si="65"/>
        <v>95502.508691968149</v>
      </c>
      <c r="I224">
        <f t="shared" si="57"/>
        <v>0</v>
      </c>
      <c r="J224">
        <f t="shared" si="58"/>
        <v>106097.37441794672</v>
      </c>
      <c r="K224">
        <f t="shared" si="59"/>
        <v>106036.86441098226</v>
      </c>
      <c r="L224">
        <f t="shared" si="66"/>
        <v>106036.86441098226</v>
      </c>
      <c r="M224">
        <f t="shared" si="60"/>
        <v>0</v>
      </c>
      <c r="N224" s="29">
        <f t="shared" si="67"/>
        <v>106036.86441098226</v>
      </c>
      <c r="O224" s="29">
        <f t="shared" si="61"/>
        <v>106029.65417190685</v>
      </c>
      <c r="P224" s="29">
        <f t="shared" si="68"/>
        <v>106029.65417190685</v>
      </c>
      <c r="Q224">
        <f t="shared" si="69"/>
        <v>0</v>
      </c>
      <c r="R224" s="29">
        <f t="shared" si="70"/>
        <v>106029.65417190685</v>
      </c>
      <c r="S224" s="29">
        <f t="shared" si="62"/>
        <v>106029.65417190688</v>
      </c>
      <c r="T224" s="29">
        <f t="shared" si="71"/>
        <v>106029.65417190688</v>
      </c>
      <c r="U224">
        <f t="shared" si="72"/>
        <v>0</v>
      </c>
      <c r="V224" s="29">
        <f t="shared" si="73"/>
        <v>106029.65417190688</v>
      </c>
      <c r="W224" s="29">
        <f t="shared" si="63"/>
        <v>106029.65417190688</v>
      </c>
      <c r="X224" s="29">
        <f t="shared" si="74"/>
        <v>106029.65417190688</v>
      </c>
      <c r="Y224">
        <f t="shared" si="75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allocations'!$A$1:$L$317,5,FALSE)</f>
        <v>0</v>
      </c>
      <c r="E225" s="31">
        <f>VLOOKUP(B225,'Initial adjusted formula count'!$A$1:$P$317,12,FALSE)</f>
        <v>3.3472803347280297E-2</v>
      </c>
      <c r="F225">
        <f>VLOOKUP(B225,'Model allocations'!$A$1:$L$317,10,FALSE)</f>
        <v>0</v>
      </c>
      <c r="G225" s="30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29">
        <f t="shared" si="67"/>
        <v>0</v>
      </c>
      <c r="O225" s="29">
        <f t="shared" si="61"/>
        <v>0</v>
      </c>
      <c r="P225" s="29">
        <f t="shared" si="68"/>
        <v>0</v>
      </c>
      <c r="Q225">
        <f t="shared" si="69"/>
        <v>0</v>
      </c>
      <c r="R225" s="29">
        <f t="shared" si="70"/>
        <v>0</v>
      </c>
      <c r="S225" s="29">
        <f t="shared" si="62"/>
        <v>0</v>
      </c>
      <c r="T225" s="29">
        <f t="shared" si="71"/>
        <v>0</v>
      </c>
      <c r="U225">
        <f t="shared" si="72"/>
        <v>0</v>
      </c>
      <c r="V225" s="29">
        <f t="shared" si="73"/>
        <v>0</v>
      </c>
      <c r="W225" s="29">
        <f t="shared" si="63"/>
        <v>0</v>
      </c>
      <c r="X225" s="29">
        <f t="shared" si="74"/>
        <v>0</v>
      </c>
      <c r="Y225">
        <f t="shared" si="75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allocations'!$A$1:$L$317,5,FALSE)</f>
        <v>121508.94486406796</v>
      </c>
      <c r="E226" s="31">
        <f>VLOOKUP(B226,'Initial adjusted formula count'!$A$1:$P$317,12,FALSE)</f>
        <v>0.10241935483870999</v>
      </c>
      <c r="F226">
        <f>VLOOKUP(B226,'Model allocations'!$A$1:$L$317,10,FALSE)</f>
        <v>106516.73162908484</v>
      </c>
      <c r="G226" s="30">
        <f t="shared" si="64"/>
        <v>0.85</v>
      </c>
      <c r="H226">
        <f t="shared" si="65"/>
        <v>103282.60313445776</v>
      </c>
      <c r="I226">
        <f t="shared" si="57"/>
        <v>0</v>
      </c>
      <c r="J226">
        <f t="shared" si="58"/>
        <v>106516.73162908484</v>
      </c>
      <c r="K226">
        <f t="shared" si="59"/>
        <v>106455.98245213238</v>
      </c>
      <c r="L226">
        <f t="shared" si="66"/>
        <v>106455.98245213238</v>
      </c>
      <c r="M226">
        <f t="shared" si="60"/>
        <v>0</v>
      </c>
      <c r="N226" s="29">
        <f t="shared" si="67"/>
        <v>106455.98245213238</v>
      </c>
      <c r="O226" s="29">
        <f t="shared" si="61"/>
        <v>106448.74371408827</v>
      </c>
      <c r="P226" s="29">
        <f t="shared" si="68"/>
        <v>106448.74371408827</v>
      </c>
      <c r="Q226">
        <f t="shared" si="69"/>
        <v>0</v>
      </c>
      <c r="R226" s="29">
        <f t="shared" si="70"/>
        <v>106448.74371408827</v>
      </c>
      <c r="S226" s="29">
        <f t="shared" si="62"/>
        <v>106448.7437140883</v>
      </c>
      <c r="T226" s="29">
        <f t="shared" si="71"/>
        <v>106448.7437140883</v>
      </c>
      <c r="U226">
        <f t="shared" si="72"/>
        <v>0</v>
      </c>
      <c r="V226" s="29">
        <f t="shared" si="73"/>
        <v>106448.7437140883</v>
      </c>
      <c r="W226" s="29">
        <f t="shared" si="63"/>
        <v>106448.7437140883</v>
      </c>
      <c r="X226" s="29">
        <f t="shared" si="74"/>
        <v>106448.7437140883</v>
      </c>
      <c r="Y226">
        <f t="shared" si="75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allocations'!$A$1:$L$317,5,FALSE)</f>
        <v>0</v>
      </c>
      <c r="E227" s="31">
        <f>VLOOKUP(B227,'Initial adjusted formula count'!$A$1:$P$317,12,FALSE)</f>
        <v>9.3023255813953501E-2</v>
      </c>
      <c r="F227">
        <f>VLOOKUP(B227,'Model allocations'!$A$1:$L$317,10,FALSE)</f>
        <v>0</v>
      </c>
      <c r="G227" s="30">
        <f t="shared" si="64"/>
        <v>0.85</v>
      </c>
      <c r="H227">
        <f t="shared" si="65"/>
        <v>0</v>
      </c>
      <c r="I227">
        <f t="shared" si="57"/>
        <v>0</v>
      </c>
      <c r="J227">
        <f t="shared" si="58"/>
        <v>0</v>
      </c>
      <c r="K227">
        <f t="shared" si="59"/>
        <v>0</v>
      </c>
      <c r="L227">
        <f t="shared" si="66"/>
        <v>0</v>
      </c>
      <c r="M227">
        <f t="shared" si="60"/>
        <v>0</v>
      </c>
      <c r="N227" s="29">
        <f t="shared" si="67"/>
        <v>0</v>
      </c>
      <c r="O227" s="29">
        <f t="shared" si="61"/>
        <v>0</v>
      </c>
      <c r="P227" s="29">
        <f t="shared" si="68"/>
        <v>0</v>
      </c>
      <c r="Q227">
        <f t="shared" si="69"/>
        <v>0</v>
      </c>
      <c r="R227" s="29">
        <f t="shared" si="70"/>
        <v>0</v>
      </c>
      <c r="S227" s="29">
        <f t="shared" si="62"/>
        <v>0</v>
      </c>
      <c r="T227" s="29">
        <f t="shared" si="71"/>
        <v>0</v>
      </c>
      <c r="U227">
        <f t="shared" si="72"/>
        <v>0</v>
      </c>
      <c r="V227" s="29">
        <f t="shared" si="73"/>
        <v>0</v>
      </c>
      <c r="W227" s="29">
        <f t="shared" si="63"/>
        <v>0</v>
      </c>
      <c r="X227" s="29">
        <f t="shared" si="74"/>
        <v>0</v>
      </c>
      <c r="Y227">
        <f t="shared" si="75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allocations'!$A$1:$L$317,5,FALSE)</f>
        <v>13581.4815205126</v>
      </c>
      <c r="E228" s="31">
        <f>VLOOKUP(B228,'Initial adjusted formula count'!$A$1:$P$317,12,FALSE)</f>
        <v>0.19028340080971701</v>
      </c>
      <c r="F228">
        <f>VLOOKUP(B228,'Model allocations'!$A$1:$L$317,10,FALSE)</f>
        <v>22388.663756103011</v>
      </c>
      <c r="G228" s="30">
        <f t="shared" si="64"/>
        <v>0.9</v>
      </c>
      <c r="H228">
        <f t="shared" si="65"/>
        <v>12223.333368461341</v>
      </c>
      <c r="I228">
        <f t="shared" si="57"/>
        <v>0</v>
      </c>
      <c r="J228">
        <f t="shared" si="58"/>
        <v>22388.663756103011</v>
      </c>
      <c r="K228">
        <f t="shared" si="59"/>
        <v>22375.894936825072</v>
      </c>
      <c r="L228">
        <f t="shared" si="66"/>
        <v>22375.894936825072</v>
      </c>
      <c r="M228">
        <f t="shared" si="60"/>
        <v>0</v>
      </c>
      <c r="N228" s="29">
        <f t="shared" si="67"/>
        <v>22375.894936825072</v>
      </c>
      <c r="O228" s="29">
        <f t="shared" si="61"/>
        <v>22374.373432460365</v>
      </c>
      <c r="P228" s="29">
        <f t="shared" si="68"/>
        <v>22374.373432460365</v>
      </c>
      <c r="Q228">
        <f t="shared" si="69"/>
        <v>0</v>
      </c>
      <c r="R228" s="29">
        <f t="shared" si="70"/>
        <v>22374.373432460365</v>
      </c>
      <c r="S228" s="29">
        <f t="shared" si="62"/>
        <v>22374.373432460372</v>
      </c>
      <c r="T228" s="29">
        <f t="shared" si="71"/>
        <v>22374.373432460372</v>
      </c>
      <c r="U228">
        <f t="shared" si="72"/>
        <v>0</v>
      </c>
      <c r="V228" s="29">
        <f t="shared" si="73"/>
        <v>22374.373432460372</v>
      </c>
      <c r="W228" s="29">
        <f t="shared" si="63"/>
        <v>22374.373432460372</v>
      </c>
      <c r="X228" s="29">
        <f t="shared" si="74"/>
        <v>22374.373432460372</v>
      </c>
      <c r="Y228">
        <f t="shared" si="75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allocations'!$A$1:$L$317,5,FALSE)</f>
        <v>123006.16527041039</v>
      </c>
      <c r="E229" s="31">
        <f>VLOOKUP(B229,'Initial adjusted formula count'!$A$1:$P$317,12,FALSE)</f>
        <v>0.13964784456587701</v>
      </c>
      <c r="F229">
        <f>VLOOKUP(B229,'Model allocations'!$A$1:$L$317,10,FALSE)</f>
        <v>104555.24047984883</v>
      </c>
      <c r="G229" s="30">
        <f t="shared" si="64"/>
        <v>0.85</v>
      </c>
      <c r="H229">
        <f t="shared" si="65"/>
        <v>104555.24047984883</v>
      </c>
      <c r="I229">
        <f t="shared" si="57"/>
        <v>0</v>
      </c>
      <c r="J229">
        <f t="shared" si="58"/>
        <v>104555.24047984883</v>
      </c>
      <c r="K229">
        <f t="shared" si="59"/>
        <v>104495.60999074094</v>
      </c>
      <c r="L229">
        <f t="shared" si="66"/>
        <v>104495.60999074094</v>
      </c>
      <c r="M229">
        <f t="shared" si="60"/>
        <v>104555.24047984883</v>
      </c>
      <c r="N229" s="29">
        <f t="shared" si="67"/>
        <v>0</v>
      </c>
      <c r="O229" s="29">
        <f t="shared" si="61"/>
        <v>0</v>
      </c>
      <c r="P229" s="29">
        <f t="shared" si="68"/>
        <v>104555.24047984883</v>
      </c>
      <c r="Q229">
        <f t="shared" si="69"/>
        <v>0</v>
      </c>
      <c r="R229" s="29">
        <f t="shared" si="70"/>
        <v>0</v>
      </c>
      <c r="S229" s="29">
        <f t="shared" si="62"/>
        <v>0</v>
      </c>
      <c r="T229" s="29">
        <f t="shared" si="71"/>
        <v>104555.24047984883</v>
      </c>
      <c r="U229">
        <f t="shared" si="72"/>
        <v>0</v>
      </c>
      <c r="V229" s="29">
        <f t="shared" si="73"/>
        <v>0</v>
      </c>
      <c r="W229" s="29">
        <f t="shared" si="63"/>
        <v>0</v>
      </c>
      <c r="X229" s="29">
        <f t="shared" si="74"/>
        <v>104555.24047984883</v>
      </c>
      <c r="Y229">
        <f t="shared" si="75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allocations'!$A$1:$L$317,5,FALSE)</f>
        <v>40057.893911231185</v>
      </c>
      <c r="E230" s="31">
        <f>VLOOKUP(B230,'Initial adjusted formula count'!$A$1:$P$317,12,FALSE)</f>
        <v>0.1</v>
      </c>
      <c r="F230">
        <f>VLOOKUP(B230,'Model allocations'!$A$1:$L$317,10,FALSE)</f>
        <v>36484.07736901725</v>
      </c>
      <c r="G230" s="30">
        <f t="shared" si="64"/>
        <v>0.85</v>
      </c>
      <c r="H230">
        <f t="shared" si="65"/>
        <v>34049.209824546509</v>
      </c>
      <c r="I230">
        <f t="shared" si="57"/>
        <v>0</v>
      </c>
      <c r="J230">
        <f t="shared" si="58"/>
        <v>36484.07736901725</v>
      </c>
      <c r="K230">
        <f t="shared" si="59"/>
        <v>36463.269580061089</v>
      </c>
      <c r="L230">
        <f t="shared" si="66"/>
        <v>36463.269580061089</v>
      </c>
      <c r="M230">
        <f t="shared" si="60"/>
        <v>0</v>
      </c>
      <c r="N230" s="29">
        <f t="shared" si="67"/>
        <v>36463.269580061089</v>
      </c>
      <c r="O230" s="29">
        <f t="shared" si="61"/>
        <v>36460.790169786138</v>
      </c>
      <c r="P230" s="29">
        <f t="shared" si="68"/>
        <v>36460.790169786138</v>
      </c>
      <c r="Q230">
        <f t="shared" si="69"/>
        <v>0</v>
      </c>
      <c r="R230" s="29">
        <f t="shared" si="70"/>
        <v>36460.790169786138</v>
      </c>
      <c r="S230" s="29">
        <f t="shared" si="62"/>
        <v>36460.790169786145</v>
      </c>
      <c r="T230" s="29">
        <f t="shared" si="71"/>
        <v>36460.790169786145</v>
      </c>
      <c r="U230">
        <f t="shared" si="72"/>
        <v>0</v>
      </c>
      <c r="V230" s="29">
        <f t="shared" si="73"/>
        <v>36460.790169786145</v>
      </c>
      <c r="W230" s="29">
        <f t="shared" si="63"/>
        <v>36460.790169786145</v>
      </c>
      <c r="X230" s="29">
        <f t="shared" si="74"/>
        <v>36460.790169786145</v>
      </c>
      <c r="Y230">
        <f t="shared" si="75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allocations'!$A$1:$L$317,5,FALSE)</f>
        <v>8982.2051151823744</v>
      </c>
      <c r="E231" s="31">
        <f>VLOOKUP(B231,'Initial adjusted formula count'!$A$1:$P$317,12,FALSE)</f>
        <v>0.13636363636363599</v>
      </c>
      <c r="F231">
        <f>VLOOKUP(B231,'Model allocations'!$A$1:$L$317,10,FALSE)</f>
        <v>7634.8743479050181</v>
      </c>
      <c r="G231" s="30">
        <f t="shared" si="64"/>
        <v>0.85</v>
      </c>
      <c r="H231">
        <f t="shared" si="65"/>
        <v>7634.8743479050181</v>
      </c>
      <c r="I231">
        <f t="shared" si="57"/>
        <v>0</v>
      </c>
      <c r="J231">
        <f t="shared" si="58"/>
        <v>7634.8743479050181</v>
      </c>
      <c r="K231">
        <f t="shared" si="59"/>
        <v>7630.5199866166358</v>
      </c>
      <c r="L231">
        <f t="shared" si="66"/>
        <v>7630.5199866166358</v>
      </c>
      <c r="M231">
        <f t="shared" si="60"/>
        <v>7634.8743479050181</v>
      </c>
      <c r="N231" s="29">
        <f t="shared" si="67"/>
        <v>0</v>
      </c>
      <c r="O231" s="29">
        <f t="shared" si="61"/>
        <v>0</v>
      </c>
      <c r="P231" s="29">
        <f t="shared" si="68"/>
        <v>7634.8743479050181</v>
      </c>
      <c r="Q231">
        <f t="shared" si="69"/>
        <v>0</v>
      </c>
      <c r="R231" s="29">
        <f t="shared" si="70"/>
        <v>0</v>
      </c>
      <c r="S231" s="29">
        <f t="shared" si="62"/>
        <v>0</v>
      </c>
      <c r="T231" s="29">
        <f t="shared" si="71"/>
        <v>7634.8743479050181</v>
      </c>
      <c r="U231">
        <f t="shared" si="72"/>
        <v>0</v>
      </c>
      <c r="V231" s="29">
        <f t="shared" si="73"/>
        <v>0</v>
      </c>
      <c r="W231" s="29">
        <f t="shared" si="63"/>
        <v>0</v>
      </c>
      <c r="X231" s="29">
        <f t="shared" si="74"/>
        <v>7634.8743479050181</v>
      </c>
      <c r="Y231">
        <f t="shared" si="75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allocations'!$A$1:$L$317,5,FALSE)</f>
        <v>13334.963331012223</v>
      </c>
      <c r="E232" s="31">
        <f>VLOOKUP(B232,'Initial adjusted formula count'!$A$1:$P$317,12,FALSE)</f>
        <v>0.13881734580133701</v>
      </c>
      <c r="F232">
        <f>VLOOKUP(B232,'Model allocations'!$A$1:$L$317,10,FALSE)</f>
        <v>12280.899062645705</v>
      </c>
      <c r="G232" s="30">
        <f t="shared" si="64"/>
        <v>0.85</v>
      </c>
      <c r="H232">
        <f t="shared" si="65"/>
        <v>11334.718831360389</v>
      </c>
      <c r="I232">
        <f t="shared" si="57"/>
        <v>0</v>
      </c>
      <c r="J232">
        <f t="shared" si="58"/>
        <v>12280.899062645705</v>
      </c>
      <c r="K232">
        <f t="shared" si="59"/>
        <v>12273.894956352904</v>
      </c>
      <c r="L232">
        <f t="shared" si="66"/>
        <v>12273.894956352904</v>
      </c>
      <c r="M232">
        <f t="shared" si="60"/>
        <v>0</v>
      </c>
      <c r="N232" s="29">
        <f t="shared" si="67"/>
        <v>12273.894956352904</v>
      </c>
      <c r="O232" s="29">
        <f t="shared" si="61"/>
        <v>12273.060362482995</v>
      </c>
      <c r="P232" s="29">
        <f t="shared" si="68"/>
        <v>12273.060362482995</v>
      </c>
      <c r="Q232">
        <f t="shared" si="69"/>
        <v>0</v>
      </c>
      <c r="R232" s="29">
        <f t="shared" si="70"/>
        <v>12273.060362482995</v>
      </c>
      <c r="S232" s="29">
        <f t="shared" si="62"/>
        <v>12273.060362482998</v>
      </c>
      <c r="T232" s="29">
        <f t="shared" si="71"/>
        <v>12273.060362482998</v>
      </c>
      <c r="U232">
        <f t="shared" si="72"/>
        <v>0</v>
      </c>
      <c r="V232" s="29">
        <f t="shared" si="73"/>
        <v>12273.060362482998</v>
      </c>
      <c r="W232" s="29">
        <f t="shared" si="63"/>
        <v>12273.060362482998</v>
      </c>
      <c r="X232" s="29">
        <f t="shared" si="74"/>
        <v>12273.060362482998</v>
      </c>
      <c r="Y232">
        <f t="shared" si="75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allocations'!$A$1:$L$317,5,FALSE)</f>
        <v>0</v>
      </c>
      <c r="E233" s="31">
        <f>VLOOKUP(B233,'Initial adjusted formula count'!$A$1:$P$317,12,FALSE)</f>
        <v>6.8505523903888699E-2</v>
      </c>
      <c r="F233">
        <f>VLOOKUP(B233,'Model allocations'!$A$1:$L$317,10,FALSE)</f>
        <v>0</v>
      </c>
      <c r="G233" s="30">
        <f t="shared" si="64"/>
        <v>0.85</v>
      </c>
      <c r="H233">
        <f t="shared" si="6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6"/>
        <v>0</v>
      </c>
      <c r="M233">
        <f t="shared" si="60"/>
        <v>0</v>
      </c>
      <c r="N233" s="29">
        <f t="shared" si="67"/>
        <v>0</v>
      </c>
      <c r="O233" s="29">
        <f t="shared" si="61"/>
        <v>0</v>
      </c>
      <c r="P233" s="29">
        <f t="shared" si="68"/>
        <v>0</v>
      </c>
      <c r="Q233">
        <f t="shared" si="69"/>
        <v>0</v>
      </c>
      <c r="R233" s="29">
        <f t="shared" si="70"/>
        <v>0</v>
      </c>
      <c r="S233" s="29">
        <f t="shared" si="62"/>
        <v>0</v>
      </c>
      <c r="T233" s="29">
        <f t="shared" si="71"/>
        <v>0</v>
      </c>
      <c r="U233">
        <f t="shared" si="72"/>
        <v>0</v>
      </c>
      <c r="V233" s="29">
        <f t="shared" si="73"/>
        <v>0</v>
      </c>
      <c r="W233" s="29">
        <f t="shared" si="63"/>
        <v>0</v>
      </c>
      <c r="X233" s="29">
        <f t="shared" si="74"/>
        <v>0</v>
      </c>
      <c r="Y233">
        <f t="shared" si="75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allocations'!$A$1:$L$317,5,FALSE)</f>
        <v>4317425.8108944101</v>
      </c>
      <c r="E234" s="31">
        <f>VLOOKUP(B234,'Initial adjusted formula count'!$A$1:$P$317,12,FALSE)</f>
        <v>9.7120311358407194E-2</v>
      </c>
      <c r="F234">
        <f>VLOOKUP(B234,'Model allocations'!$A$1:$L$317,10,FALSE)</f>
        <v>4966941.4348274702</v>
      </c>
      <c r="G234" s="30">
        <f t="shared" si="64"/>
        <v>0.85</v>
      </c>
      <c r="H234">
        <f t="shared" si="65"/>
        <v>3669811.9392602486</v>
      </c>
      <c r="I234">
        <f t="shared" si="57"/>
        <v>0</v>
      </c>
      <c r="J234">
        <f t="shared" si="58"/>
        <v>4966941.4348274702</v>
      </c>
      <c r="K234">
        <f t="shared" si="59"/>
        <v>4964108.6629284266</v>
      </c>
      <c r="L234">
        <f t="shared" si="66"/>
        <v>4964108.6629284266</v>
      </c>
      <c r="M234">
        <f t="shared" si="60"/>
        <v>0</v>
      </c>
      <c r="N234" s="29">
        <f t="shared" si="67"/>
        <v>4964108.6629284266</v>
      </c>
      <c r="O234" s="29">
        <f t="shared" si="61"/>
        <v>4963771.1160719171</v>
      </c>
      <c r="P234" s="29">
        <f t="shared" si="68"/>
        <v>4963771.1160719171</v>
      </c>
      <c r="Q234">
        <f t="shared" si="69"/>
        <v>0</v>
      </c>
      <c r="R234" s="29">
        <f t="shared" si="70"/>
        <v>4963771.1160719171</v>
      </c>
      <c r="S234" s="29">
        <f t="shared" si="62"/>
        <v>4963771.116071919</v>
      </c>
      <c r="T234" s="29">
        <f t="shared" si="71"/>
        <v>4963771.116071919</v>
      </c>
      <c r="U234">
        <f t="shared" si="72"/>
        <v>0</v>
      </c>
      <c r="V234" s="29">
        <f t="shared" si="73"/>
        <v>4963771.116071919</v>
      </c>
      <c r="W234" s="29">
        <f t="shared" si="63"/>
        <v>4963771.116071919</v>
      </c>
      <c r="X234" s="29">
        <f t="shared" si="74"/>
        <v>4963771.116071919</v>
      </c>
      <c r="Y234">
        <f t="shared" si="75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allocations'!$A$1:$L$317,5,FALSE)</f>
        <v>253109.42833682575</v>
      </c>
      <c r="E235" s="31">
        <f>VLOOKUP(B235,'Initial adjusted formula count'!$A$1:$P$317,12,FALSE)</f>
        <v>0.111395899053628</v>
      </c>
      <c r="F235">
        <f>VLOOKUP(B235,'Model allocations'!$A$1:$L$317,10,FALSE)</f>
        <v>236936.82429304303</v>
      </c>
      <c r="G235" s="30">
        <f t="shared" si="64"/>
        <v>0.85</v>
      </c>
      <c r="H235">
        <f t="shared" si="65"/>
        <v>215143.01408630188</v>
      </c>
      <c r="I235">
        <f t="shared" si="57"/>
        <v>0</v>
      </c>
      <c r="J235">
        <f t="shared" si="58"/>
        <v>236936.82429304303</v>
      </c>
      <c r="K235">
        <f t="shared" si="59"/>
        <v>236801.69324982201</v>
      </c>
      <c r="L235">
        <f t="shared" si="66"/>
        <v>236801.69324982201</v>
      </c>
      <c r="M235">
        <f t="shared" si="60"/>
        <v>0</v>
      </c>
      <c r="N235" s="29">
        <f t="shared" si="67"/>
        <v>236801.69324982201</v>
      </c>
      <c r="O235" s="29">
        <f t="shared" si="61"/>
        <v>236785.59133251919</v>
      </c>
      <c r="P235" s="29">
        <f t="shared" si="68"/>
        <v>236785.59133251919</v>
      </c>
      <c r="Q235">
        <f t="shared" si="69"/>
        <v>0</v>
      </c>
      <c r="R235" s="29">
        <f t="shared" si="70"/>
        <v>236785.59133251919</v>
      </c>
      <c r="S235" s="29">
        <f t="shared" si="62"/>
        <v>236785.59133251928</v>
      </c>
      <c r="T235" s="29">
        <f t="shared" si="71"/>
        <v>236785.59133251928</v>
      </c>
      <c r="U235">
        <f t="shared" si="72"/>
        <v>0</v>
      </c>
      <c r="V235" s="29">
        <f t="shared" si="73"/>
        <v>236785.59133251928</v>
      </c>
      <c r="W235" s="29">
        <f t="shared" si="63"/>
        <v>236785.59133251928</v>
      </c>
      <c r="X235" s="29">
        <f t="shared" si="74"/>
        <v>236785.59133251928</v>
      </c>
      <c r="Y235">
        <f t="shared" si="75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allocations'!$A$1:$L$317,5,FALSE)</f>
        <v>192610.10156363324</v>
      </c>
      <c r="E236" s="31">
        <f>VLOOKUP(B236,'Initial adjusted formula count'!$A$1:$P$317,12,FALSE)</f>
        <v>0.121589277166108</v>
      </c>
      <c r="F236">
        <f>VLOOKUP(B236,'Model allocations'!$A$1:$L$317,10,FALSE)</f>
        <v>213033.46325816968</v>
      </c>
      <c r="G236" s="30">
        <f t="shared" si="64"/>
        <v>0.85</v>
      </c>
      <c r="H236">
        <f t="shared" si="65"/>
        <v>163718.58632908826</v>
      </c>
      <c r="I236">
        <f t="shared" si="57"/>
        <v>0</v>
      </c>
      <c r="J236">
        <f t="shared" si="58"/>
        <v>213033.46325816968</v>
      </c>
      <c r="K236">
        <f t="shared" si="59"/>
        <v>212911.96490426475</v>
      </c>
      <c r="L236">
        <f t="shared" si="66"/>
        <v>212911.96490426475</v>
      </c>
      <c r="M236">
        <f t="shared" si="60"/>
        <v>0</v>
      </c>
      <c r="N236" s="29">
        <f t="shared" si="67"/>
        <v>212911.96490426475</v>
      </c>
      <c r="O236" s="29">
        <f t="shared" si="61"/>
        <v>212897.48742817654</v>
      </c>
      <c r="P236" s="29">
        <f t="shared" si="68"/>
        <v>212897.48742817654</v>
      </c>
      <c r="Q236">
        <f t="shared" si="69"/>
        <v>0</v>
      </c>
      <c r="R236" s="29">
        <f t="shared" si="70"/>
        <v>212897.48742817654</v>
      </c>
      <c r="S236" s="29">
        <f t="shared" si="62"/>
        <v>212897.4874281766</v>
      </c>
      <c r="T236" s="29">
        <f t="shared" si="71"/>
        <v>212897.4874281766</v>
      </c>
      <c r="U236">
        <f t="shared" si="72"/>
        <v>0</v>
      </c>
      <c r="V236" s="29">
        <f t="shared" si="73"/>
        <v>212897.4874281766</v>
      </c>
      <c r="W236" s="29">
        <f t="shared" si="63"/>
        <v>212897.4874281766</v>
      </c>
      <c r="X236" s="29">
        <f t="shared" si="74"/>
        <v>212897.4874281766</v>
      </c>
      <c r="Y236">
        <f t="shared" si="75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allocations'!$A$1:$L$317,5,FALSE)</f>
        <v>52188.036266703297</v>
      </c>
      <c r="E237" s="31">
        <f>VLOOKUP(B237,'Initial adjusted formula count'!$A$1:$P$317,12,FALSE)</f>
        <v>0.25937500000000002</v>
      </c>
      <c r="F237">
        <f>VLOOKUP(B237,'Model allocations'!$A$1:$L$317,10,FALSE)</f>
        <v>49083.245420451218</v>
      </c>
      <c r="G237" s="30">
        <f t="shared" si="64"/>
        <v>0.9</v>
      </c>
      <c r="H237">
        <f t="shared" si="65"/>
        <v>46969.232640032969</v>
      </c>
      <c r="I237">
        <f t="shared" si="57"/>
        <v>0</v>
      </c>
      <c r="J237">
        <f t="shared" si="58"/>
        <v>49083.245420451218</v>
      </c>
      <c r="K237">
        <f t="shared" si="59"/>
        <v>49055.252008375537</v>
      </c>
      <c r="L237">
        <f t="shared" si="66"/>
        <v>49055.252008375537</v>
      </c>
      <c r="M237">
        <f t="shared" si="60"/>
        <v>0</v>
      </c>
      <c r="N237" s="29">
        <f t="shared" si="67"/>
        <v>49055.252008375537</v>
      </c>
      <c r="O237" s="29">
        <f t="shared" si="61"/>
        <v>49051.916375085646</v>
      </c>
      <c r="P237" s="29">
        <f t="shared" si="68"/>
        <v>49051.916375085646</v>
      </c>
      <c r="Q237">
        <f t="shared" si="69"/>
        <v>0</v>
      </c>
      <c r="R237" s="29">
        <f t="shared" si="70"/>
        <v>49051.916375085646</v>
      </c>
      <c r="S237" s="29">
        <f t="shared" si="62"/>
        <v>49051.916375085668</v>
      </c>
      <c r="T237" s="29">
        <f t="shared" si="71"/>
        <v>49051.916375085668</v>
      </c>
      <c r="U237">
        <f t="shared" si="72"/>
        <v>0</v>
      </c>
      <c r="V237" s="29">
        <f t="shared" si="73"/>
        <v>49051.916375085668</v>
      </c>
      <c r="W237" s="29">
        <f t="shared" si="63"/>
        <v>49051.916375085668</v>
      </c>
      <c r="X237" s="29">
        <f t="shared" si="74"/>
        <v>49051.916375085668</v>
      </c>
      <c r="Y237">
        <f t="shared" si="75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allocations'!$A$1:$L$317,5,FALSE)</f>
        <v>174501.45953628313</v>
      </c>
      <c r="E238" s="31">
        <f>VLOOKUP(B238,'Initial adjusted formula count'!$A$1:$P$317,12,FALSE)</f>
        <v>0.14779270633397301</v>
      </c>
      <c r="F238">
        <f>VLOOKUP(B238,'Model allocations'!$A$1:$L$317,10,FALSE)</f>
        <v>193743.03154581573</v>
      </c>
      <c r="G238" s="30">
        <f t="shared" si="64"/>
        <v>0.85</v>
      </c>
      <c r="H238">
        <f t="shared" si="65"/>
        <v>148326.24060584066</v>
      </c>
      <c r="I238">
        <f t="shared" si="57"/>
        <v>0</v>
      </c>
      <c r="J238">
        <f t="shared" si="58"/>
        <v>193743.03154581573</v>
      </c>
      <c r="K238">
        <f t="shared" si="59"/>
        <v>193632.53501135891</v>
      </c>
      <c r="L238">
        <f t="shared" si="66"/>
        <v>193632.53501135891</v>
      </c>
      <c r="M238">
        <f t="shared" si="60"/>
        <v>0</v>
      </c>
      <c r="N238" s="29">
        <f t="shared" si="67"/>
        <v>193632.53501135891</v>
      </c>
      <c r="O238" s="29">
        <f t="shared" si="61"/>
        <v>193619.3684878299</v>
      </c>
      <c r="P238" s="29">
        <f t="shared" si="68"/>
        <v>193619.3684878299</v>
      </c>
      <c r="Q238">
        <f t="shared" si="69"/>
        <v>0</v>
      </c>
      <c r="R238" s="29">
        <f t="shared" si="70"/>
        <v>193619.3684878299</v>
      </c>
      <c r="S238" s="29">
        <f t="shared" si="62"/>
        <v>193619.36848782995</v>
      </c>
      <c r="T238" s="29">
        <f t="shared" si="71"/>
        <v>193619.36848782995</v>
      </c>
      <c r="U238">
        <f t="shared" si="72"/>
        <v>0</v>
      </c>
      <c r="V238" s="29">
        <f t="shared" si="73"/>
        <v>193619.36848782995</v>
      </c>
      <c r="W238" s="29">
        <f t="shared" si="63"/>
        <v>193619.36848782995</v>
      </c>
      <c r="X238" s="29">
        <f t="shared" si="74"/>
        <v>193619.36848782995</v>
      </c>
      <c r="Y238">
        <f t="shared" si="75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allocations'!$A$1:$L$317,5,FALSE)</f>
        <v>0</v>
      </c>
      <c r="E239" s="31">
        <f>VLOOKUP(B239,'Initial adjusted formula count'!$A$1:$P$317,12,FALSE)</f>
        <v>0.18181818181818199</v>
      </c>
      <c r="F239">
        <f>VLOOKUP(B239,'Model allocations'!$A$1:$L$317,10,FALSE)</f>
        <v>0</v>
      </c>
      <c r="G239" s="30">
        <f t="shared" si="64"/>
        <v>0.9</v>
      </c>
      <c r="H239">
        <f t="shared" si="6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6"/>
        <v>0</v>
      </c>
      <c r="M239">
        <f t="shared" si="60"/>
        <v>0</v>
      </c>
      <c r="N239" s="29">
        <f t="shared" si="67"/>
        <v>0</v>
      </c>
      <c r="O239" s="29">
        <f t="shared" si="61"/>
        <v>0</v>
      </c>
      <c r="P239" s="29">
        <f t="shared" si="68"/>
        <v>0</v>
      </c>
      <c r="Q239">
        <f t="shared" si="69"/>
        <v>0</v>
      </c>
      <c r="R239" s="29">
        <f t="shared" si="70"/>
        <v>0</v>
      </c>
      <c r="S239" s="29">
        <f t="shared" si="62"/>
        <v>0</v>
      </c>
      <c r="T239" s="29">
        <f t="shared" si="71"/>
        <v>0</v>
      </c>
      <c r="U239">
        <f t="shared" si="72"/>
        <v>0</v>
      </c>
      <c r="V239" s="29">
        <f t="shared" si="73"/>
        <v>0</v>
      </c>
      <c r="W239" s="29">
        <f t="shared" si="63"/>
        <v>0</v>
      </c>
      <c r="X239" s="29">
        <f t="shared" si="74"/>
        <v>0</v>
      </c>
      <c r="Y239">
        <f t="shared" si="75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allocations'!$A$1:$L$317,5,FALSE)</f>
        <v>357509.21125617286</v>
      </c>
      <c r="E240" s="31">
        <f>VLOOKUP(B240,'Initial adjusted formula count'!$A$1:$P$317,12,FALSE)</f>
        <v>0.17999042604116799</v>
      </c>
      <c r="F240">
        <f>VLOOKUP(B240,'Model allocations'!$A$1:$L$317,10,FALSE)</f>
        <v>347144.19293019129</v>
      </c>
      <c r="G240" s="30">
        <f t="shared" si="64"/>
        <v>0.9</v>
      </c>
      <c r="H240">
        <f t="shared" si="65"/>
        <v>321758.29013055557</v>
      </c>
      <c r="I240">
        <f t="shared" si="57"/>
        <v>0</v>
      </c>
      <c r="J240">
        <f t="shared" si="58"/>
        <v>347144.19293019129</v>
      </c>
      <c r="K240">
        <f t="shared" si="59"/>
        <v>346946.2078467044</v>
      </c>
      <c r="L240">
        <f t="shared" si="66"/>
        <v>346946.2078467044</v>
      </c>
      <c r="M240">
        <f t="shared" si="60"/>
        <v>0</v>
      </c>
      <c r="N240" s="29">
        <f t="shared" si="67"/>
        <v>346946.2078467044</v>
      </c>
      <c r="O240" s="29">
        <f t="shared" si="61"/>
        <v>346922.61638048384</v>
      </c>
      <c r="P240" s="29">
        <f t="shared" si="68"/>
        <v>346922.61638048384</v>
      </c>
      <c r="Q240">
        <f t="shared" si="69"/>
        <v>0</v>
      </c>
      <c r="R240" s="29">
        <f t="shared" si="70"/>
        <v>346922.61638048384</v>
      </c>
      <c r="S240" s="29">
        <f t="shared" si="62"/>
        <v>346922.61638048396</v>
      </c>
      <c r="T240" s="29">
        <f t="shared" si="71"/>
        <v>346922.61638048396</v>
      </c>
      <c r="U240">
        <f t="shared" si="72"/>
        <v>0</v>
      </c>
      <c r="V240" s="29">
        <f t="shared" si="73"/>
        <v>346922.61638048396</v>
      </c>
      <c r="W240" s="29">
        <f t="shared" si="63"/>
        <v>346922.61638048396</v>
      </c>
      <c r="X240" s="29">
        <f t="shared" si="74"/>
        <v>346922.61638048396</v>
      </c>
      <c r="Y240">
        <f t="shared" si="75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allocations'!$A$1:$L$317,5,FALSE)</f>
        <v>290252.82296512934</v>
      </c>
      <c r="E241" s="31">
        <f>VLOOKUP(B241,'Initial adjusted formula count'!$A$1:$P$317,12,FALSE)</f>
        <v>6.5618064267104106E-2</v>
      </c>
      <c r="F241">
        <f>VLOOKUP(B241,'Model allocations'!$A$1:$L$317,10,FALSE)</f>
        <v>285162.90357392782</v>
      </c>
      <c r="G241" s="30">
        <f t="shared" si="64"/>
        <v>0.85</v>
      </c>
      <c r="H241">
        <f t="shared" si="65"/>
        <v>246714.89952035993</v>
      </c>
      <c r="I241">
        <f t="shared" si="57"/>
        <v>0</v>
      </c>
      <c r="J241">
        <f t="shared" si="58"/>
        <v>285162.90357392782</v>
      </c>
      <c r="K241">
        <f t="shared" si="59"/>
        <v>285000.26798208657</v>
      </c>
      <c r="L241">
        <f t="shared" si="66"/>
        <v>285000.26798208657</v>
      </c>
      <c r="M241">
        <f t="shared" si="60"/>
        <v>0</v>
      </c>
      <c r="N241" s="29">
        <f t="shared" si="67"/>
        <v>285000.26798208657</v>
      </c>
      <c r="O241" s="29">
        <f t="shared" si="61"/>
        <v>284980.88868338586</v>
      </c>
      <c r="P241" s="29">
        <f t="shared" si="68"/>
        <v>284980.88868338586</v>
      </c>
      <c r="Q241">
        <f t="shared" si="69"/>
        <v>0</v>
      </c>
      <c r="R241" s="29">
        <f t="shared" si="70"/>
        <v>284980.88868338586</v>
      </c>
      <c r="S241" s="29">
        <f t="shared" si="62"/>
        <v>284980.88868338597</v>
      </c>
      <c r="T241" s="29">
        <f t="shared" si="71"/>
        <v>284980.88868338597</v>
      </c>
      <c r="U241">
        <f t="shared" si="72"/>
        <v>0</v>
      </c>
      <c r="V241" s="29">
        <f t="shared" si="73"/>
        <v>284980.88868338597</v>
      </c>
      <c r="W241" s="29">
        <f t="shared" si="63"/>
        <v>284980.88868338597</v>
      </c>
      <c r="X241" s="29">
        <f t="shared" si="74"/>
        <v>284980.88868338597</v>
      </c>
      <c r="Y241">
        <f t="shared" si="75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allocations'!$A$1:$L$317,5,FALSE)</f>
        <v>5350.2805989898143</v>
      </c>
      <c r="E242" s="31">
        <f>VLOOKUP(B242,'Initial adjusted formula count'!$A$1:$P$317,12,FALSE)</f>
        <v>0.126984126984127</v>
      </c>
      <c r="F242">
        <f>VLOOKUP(B242,'Model allocations'!$A$1:$L$317,10,FALSE)</f>
        <v>6709.7153782100695</v>
      </c>
      <c r="G242" s="30">
        <f t="shared" si="64"/>
        <v>0.85</v>
      </c>
      <c r="H242">
        <f t="shared" si="65"/>
        <v>4547.7385091413416</v>
      </c>
      <c r="I242">
        <f t="shared" si="57"/>
        <v>0</v>
      </c>
      <c r="J242">
        <f t="shared" si="58"/>
        <v>6709.7153782100695</v>
      </c>
      <c r="K242">
        <f t="shared" si="59"/>
        <v>6705.8886584020402</v>
      </c>
      <c r="L242">
        <f t="shared" si="66"/>
        <v>6705.8886584020402</v>
      </c>
      <c r="M242">
        <f t="shared" si="60"/>
        <v>0</v>
      </c>
      <c r="N242" s="29">
        <f t="shared" si="67"/>
        <v>6705.8886584020402</v>
      </c>
      <c r="O242" s="29">
        <f t="shared" si="61"/>
        <v>6705.4326749031998</v>
      </c>
      <c r="P242" s="29">
        <f t="shared" si="68"/>
        <v>6705.4326749031998</v>
      </c>
      <c r="Q242">
        <f t="shared" si="69"/>
        <v>0</v>
      </c>
      <c r="R242" s="29">
        <f t="shared" si="70"/>
        <v>6705.4326749031998</v>
      </c>
      <c r="S242" s="29">
        <f t="shared" si="62"/>
        <v>6705.4326749032025</v>
      </c>
      <c r="T242" s="29">
        <f t="shared" si="71"/>
        <v>6705.4326749032025</v>
      </c>
      <c r="U242">
        <f t="shared" si="72"/>
        <v>0</v>
      </c>
      <c r="V242" s="29">
        <f t="shared" si="73"/>
        <v>6705.4326749032025</v>
      </c>
      <c r="W242" s="29">
        <f t="shared" si="63"/>
        <v>6705.4326749032025</v>
      </c>
      <c r="X242" s="29">
        <f t="shared" si="74"/>
        <v>6705.4326749032025</v>
      </c>
      <c r="Y242">
        <f t="shared" si="75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allocations'!$A$1:$L$317,5,FALSE)</f>
        <v>0</v>
      </c>
      <c r="E243" s="31">
        <f>VLOOKUP(B243,'Initial adjusted formula count'!$A$1:$P$317,12,FALSE)</f>
        <v>7.3529411764705899E-2</v>
      </c>
      <c r="F243">
        <f>VLOOKUP(B243,'Model allocations'!$A$1:$L$317,10,FALSE)</f>
        <v>0</v>
      </c>
      <c r="G243" s="30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29">
        <f t="shared" si="67"/>
        <v>0</v>
      </c>
      <c r="O243" s="29">
        <f t="shared" si="61"/>
        <v>0</v>
      </c>
      <c r="P243" s="29">
        <f t="shared" si="68"/>
        <v>0</v>
      </c>
      <c r="Q243">
        <f t="shared" si="69"/>
        <v>0</v>
      </c>
      <c r="R243" s="29">
        <f t="shared" si="70"/>
        <v>0</v>
      </c>
      <c r="S243" s="29">
        <f t="shared" si="62"/>
        <v>0</v>
      </c>
      <c r="T243" s="29">
        <f t="shared" si="71"/>
        <v>0</v>
      </c>
      <c r="U243">
        <f t="shared" si="72"/>
        <v>0</v>
      </c>
      <c r="V243" s="29">
        <f t="shared" si="73"/>
        <v>0</v>
      </c>
      <c r="W243" s="29">
        <f t="shared" si="63"/>
        <v>0</v>
      </c>
      <c r="X243" s="29">
        <f t="shared" si="74"/>
        <v>0</v>
      </c>
      <c r="Y243">
        <f t="shared" si="75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allocations'!$A$1:$L$317,5,FALSE)</f>
        <v>228415.82557225734</v>
      </c>
      <c r="E244" s="31">
        <f>VLOOKUP(B244,'Initial adjusted formula count'!$A$1:$P$317,12,FALSE)</f>
        <v>5.2729126123621503E-2</v>
      </c>
      <c r="F244">
        <f>VLOOKUP(B244,'Model allocations'!$A$1:$L$317,10,FALSE)</f>
        <v>238614.25313759563</v>
      </c>
      <c r="G244" s="30">
        <f t="shared" si="64"/>
        <v>0.85</v>
      </c>
      <c r="H244">
        <f t="shared" si="65"/>
        <v>194153.45173641873</v>
      </c>
      <c r="I244">
        <f t="shared" si="57"/>
        <v>0</v>
      </c>
      <c r="J244">
        <f t="shared" si="58"/>
        <v>238614.25313759563</v>
      </c>
      <c r="K244">
        <f t="shared" si="59"/>
        <v>238478.1654144226</v>
      </c>
      <c r="L244">
        <f t="shared" si="66"/>
        <v>238478.1654144226</v>
      </c>
      <c r="M244">
        <f t="shared" si="60"/>
        <v>0</v>
      </c>
      <c r="N244" s="29">
        <f t="shared" si="67"/>
        <v>238478.1654144226</v>
      </c>
      <c r="O244" s="29">
        <f t="shared" si="61"/>
        <v>238461.94950124508</v>
      </c>
      <c r="P244" s="29">
        <f t="shared" si="68"/>
        <v>238461.94950124508</v>
      </c>
      <c r="Q244">
        <f t="shared" si="69"/>
        <v>0</v>
      </c>
      <c r="R244" s="29">
        <f t="shared" si="70"/>
        <v>238461.94950124508</v>
      </c>
      <c r="S244" s="29">
        <f t="shared" si="62"/>
        <v>238461.94950124514</v>
      </c>
      <c r="T244" s="29">
        <f t="shared" si="71"/>
        <v>238461.94950124514</v>
      </c>
      <c r="U244">
        <f t="shared" si="72"/>
        <v>0</v>
      </c>
      <c r="V244" s="29">
        <f t="shared" si="73"/>
        <v>238461.94950124514</v>
      </c>
      <c r="W244" s="29">
        <f t="shared" si="63"/>
        <v>238461.94950124514</v>
      </c>
      <c r="X244" s="29">
        <f t="shared" si="74"/>
        <v>238461.94950124514</v>
      </c>
      <c r="Y244">
        <f t="shared" si="75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allocations'!$A$1:$L$317,5,FALSE)</f>
        <v>0</v>
      </c>
      <c r="E245" s="31">
        <f>VLOOKUP(B245,'Initial adjusted formula count'!$A$1:$P$317,12,FALSE)</f>
        <v>3.2316209604738001E-2</v>
      </c>
      <c r="F245">
        <f>VLOOKUP(B245,'Model allocations'!$A$1:$L$317,10,FALSE)</f>
        <v>0</v>
      </c>
      <c r="G245" s="30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29">
        <f t="shared" si="67"/>
        <v>0</v>
      </c>
      <c r="O245" s="29">
        <f t="shared" si="61"/>
        <v>0</v>
      </c>
      <c r="P245" s="29">
        <f t="shared" si="68"/>
        <v>0</v>
      </c>
      <c r="Q245">
        <f t="shared" si="69"/>
        <v>0</v>
      </c>
      <c r="R245" s="29">
        <f t="shared" si="70"/>
        <v>0</v>
      </c>
      <c r="S245" s="29">
        <f t="shared" si="62"/>
        <v>0</v>
      </c>
      <c r="T245" s="29">
        <f t="shared" si="71"/>
        <v>0</v>
      </c>
      <c r="U245">
        <f t="shared" si="72"/>
        <v>0</v>
      </c>
      <c r="V245" s="29">
        <f t="shared" si="73"/>
        <v>0</v>
      </c>
      <c r="W245" s="29">
        <f t="shared" si="63"/>
        <v>0</v>
      </c>
      <c r="X245" s="29">
        <f t="shared" si="74"/>
        <v>0</v>
      </c>
      <c r="Y245">
        <f t="shared" si="75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allocations'!$A$1:$L$317,5,FALSE)</f>
        <v>89658.736730729623</v>
      </c>
      <c r="E246" s="31">
        <f>VLOOKUP(B246,'Initial adjusted formula count'!$A$1:$P$317,12,FALSE)</f>
        <v>0.334426229508197</v>
      </c>
      <c r="F246">
        <f>VLOOKUP(B246,'Model allocations'!$A$1:$L$317,10,FALSE)</f>
        <v>147859.58648565132</v>
      </c>
      <c r="G246" s="30">
        <f t="shared" si="64"/>
        <v>0.95</v>
      </c>
      <c r="H246">
        <f t="shared" si="65"/>
        <v>85175.799894193144</v>
      </c>
      <c r="I246">
        <f t="shared" si="57"/>
        <v>0</v>
      </c>
      <c r="J246">
        <f t="shared" si="58"/>
        <v>147859.58648565132</v>
      </c>
      <c r="K246">
        <f t="shared" si="59"/>
        <v>147775.25843646922</v>
      </c>
      <c r="L246">
        <f t="shared" si="66"/>
        <v>147775.25843646922</v>
      </c>
      <c r="M246">
        <f t="shared" si="60"/>
        <v>0</v>
      </c>
      <c r="N246" s="29">
        <f t="shared" si="67"/>
        <v>147775.25843646922</v>
      </c>
      <c r="O246" s="29">
        <f t="shared" si="61"/>
        <v>147765.21009197432</v>
      </c>
      <c r="P246" s="29">
        <f t="shared" si="68"/>
        <v>147765.21009197432</v>
      </c>
      <c r="Q246">
        <f t="shared" si="69"/>
        <v>0</v>
      </c>
      <c r="R246" s="29">
        <f t="shared" si="70"/>
        <v>147765.21009197432</v>
      </c>
      <c r="S246" s="29">
        <f t="shared" si="62"/>
        <v>147765.21009197438</v>
      </c>
      <c r="T246" s="29">
        <f t="shared" si="71"/>
        <v>147765.21009197438</v>
      </c>
      <c r="U246">
        <f t="shared" si="72"/>
        <v>0</v>
      </c>
      <c r="V246" s="29">
        <f t="shared" si="73"/>
        <v>147765.21009197438</v>
      </c>
      <c r="W246" s="29">
        <f t="shared" si="63"/>
        <v>147765.21009197438</v>
      </c>
      <c r="X246" s="29">
        <f t="shared" si="74"/>
        <v>147765.21009197438</v>
      </c>
      <c r="Y246">
        <f t="shared" si="75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allocations'!$A$1:$L$317,5,FALSE)</f>
        <v>49985.119964076155</v>
      </c>
      <c r="E247" s="31">
        <f>VLOOKUP(B247,'Initial adjusted formula count'!$A$1:$P$317,12,FALSE)</f>
        <v>0.17066666666666699</v>
      </c>
      <c r="F247">
        <f>VLOOKUP(B247,'Model allocations'!$A$1:$L$317,10,FALSE)</f>
        <v>44986.60796766854</v>
      </c>
      <c r="G247" s="30">
        <f t="shared" si="64"/>
        <v>0.9</v>
      </c>
      <c r="H247">
        <f t="shared" si="65"/>
        <v>44986.60796766854</v>
      </c>
      <c r="I247">
        <f t="shared" si="57"/>
        <v>0</v>
      </c>
      <c r="J247">
        <f t="shared" si="58"/>
        <v>44986.60796766854</v>
      </c>
      <c r="K247">
        <f t="shared" si="59"/>
        <v>44960.950971193699</v>
      </c>
      <c r="L247">
        <f t="shared" si="66"/>
        <v>44960.950971193699</v>
      </c>
      <c r="M247">
        <f t="shared" si="60"/>
        <v>44986.60796766854</v>
      </c>
      <c r="N247" s="29">
        <f t="shared" si="67"/>
        <v>0</v>
      </c>
      <c r="O247" s="29">
        <f t="shared" si="61"/>
        <v>0</v>
      </c>
      <c r="P247" s="29">
        <f t="shared" si="68"/>
        <v>44986.60796766854</v>
      </c>
      <c r="Q247">
        <f t="shared" si="69"/>
        <v>0</v>
      </c>
      <c r="R247" s="29">
        <f t="shared" si="70"/>
        <v>0</v>
      </c>
      <c r="S247" s="29">
        <f t="shared" si="62"/>
        <v>0</v>
      </c>
      <c r="T247" s="29">
        <f t="shared" si="71"/>
        <v>44986.60796766854</v>
      </c>
      <c r="U247">
        <f t="shared" si="72"/>
        <v>0</v>
      </c>
      <c r="V247" s="29">
        <f t="shared" si="73"/>
        <v>0</v>
      </c>
      <c r="W247" s="29">
        <f t="shared" si="63"/>
        <v>0</v>
      </c>
      <c r="X247" s="29">
        <f t="shared" si="74"/>
        <v>44986.60796766854</v>
      </c>
      <c r="Y247">
        <f t="shared" si="75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allocations'!$A$1:$L$317,5,FALSE)</f>
        <v>568364.42363114853</v>
      </c>
      <c r="E248" s="31">
        <f>VLOOKUP(B248,'Initial adjusted formula count'!$A$1:$P$317,12,FALSE)</f>
        <v>8.5412914844352997E-2</v>
      </c>
      <c r="F248">
        <f>VLOOKUP(B248,'Model allocations'!$A$1:$L$317,10,FALSE)</f>
        <v>483109.76008647622</v>
      </c>
      <c r="G248" s="30">
        <f t="shared" si="64"/>
        <v>0.85</v>
      </c>
      <c r="H248">
        <f t="shared" si="65"/>
        <v>483109.76008647622</v>
      </c>
      <c r="I248">
        <f t="shared" si="57"/>
        <v>0</v>
      </c>
      <c r="J248">
        <f t="shared" si="58"/>
        <v>483109.76008647622</v>
      </c>
      <c r="K248">
        <f t="shared" si="59"/>
        <v>482834.23041283636</v>
      </c>
      <c r="L248">
        <f t="shared" si="66"/>
        <v>482834.23041283636</v>
      </c>
      <c r="M248">
        <f t="shared" si="60"/>
        <v>483109.76008647622</v>
      </c>
      <c r="N248" s="29">
        <f t="shared" si="67"/>
        <v>0</v>
      </c>
      <c r="O248" s="29">
        <f t="shared" si="61"/>
        <v>0</v>
      </c>
      <c r="P248" s="29">
        <f t="shared" si="68"/>
        <v>483109.76008647622</v>
      </c>
      <c r="Q248">
        <f t="shared" si="69"/>
        <v>0</v>
      </c>
      <c r="R248" s="29">
        <f t="shared" si="70"/>
        <v>0</v>
      </c>
      <c r="S248" s="29">
        <f t="shared" si="62"/>
        <v>0</v>
      </c>
      <c r="T248" s="29">
        <f t="shared" si="71"/>
        <v>483109.76008647622</v>
      </c>
      <c r="U248">
        <f t="shared" si="72"/>
        <v>0</v>
      </c>
      <c r="V248" s="29">
        <f t="shared" si="73"/>
        <v>0</v>
      </c>
      <c r="W248" s="29">
        <f t="shared" si="63"/>
        <v>0</v>
      </c>
      <c r="X248" s="29">
        <f t="shared" si="74"/>
        <v>483109.76008647622</v>
      </c>
      <c r="Y248">
        <f t="shared" si="75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allocations'!$A$1:$L$317,5,FALSE)</f>
        <v>59753.025084253168</v>
      </c>
      <c r="E249" s="31">
        <f>VLOOKUP(B249,'Initial adjusted formula count'!$A$1:$P$317,12,FALSE)</f>
        <v>8.49598163030999E-2</v>
      </c>
      <c r="F249">
        <f>VLOOKUP(B249,'Model allocations'!$A$1:$L$317,10,FALSE)</f>
        <v>62064.867248443123</v>
      </c>
      <c r="G249" s="30">
        <f t="shared" si="64"/>
        <v>0.85</v>
      </c>
      <c r="H249">
        <f t="shared" si="65"/>
        <v>50790.071321615193</v>
      </c>
      <c r="I249">
        <f t="shared" si="57"/>
        <v>0</v>
      </c>
      <c r="J249">
        <f t="shared" si="58"/>
        <v>62064.867248443123</v>
      </c>
      <c r="K249">
        <f t="shared" si="59"/>
        <v>62029.470090218856</v>
      </c>
      <c r="L249">
        <f t="shared" si="66"/>
        <v>62029.470090218856</v>
      </c>
      <c r="M249">
        <f t="shared" si="60"/>
        <v>0</v>
      </c>
      <c r="N249" s="29">
        <f t="shared" si="67"/>
        <v>62029.470090218856</v>
      </c>
      <c r="O249" s="29">
        <f t="shared" si="61"/>
        <v>62025.252242854585</v>
      </c>
      <c r="P249" s="29">
        <f t="shared" si="68"/>
        <v>62025.252242854585</v>
      </c>
      <c r="Q249">
        <f t="shared" si="69"/>
        <v>0</v>
      </c>
      <c r="R249" s="29">
        <f t="shared" si="70"/>
        <v>62025.252242854585</v>
      </c>
      <c r="S249" s="29">
        <f t="shared" si="62"/>
        <v>62025.252242854607</v>
      </c>
      <c r="T249" s="29">
        <f t="shared" si="71"/>
        <v>62025.252242854607</v>
      </c>
      <c r="U249">
        <f t="shared" si="72"/>
        <v>0</v>
      </c>
      <c r="V249" s="29">
        <f t="shared" si="73"/>
        <v>62025.252242854607</v>
      </c>
      <c r="W249" s="29">
        <f t="shared" si="63"/>
        <v>62025.252242854607</v>
      </c>
      <c r="X249" s="29">
        <f t="shared" si="74"/>
        <v>62025.252242854607</v>
      </c>
      <c r="Y249">
        <f t="shared" si="75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allocations'!$A$1:$L$317,5,FALSE)</f>
        <v>26285.846270827726</v>
      </c>
      <c r="E250" s="31">
        <f>VLOOKUP(B250,'Initial adjusted formula count'!$A$1:$P$317,12,FALSE)</f>
        <v>0.19327731092437</v>
      </c>
      <c r="F250">
        <f>VLOOKUP(B250,'Model allocations'!$A$1:$L$317,10,FALSE)</f>
        <v>33143.708471557053</v>
      </c>
      <c r="G250" s="30">
        <f t="shared" si="64"/>
        <v>0.9</v>
      </c>
      <c r="H250">
        <f t="shared" si="65"/>
        <v>23657.261643744954</v>
      </c>
      <c r="I250">
        <f t="shared" si="57"/>
        <v>0</v>
      </c>
      <c r="J250">
        <f t="shared" si="58"/>
        <v>33143.708471557053</v>
      </c>
      <c r="K250">
        <f t="shared" si="59"/>
        <v>33124.805779181828</v>
      </c>
      <c r="L250">
        <f t="shared" si="66"/>
        <v>33124.805779181828</v>
      </c>
      <c r="M250">
        <f t="shared" si="60"/>
        <v>0</v>
      </c>
      <c r="N250" s="29">
        <f t="shared" si="67"/>
        <v>33124.805779181828</v>
      </c>
      <c r="O250" s="29">
        <f t="shared" si="61"/>
        <v>33122.553376016935</v>
      </c>
      <c r="P250" s="29">
        <f t="shared" si="68"/>
        <v>33122.553376016935</v>
      </c>
      <c r="Q250">
        <f t="shared" si="69"/>
        <v>0</v>
      </c>
      <c r="R250" s="29">
        <f t="shared" si="70"/>
        <v>33122.553376016935</v>
      </c>
      <c r="S250" s="29">
        <f t="shared" si="62"/>
        <v>33122.553376016942</v>
      </c>
      <c r="T250" s="29">
        <f t="shared" si="71"/>
        <v>33122.553376016942</v>
      </c>
      <c r="U250">
        <f t="shared" si="72"/>
        <v>0</v>
      </c>
      <c r="V250" s="29">
        <f t="shared" si="73"/>
        <v>33122.553376016942</v>
      </c>
      <c r="W250" s="29">
        <f t="shared" si="63"/>
        <v>33122.553376016942</v>
      </c>
      <c r="X250" s="29">
        <f t="shared" si="74"/>
        <v>33122.553376016942</v>
      </c>
      <c r="Y250">
        <f t="shared" si="75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allocations'!$A$1:$L$317,5,FALSE)</f>
        <v>4358323.6994189294</v>
      </c>
      <c r="E251" s="31">
        <f>VLOOKUP(B251,'Initial adjusted formula count'!$A$1:$P$317,12,FALSE)</f>
        <v>0.141781222818606</v>
      </c>
      <c r="F251">
        <f>VLOOKUP(B251,'Model allocations'!$A$1:$L$317,10,FALSE)</f>
        <v>3722220.3616230367</v>
      </c>
      <c r="G251" s="30">
        <f t="shared" si="64"/>
        <v>0.85</v>
      </c>
      <c r="H251">
        <f t="shared" si="65"/>
        <v>3704575.1445060899</v>
      </c>
      <c r="I251">
        <f t="shared" si="57"/>
        <v>0</v>
      </c>
      <c r="J251">
        <f t="shared" si="58"/>
        <v>3722220.3616230367</v>
      </c>
      <c r="K251">
        <f t="shared" si="59"/>
        <v>3720097.4855269911</v>
      </c>
      <c r="L251">
        <f t="shared" si="66"/>
        <v>3720097.4855269911</v>
      </c>
      <c r="M251">
        <f t="shared" si="60"/>
        <v>0</v>
      </c>
      <c r="N251" s="29">
        <f t="shared" si="67"/>
        <v>3720097.4855269911</v>
      </c>
      <c r="O251" s="29">
        <f t="shared" si="61"/>
        <v>3719844.528289869</v>
      </c>
      <c r="P251" s="29">
        <f t="shared" si="68"/>
        <v>3719844.528289869</v>
      </c>
      <c r="Q251">
        <f t="shared" si="69"/>
        <v>0</v>
      </c>
      <c r="R251" s="29">
        <f t="shared" si="70"/>
        <v>3719844.528289869</v>
      </c>
      <c r="S251" s="29">
        <f t="shared" si="62"/>
        <v>3719844.5282898704</v>
      </c>
      <c r="T251" s="29">
        <f t="shared" si="71"/>
        <v>3719844.5282898704</v>
      </c>
      <c r="U251">
        <f t="shared" si="72"/>
        <v>0</v>
      </c>
      <c r="V251" s="29">
        <f t="shared" si="73"/>
        <v>3719844.5282898704</v>
      </c>
      <c r="W251" s="29">
        <f t="shared" si="63"/>
        <v>3719844.5282898704</v>
      </c>
      <c r="X251" s="29">
        <f t="shared" si="74"/>
        <v>3719844.5282898704</v>
      </c>
      <c r="Y251">
        <f t="shared" si="75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allocations'!$A$1:$L$317,5,FALSE)</f>
        <v>83773.819184184438</v>
      </c>
      <c r="E252" s="31">
        <f>VLOOKUP(B252,'Initial adjusted formula count'!$A$1:$P$317,12,FALSE)</f>
        <v>9.8326062486436605E-2</v>
      </c>
      <c r="F252">
        <f>VLOOKUP(B252,'Model allocations'!$A$1:$L$317,10,FALSE)</f>
        <v>73321.167732324757</v>
      </c>
      <c r="G252" s="30">
        <f t="shared" si="64"/>
        <v>0.85</v>
      </c>
      <c r="H252">
        <f t="shared" si="65"/>
        <v>71207.746306556772</v>
      </c>
      <c r="I252">
        <f t="shared" si="57"/>
        <v>0</v>
      </c>
      <c r="J252">
        <f t="shared" si="58"/>
        <v>73321.167732324757</v>
      </c>
      <c r="K252">
        <f t="shared" si="59"/>
        <v>73279.350822203603</v>
      </c>
      <c r="L252">
        <f t="shared" si="66"/>
        <v>73279.350822203603</v>
      </c>
      <c r="M252">
        <f t="shared" si="60"/>
        <v>0</v>
      </c>
      <c r="N252" s="29">
        <f t="shared" si="67"/>
        <v>73279.350822203603</v>
      </c>
      <c r="O252" s="29">
        <f t="shared" si="61"/>
        <v>73274.368011351413</v>
      </c>
      <c r="P252" s="29">
        <f t="shared" si="68"/>
        <v>73274.368011351413</v>
      </c>
      <c r="Q252">
        <f t="shared" si="69"/>
        <v>0</v>
      </c>
      <c r="R252" s="29">
        <f t="shared" si="70"/>
        <v>73274.368011351413</v>
      </c>
      <c r="S252" s="29">
        <f t="shared" si="62"/>
        <v>73274.368011351442</v>
      </c>
      <c r="T252" s="29">
        <f t="shared" si="71"/>
        <v>73274.368011351442</v>
      </c>
      <c r="U252">
        <f t="shared" si="72"/>
        <v>0</v>
      </c>
      <c r="V252" s="29">
        <f t="shared" si="73"/>
        <v>73274.368011351442</v>
      </c>
      <c r="W252" s="29">
        <f t="shared" si="63"/>
        <v>73274.368011351442</v>
      </c>
      <c r="X252" s="29">
        <f t="shared" si="74"/>
        <v>73274.368011351442</v>
      </c>
      <c r="Y252">
        <f t="shared" si="75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allocations'!$A$1:$L$317,5,FALSE)</f>
        <v>9641.3496853957658</v>
      </c>
      <c r="E253" s="31">
        <f>VLOOKUP(B253,'Initial adjusted formula count'!$A$1:$P$317,12,FALSE)</f>
        <v>0.15503875968992201</v>
      </c>
      <c r="F253">
        <f>VLOOKUP(B253,'Model allocations'!$A$1:$L$317,10,FALSE)</f>
        <v>8677.2147168561896</v>
      </c>
      <c r="G253" s="30">
        <f t="shared" si="64"/>
        <v>0.9</v>
      </c>
      <c r="H253">
        <f t="shared" si="65"/>
        <v>8677.2147168561896</v>
      </c>
      <c r="I253">
        <f t="shared" si="57"/>
        <v>0</v>
      </c>
      <c r="J253">
        <f t="shared" si="58"/>
        <v>8677.2147168561896</v>
      </c>
      <c r="K253">
        <f t="shared" si="59"/>
        <v>8672.2658825817362</v>
      </c>
      <c r="L253">
        <f t="shared" si="66"/>
        <v>8672.2658825817362</v>
      </c>
      <c r="M253">
        <f t="shared" si="60"/>
        <v>8677.2147168561896</v>
      </c>
      <c r="N253" s="29">
        <f t="shared" si="67"/>
        <v>0</v>
      </c>
      <c r="O253" s="29">
        <f t="shared" si="61"/>
        <v>0</v>
      </c>
      <c r="P253" s="29">
        <f t="shared" si="68"/>
        <v>8677.2147168561896</v>
      </c>
      <c r="Q253">
        <f t="shared" si="69"/>
        <v>0</v>
      </c>
      <c r="R253" s="29">
        <f t="shared" si="70"/>
        <v>0</v>
      </c>
      <c r="S253" s="29">
        <f t="shared" si="62"/>
        <v>0</v>
      </c>
      <c r="T253" s="29">
        <f t="shared" si="71"/>
        <v>8677.2147168561896</v>
      </c>
      <c r="U253">
        <f t="shared" si="72"/>
        <v>0</v>
      </c>
      <c r="V253" s="29">
        <f t="shared" si="73"/>
        <v>0</v>
      </c>
      <c r="W253" s="29">
        <f t="shared" si="63"/>
        <v>0</v>
      </c>
      <c r="X253" s="29">
        <f t="shared" si="74"/>
        <v>8677.2147168561896</v>
      </c>
      <c r="Y253">
        <f t="shared" si="75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allocations'!$A$1:$L$317,5,FALSE)</f>
        <v>7408.0808293705113</v>
      </c>
      <c r="E254" s="31">
        <f>VLOOKUP(B254,'Initial adjusted formula count'!$A$1:$P$317,12,FALSE)</f>
        <v>0.104938271604938</v>
      </c>
      <c r="F254">
        <f>VLOOKUP(B254,'Model allocations'!$A$1:$L$317,10,FALSE)</f>
        <v>7129.0725893481995</v>
      </c>
      <c r="G254" s="30">
        <f t="shared" si="64"/>
        <v>0.85</v>
      </c>
      <c r="H254">
        <f t="shared" si="65"/>
        <v>6296.8687049649343</v>
      </c>
      <c r="I254">
        <f t="shared" si="57"/>
        <v>0</v>
      </c>
      <c r="J254">
        <f t="shared" si="58"/>
        <v>7129.0725893481995</v>
      </c>
      <c r="K254">
        <f t="shared" si="59"/>
        <v>7125.0066995521684</v>
      </c>
      <c r="L254">
        <f t="shared" si="66"/>
        <v>7125.0066995521684</v>
      </c>
      <c r="M254">
        <f t="shared" si="60"/>
        <v>0</v>
      </c>
      <c r="N254" s="29">
        <f t="shared" si="67"/>
        <v>7125.0066995521684</v>
      </c>
      <c r="O254" s="29">
        <f t="shared" si="61"/>
        <v>7124.52221708465</v>
      </c>
      <c r="P254" s="29">
        <f t="shared" si="68"/>
        <v>7124.52221708465</v>
      </c>
      <c r="Q254">
        <f t="shared" si="69"/>
        <v>0</v>
      </c>
      <c r="R254" s="29">
        <f t="shared" si="70"/>
        <v>7124.52221708465</v>
      </c>
      <c r="S254" s="29">
        <f t="shared" si="62"/>
        <v>7124.5222170846528</v>
      </c>
      <c r="T254" s="29">
        <f t="shared" si="71"/>
        <v>7124.5222170846528</v>
      </c>
      <c r="U254">
        <f t="shared" si="72"/>
        <v>0</v>
      </c>
      <c r="V254" s="29">
        <f t="shared" si="73"/>
        <v>7124.5222170846528</v>
      </c>
      <c r="W254" s="29">
        <f t="shared" si="63"/>
        <v>7124.5222170846528</v>
      </c>
      <c r="X254" s="29">
        <f t="shared" si="74"/>
        <v>7124.5222170846528</v>
      </c>
      <c r="Y254">
        <f t="shared" si="75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allocations'!$A$1:$L$317,5,FALSE)</f>
        <v>168328.05884514103</v>
      </c>
      <c r="E255" s="31">
        <f>VLOOKUP(B255,'Initial adjusted formula count'!$A$1:$P$317,12,FALSE)</f>
        <v>7.9321158457849095E-2</v>
      </c>
      <c r="F255">
        <f>VLOOKUP(B255,'Model allocations'!$A$1:$L$317,10,FALSE)</f>
        <v>180323.6007893956</v>
      </c>
      <c r="G255" s="30">
        <f t="shared" si="64"/>
        <v>0.85</v>
      </c>
      <c r="H255">
        <f t="shared" si="65"/>
        <v>143078.85001836988</v>
      </c>
      <c r="I255">
        <f t="shared" si="57"/>
        <v>0</v>
      </c>
      <c r="J255">
        <f t="shared" si="58"/>
        <v>180323.6007893956</v>
      </c>
      <c r="K255">
        <f t="shared" si="59"/>
        <v>180220.75769455481</v>
      </c>
      <c r="L255">
        <f t="shared" si="66"/>
        <v>180220.75769455481</v>
      </c>
      <c r="M255">
        <f t="shared" si="60"/>
        <v>0</v>
      </c>
      <c r="N255" s="29">
        <f t="shared" si="67"/>
        <v>180220.75769455481</v>
      </c>
      <c r="O255" s="29">
        <f t="shared" si="61"/>
        <v>180208.50313802346</v>
      </c>
      <c r="P255" s="29">
        <f t="shared" si="68"/>
        <v>180208.50313802346</v>
      </c>
      <c r="Q255">
        <f t="shared" si="69"/>
        <v>0</v>
      </c>
      <c r="R255" s="29">
        <f t="shared" si="70"/>
        <v>180208.50313802346</v>
      </c>
      <c r="S255" s="29">
        <f t="shared" si="62"/>
        <v>180208.50313802352</v>
      </c>
      <c r="T255" s="29">
        <f t="shared" si="71"/>
        <v>180208.50313802352</v>
      </c>
      <c r="U255">
        <f t="shared" si="72"/>
        <v>0</v>
      </c>
      <c r="V255" s="29">
        <f t="shared" si="73"/>
        <v>180208.50313802352</v>
      </c>
      <c r="W255" s="29">
        <f t="shared" si="63"/>
        <v>180208.50313802352</v>
      </c>
      <c r="X255" s="29">
        <f t="shared" si="74"/>
        <v>180208.50313802352</v>
      </c>
      <c r="Y255">
        <f t="shared" si="75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allocations'!$A$1:$L$317,5,FALSE)</f>
        <v>0</v>
      </c>
      <c r="E256" s="31">
        <f>VLOOKUP(B256,'Initial adjusted formula count'!$A$1:$P$317,12,FALSE)</f>
        <v>0.04</v>
      </c>
      <c r="F256">
        <f>VLOOKUP(B256,'Model allocations'!$A$1:$L$317,10,FALSE)</f>
        <v>0</v>
      </c>
      <c r="G256" s="30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29">
        <f t="shared" si="67"/>
        <v>0</v>
      </c>
      <c r="O256" s="29">
        <f t="shared" si="61"/>
        <v>0</v>
      </c>
      <c r="P256" s="29">
        <f t="shared" si="68"/>
        <v>0</v>
      </c>
      <c r="Q256">
        <f t="shared" si="69"/>
        <v>0</v>
      </c>
      <c r="R256" s="29">
        <f t="shared" si="70"/>
        <v>0</v>
      </c>
      <c r="S256" s="29">
        <f t="shared" si="62"/>
        <v>0</v>
      </c>
      <c r="T256" s="29">
        <f t="shared" si="71"/>
        <v>0</v>
      </c>
      <c r="U256">
        <f t="shared" si="72"/>
        <v>0</v>
      </c>
      <c r="V256" s="29">
        <f t="shared" si="73"/>
        <v>0</v>
      </c>
      <c r="W256" s="29">
        <f t="shared" si="63"/>
        <v>0</v>
      </c>
      <c r="X256" s="29">
        <f t="shared" si="74"/>
        <v>0</v>
      </c>
      <c r="Y256">
        <f t="shared" si="75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allocations'!$A$1:$L$317,5,FALSE)</f>
        <v>19781.58216964388</v>
      </c>
      <c r="E257" s="31">
        <f>VLOOKUP(B257,'Initial adjusted formula count'!$A$1:$P$317,12,FALSE)</f>
        <v>0.125</v>
      </c>
      <c r="F257">
        <f>VLOOKUP(B257,'Model allocations'!$A$1:$L$317,10,FALSE)</f>
        <v>0</v>
      </c>
      <c r="G257" s="30">
        <f t="shared" si="64"/>
        <v>0.85</v>
      </c>
      <c r="H257">
        <f t="shared" si="6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6"/>
        <v>0</v>
      </c>
      <c r="M257">
        <f t="shared" si="60"/>
        <v>0</v>
      </c>
      <c r="N257" s="29">
        <f t="shared" si="67"/>
        <v>0</v>
      </c>
      <c r="O257" s="29">
        <f t="shared" si="61"/>
        <v>0</v>
      </c>
      <c r="P257" s="29">
        <f t="shared" si="68"/>
        <v>0</v>
      </c>
      <c r="Q257">
        <f t="shared" si="69"/>
        <v>0</v>
      </c>
      <c r="R257" s="29">
        <f t="shared" si="70"/>
        <v>0</v>
      </c>
      <c r="S257" s="29">
        <f t="shared" si="62"/>
        <v>0</v>
      </c>
      <c r="T257" s="29">
        <f t="shared" si="71"/>
        <v>0</v>
      </c>
      <c r="U257">
        <f t="shared" si="72"/>
        <v>0</v>
      </c>
      <c r="V257" s="29">
        <f t="shared" si="73"/>
        <v>0</v>
      </c>
      <c r="W257" s="29">
        <f t="shared" si="63"/>
        <v>0</v>
      </c>
      <c r="X257" s="29">
        <f t="shared" si="74"/>
        <v>0</v>
      </c>
      <c r="Y257">
        <f t="shared" si="75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allocations'!$A$1:$L$317,5,FALSE)</f>
        <v>0</v>
      </c>
      <c r="E258" s="31">
        <f>VLOOKUP(B258,'Initial adjusted formula count'!$A$1:$P$317,12,FALSE)</f>
        <v>0.133333333333333</v>
      </c>
      <c r="F258">
        <f>VLOOKUP(B258,'Model allocations'!$A$1:$L$317,10,FALSE)</f>
        <v>0</v>
      </c>
      <c r="G258" s="30">
        <f t="shared" si="64"/>
        <v>0.85</v>
      </c>
      <c r="H258">
        <f t="shared" si="6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6"/>
        <v>0</v>
      </c>
      <c r="M258">
        <f t="shared" si="60"/>
        <v>0</v>
      </c>
      <c r="N258" s="29">
        <f t="shared" si="67"/>
        <v>0</v>
      </c>
      <c r="O258" s="29">
        <f t="shared" si="61"/>
        <v>0</v>
      </c>
      <c r="P258" s="29">
        <f t="shared" si="68"/>
        <v>0</v>
      </c>
      <c r="Q258">
        <f t="shared" si="69"/>
        <v>0</v>
      </c>
      <c r="R258" s="29">
        <f t="shared" si="70"/>
        <v>0</v>
      </c>
      <c r="S258" s="29">
        <f t="shared" si="62"/>
        <v>0</v>
      </c>
      <c r="T258" s="29">
        <f t="shared" si="71"/>
        <v>0</v>
      </c>
      <c r="U258">
        <f t="shared" si="72"/>
        <v>0</v>
      </c>
      <c r="V258" s="29">
        <f t="shared" si="73"/>
        <v>0</v>
      </c>
      <c r="W258" s="29">
        <f t="shared" si="63"/>
        <v>0</v>
      </c>
      <c r="X258" s="29">
        <f t="shared" si="74"/>
        <v>0</v>
      </c>
      <c r="Y258">
        <f t="shared" si="75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allocations'!$A$1:$L$317,5,FALSE)</f>
        <v>110709.6523944815</v>
      </c>
      <c r="E259" s="31">
        <f>VLOOKUP(B259,'Initial adjusted formula count'!$A$1:$P$317,12,FALSE)</f>
        <v>6.3504016064256999E-2</v>
      </c>
      <c r="F259">
        <f>VLOOKUP(B259,'Model allocations'!$A$1:$L$317,10,FALSE)</f>
        <v>106097.37441794672</v>
      </c>
      <c r="G259" s="30">
        <f t="shared" si="64"/>
        <v>0.85</v>
      </c>
      <c r="H259">
        <f t="shared" si="65"/>
        <v>94103.204535309269</v>
      </c>
      <c r="I259">
        <f t="shared" ref="I259:I316" si="76">IF(F259&lt;H259,H259,0)</f>
        <v>0</v>
      </c>
      <c r="J259">
        <f t="shared" ref="J259:J316" si="77">IF(I259=0,F259,0)</f>
        <v>106097.37441794672</v>
      </c>
      <c r="K259">
        <f t="shared" ref="K259:K316" si="78">(J259/$J$3)*($F$3-$I$3)</f>
        <v>106036.86441098226</v>
      </c>
      <c r="L259">
        <f t="shared" si="66"/>
        <v>106036.86441098226</v>
      </c>
      <c r="M259">
        <f t="shared" ref="M259:M316" si="79">IF(L259&lt;H259,H259,0)</f>
        <v>0</v>
      </c>
      <c r="N259" s="29">
        <f t="shared" si="67"/>
        <v>106036.86441098226</v>
      </c>
      <c r="O259" s="29">
        <f t="shared" ref="O259:O316" si="80">((N259/$N$3)*($F$3-$I$3-$M$3))</f>
        <v>106029.65417190685</v>
      </c>
      <c r="P259" s="29">
        <f t="shared" si="68"/>
        <v>106029.65417190685</v>
      </c>
      <c r="Q259">
        <f t="shared" si="69"/>
        <v>0</v>
      </c>
      <c r="R259" s="29">
        <f t="shared" si="70"/>
        <v>106029.65417190685</v>
      </c>
      <c r="S259" s="29">
        <f t="shared" ref="S259:S316" si="81">((R259/$R$3)*($F$3-$I$3-$M$3-$Q$3))</f>
        <v>106029.65417190688</v>
      </c>
      <c r="T259" s="29">
        <f t="shared" si="71"/>
        <v>106029.65417190688</v>
      </c>
      <c r="U259">
        <f t="shared" si="72"/>
        <v>0</v>
      </c>
      <c r="V259" s="29">
        <f t="shared" si="73"/>
        <v>106029.65417190688</v>
      </c>
      <c r="W259" s="29">
        <f t="shared" ref="W259:W316" si="82">((V259/$V$3)*($F$3-$I$3-$M$3-$Q$3-$U$3))</f>
        <v>106029.65417190688</v>
      </c>
      <c r="X259" s="29">
        <f t="shared" si="74"/>
        <v>106029.65417190688</v>
      </c>
      <c r="Y259">
        <f t="shared" si="75"/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allocations'!$A$1:$L$317,5,FALSE)</f>
        <v>0</v>
      </c>
      <c r="E260" s="31">
        <f>VLOOKUP(B260,'Initial adjusted formula count'!$A$1:$P$317,12,FALSE)</f>
        <v>0.15094339622641501</v>
      </c>
      <c r="F260">
        <f>VLOOKUP(B260,'Model allocations'!$A$1:$L$317,10,FALSE)</f>
        <v>0</v>
      </c>
      <c r="G260" s="30">
        <f t="shared" ref="G260:G316" si="83">IF(E260&lt;0.15,0.85,IF(AND(E260&gt;=0.15,E260&lt;0.3),0.9,0.95))</f>
        <v>0.9</v>
      </c>
      <c r="H260">
        <f t="shared" ref="H260:H316" si="84">IF(F260 = 0, 0, D260*G260)</f>
        <v>0</v>
      </c>
      <c r="I260">
        <f t="shared" si="76"/>
        <v>0</v>
      </c>
      <c r="J260">
        <f t="shared" si="77"/>
        <v>0</v>
      </c>
      <c r="K260">
        <f t="shared" si="78"/>
        <v>0</v>
      </c>
      <c r="L260">
        <f t="shared" ref="L260:L316" si="85">I260+K260</f>
        <v>0</v>
      </c>
      <c r="M260">
        <f t="shared" si="79"/>
        <v>0</v>
      </c>
      <c r="N260" s="29">
        <f t="shared" ref="N260:N316" si="86">IF($I260+$M260=0,L260,0)</f>
        <v>0</v>
      </c>
      <c r="O260" s="29">
        <f t="shared" si="80"/>
        <v>0</v>
      </c>
      <c r="P260" s="29">
        <f t="shared" ref="P260:P316" si="87">$I260+$M260+O260</f>
        <v>0</v>
      </c>
      <c r="Q260">
        <f t="shared" ref="Q260:Q316" si="88">IF(P260&lt;H260,H260,0)</f>
        <v>0</v>
      </c>
      <c r="R260" s="29">
        <f t="shared" ref="R260:R316" si="89">IF($I260+$M260+$Q260=0,P260,0)</f>
        <v>0</v>
      </c>
      <c r="S260" s="29">
        <f t="shared" si="81"/>
        <v>0</v>
      </c>
      <c r="T260" s="29">
        <f t="shared" ref="T260:T316" si="90">$I260+$M260+$Q260+S260</f>
        <v>0</v>
      </c>
      <c r="U260">
        <f t="shared" ref="U260:U316" si="91">IF(T260&lt;H260,H260,0)</f>
        <v>0</v>
      </c>
      <c r="V260" s="29">
        <f t="shared" ref="V260:V316" si="92">IF($I260+$M260+$Q260+U260=0,T260,0)</f>
        <v>0</v>
      </c>
      <c r="W260" s="29">
        <f t="shared" si="82"/>
        <v>0</v>
      </c>
      <c r="X260" s="29">
        <f t="shared" ref="X260:X316" si="93">$I260+$M260+$Q260+$U260+W260</f>
        <v>0</v>
      </c>
      <c r="Y260">
        <f t="shared" ref="Y260:Y316" si="94">IF(X260&lt;H260,H260,0)</f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allocations'!$A$1:$L$317,5,FALSE)</f>
        <v>52268.125851669705</v>
      </c>
      <c r="E261" s="31">
        <f>VLOOKUP(B261,'Initial adjusted formula count'!$A$1:$P$317,12,FALSE)</f>
        <v>0.15274725274725301</v>
      </c>
      <c r="F261">
        <f>VLOOKUP(B261,'Model allocations'!$A$1:$L$317,10,FALSE)</f>
        <v>58290.652348200005</v>
      </c>
      <c r="G261" s="30">
        <f t="shared" si="83"/>
        <v>0.9</v>
      </c>
      <c r="H261">
        <f t="shared" si="84"/>
        <v>47041.313266502737</v>
      </c>
      <c r="I261">
        <f t="shared" si="76"/>
        <v>0</v>
      </c>
      <c r="J261">
        <f t="shared" si="77"/>
        <v>58290.652348200005</v>
      </c>
      <c r="K261">
        <f t="shared" si="78"/>
        <v>58257.407719867755</v>
      </c>
      <c r="L261">
        <f t="shared" si="85"/>
        <v>58257.407719867755</v>
      </c>
      <c r="M261">
        <f t="shared" si="79"/>
        <v>0</v>
      </c>
      <c r="N261" s="29">
        <f t="shared" si="86"/>
        <v>58257.407719867755</v>
      </c>
      <c r="O261" s="29">
        <f t="shared" si="80"/>
        <v>58253.446363221577</v>
      </c>
      <c r="P261" s="29">
        <f t="shared" si="87"/>
        <v>58253.446363221577</v>
      </c>
      <c r="Q261">
        <f t="shared" si="88"/>
        <v>0</v>
      </c>
      <c r="R261" s="29">
        <f t="shared" si="89"/>
        <v>58253.446363221577</v>
      </c>
      <c r="S261" s="29">
        <f t="shared" si="81"/>
        <v>58253.446363221599</v>
      </c>
      <c r="T261" s="29">
        <f t="shared" si="90"/>
        <v>58253.446363221599</v>
      </c>
      <c r="U261">
        <f t="shared" si="91"/>
        <v>0</v>
      </c>
      <c r="V261" s="29">
        <f t="shared" si="92"/>
        <v>58253.446363221599</v>
      </c>
      <c r="W261" s="29">
        <f t="shared" si="82"/>
        <v>58253.446363221599</v>
      </c>
      <c r="X261" s="29">
        <f t="shared" si="93"/>
        <v>58253.446363221599</v>
      </c>
      <c r="Y261">
        <f t="shared" si="94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allocations'!$A$1:$L$317,5,FALSE)</f>
        <v>89720.090044598444</v>
      </c>
      <c r="E262" s="31">
        <f>VLOOKUP(B262,'Initial adjusted formula count'!$A$1:$P$317,12,FALSE)</f>
        <v>8.5089463220675898E-2</v>
      </c>
      <c r="F262">
        <f>VLOOKUP(B262,'Model allocations'!$A$1:$L$317,10,FALSE)</f>
        <v>89742.443183559692</v>
      </c>
      <c r="G262" s="30">
        <f t="shared" si="83"/>
        <v>0.85</v>
      </c>
      <c r="H262">
        <f t="shared" si="84"/>
        <v>76262.076537908681</v>
      </c>
      <c r="I262">
        <f t="shared" si="76"/>
        <v>0</v>
      </c>
      <c r="J262">
        <f t="shared" si="77"/>
        <v>89742.443183559692</v>
      </c>
      <c r="K262">
        <f t="shared" si="78"/>
        <v>89691.260806127306</v>
      </c>
      <c r="L262">
        <f t="shared" si="85"/>
        <v>89691.260806127306</v>
      </c>
      <c r="M262">
        <f t="shared" si="79"/>
        <v>0</v>
      </c>
      <c r="N262" s="29">
        <f t="shared" si="86"/>
        <v>89691.260806127306</v>
      </c>
      <c r="O262" s="29">
        <f t="shared" si="80"/>
        <v>89685.162026830309</v>
      </c>
      <c r="P262" s="29">
        <f t="shared" si="87"/>
        <v>89685.162026830309</v>
      </c>
      <c r="Q262">
        <f t="shared" si="88"/>
        <v>0</v>
      </c>
      <c r="R262" s="29">
        <f t="shared" si="89"/>
        <v>89685.162026830309</v>
      </c>
      <c r="S262" s="29">
        <f t="shared" si="81"/>
        <v>89685.162026830338</v>
      </c>
      <c r="T262" s="29">
        <f t="shared" si="90"/>
        <v>89685.162026830338</v>
      </c>
      <c r="U262">
        <f t="shared" si="91"/>
        <v>0</v>
      </c>
      <c r="V262" s="29">
        <f t="shared" si="92"/>
        <v>89685.162026830338</v>
      </c>
      <c r="W262" s="29">
        <f t="shared" si="82"/>
        <v>89685.162026830338</v>
      </c>
      <c r="X262" s="29">
        <f t="shared" si="93"/>
        <v>89685.162026830338</v>
      </c>
      <c r="Y262">
        <f t="shared" si="94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allocations'!$A$1:$L$317,5,FALSE)</f>
        <v>81139.740704588505</v>
      </c>
      <c r="E263" s="31">
        <f>VLOOKUP(B263,'Initial adjusted formula count'!$A$1:$P$317,12,FALSE)</f>
        <v>0.131501871318111</v>
      </c>
      <c r="F263">
        <f>VLOOKUP(B263,'Model allocations'!$A$1:$L$317,10,FALSE)</f>
        <v>75620.385090711759</v>
      </c>
      <c r="G263" s="30">
        <f t="shared" si="83"/>
        <v>0.85</v>
      </c>
      <c r="H263">
        <f t="shared" si="84"/>
        <v>68968.779598900233</v>
      </c>
      <c r="I263">
        <f t="shared" si="76"/>
        <v>0</v>
      </c>
      <c r="J263">
        <f t="shared" si="77"/>
        <v>75620.385090711759</v>
      </c>
      <c r="K263">
        <f t="shared" si="78"/>
        <v>75577.256878976114</v>
      </c>
      <c r="L263">
        <f t="shared" si="85"/>
        <v>75577.256878976114</v>
      </c>
      <c r="M263">
        <f t="shared" si="79"/>
        <v>0</v>
      </c>
      <c r="N263" s="29">
        <f t="shared" si="86"/>
        <v>75577.256878976114</v>
      </c>
      <c r="O263" s="29">
        <f t="shared" si="80"/>
        <v>75572.117816313432</v>
      </c>
      <c r="P263" s="29">
        <f t="shared" si="87"/>
        <v>75572.117816313432</v>
      </c>
      <c r="Q263">
        <f t="shared" si="88"/>
        <v>0</v>
      </c>
      <c r="R263" s="29">
        <f t="shared" si="89"/>
        <v>75572.117816313432</v>
      </c>
      <c r="S263" s="29">
        <f t="shared" si="81"/>
        <v>75572.117816313461</v>
      </c>
      <c r="T263" s="29">
        <f t="shared" si="90"/>
        <v>75572.117816313461</v>
      </c>
      <c r="U263">
        <f t="shared" si="91"/>
        <v>0</v>
      </c>
      <c r="V263" s="29">
        <f t="shared" si="92"/>
        <v>75572.117816313461</v>
      </c>
      <c r="W263" s="29">
        <f t="shared" si="82"/>
        <v>75572.117816313461</v>
      </c>
      <c r="X263" s="29">
        <f t="shared" si="93"/>
        <v>75572.117816313461</v>
      </c>
      <c r="Y263">
        <f t="shared" si="94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allocations'!$A$1:$L$317,5,FALSE)</f>
        <v>31207.592578687927</v>
      </c>
      <c r="E264" s="31">
        <f>VLOOKUP(B264,'Initial adjusted formula count'!$A$1:$P$317,12,FALSE)</f>
        <v>0.121963084893929</v>
      </c>
      <c r="F264">
        <f>VLOOKUP(B264,'Model allocations'!$A$1:$L$317,10,FALSE)</f>
        <v>26671.090177221959</v>
      </c>
      <c r="G264" s="30">
        <f t="shared" si="83"/>
        <v>0.85</v>
      </c>
      <c r="H264">
        <f t="shared" si="84"/>
        <v>26526.453691884737</v>
      </c>
      <c r="I264">
        <f t="shared" si="76"/>
        <v>0</v>
      </c>
      <c r="J264">
        <f t="shared" si="77"/>
        <v>26671.090177221959</v>
      </c>
      <c r="K264">
        <f t="shared" si="78"/>
        <v>26655.87898221146</v>
      </c>
      <c r="L264">
        <f t="shared" si="85"/>
        <v>26655.87898221146</v>
      </c>
      <c r="M264">
        <f t="shared" si="79"/>
        <v>0</v>
      </c>
      <c r="N264" s="29">
        <f t="shared" si="86"/>
        <v>26655.87898221146</v>
      </c>
      <c r="O264" s="29">
        <f t="shared" si="80"/>
        <v>26654.066449737071</v>
      </c>
      <c r="P264" s="29">
        <f t="shared" si="87"/>
        <v>26654.066449737071</v>
      </c>
      <c r="Q264">
        <f t="shared" si="88"/>
        <v>0</v>
      </c>
      <c r="R264" s="29">
        <f t="shared" si="89"/>
        <v>26654.066449737071</v>
      </c>
      <c r="S264" s="29">
        <f t="shared" si="81"/>
        <v>26654.066449737082</v>
      </c>
      <c r="T264" s="29">
        <f t="shared" si="90"/>
        <v>26654.066449737082</v>
      </c>
      <c r="U264">
        <f t="shared" si="91"/>
        <v>0</v>
      </c>
      <c r="V264" s="29">
        <f t="shared" si="92"/>
        <v>26654.066449737082</v>
      </c>
      <c r="W264" s="29">
        <f t="shared" si="82"/>
        <v>26654.066449737082</v>
      </c>
      <c r="X264" s="29">
        <f t="shared" si="93"/>
        <v>26654.066449737082</v>
      </c>
      <c r="Y264">
        <f t="shared" si="94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allocations'!$A$1:$L$317,5,FALSE)</f>
        <v>12368.125106929569</v>
      </c>
      <c r="E265" s="31">
        <f>VLOOKUP(B265,'Initial adjusted formula count'!$A$1:$P$317,12,FALSE)</f>
        <v>0.22807017543859601</v>
      </c>
      <c r="F265">
        <f>VLOOKUP(B265,'Model allocations'!$A$1:$L$317,10,FALSE)</f>
        <v>13744.453562912742</v>
      </c>
      <c r="G265" s="30">
        <f t="shared" si="83"/>
        <v>0.9</v>
      </c>
      <c r="H265">
        <f t="shared" si="84"/>
        <v>11131.312596236612</v>
      </c>
      <c r="I265">
        <f t="shared" si="76"/>
        <v>0</v>
      </c>
      <c r="J265">
        <f t="shared" si="77"/>
        <v>13744.453562912742</v>
      </c>
      <c r="K265">
        <f t="shared" si="78"/>
        <v>13736.614754597484</v>
      </c>
      <c r="L265">
        <f t="shared" si="85"/>
        <v>13736.614754597484</v>
      </c>
      <c r="M265">
        <f t="shared" si="79"/>
        <v>0</v>
      </c>
      <c r="N265" s="29">
        <f t="shared" si="86"/>
        <v>13736.614754597484</v>
      </c>
      <c r="O265" s="29">
        <f t="shared" si="80"/>
        <v>13735.680699474129</v>
      </c>
      <c r="P265" s="29">
        <f t="shared" si="87"/>
        <v>13735.680699474129</v>
      </c>
      <c r="Q265">
        <f t="shared" si="88"/>
        <v>0</v>
      </c>
      <c r="R265" s="29">
        <f t="shared" si="89"/>
        <v>13735.680699474129</v>
      </c>
      <c r="S265" s="29">
        <f t="shared" si="81"/>
        <v>13735.680699474135</v>
      </c>
      <c r="T265" s="29">
        <f t="shared" si="90"/>
        <v>13735.680699474135</v>
      </c>
      <c r="U265">
        <f t="shared" si="91"/>
        <v>0</v>
      </c>
      <c r="V265" s="29">
        <f t="shared" si="92"/>
        <v>13735.680699474135</v>
      </c>
      <c r="W265" s="29">
        <f t="shared" si="82"/>
        <v>13735.680699474135</v>
      </c>
      <c r="X265" s="29">
        <f t="shared" si="93"/>
        <v>13735.680699474135</v>
      </c>
      <c r="Y265">
        <f t="shared" si="94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allocations'!$A$1:$L$317,5,FALSE)</f>
        <v>224300.22511149602</v>
      </c>
      <c r="E266" s="31">
        <f>VLOOKUP(B266,'Initial adjusted formula count'!$A$1:$P$317,12,FALSE)</f>
        <v>5.3187511684427001E-2</v>
      </c>
      <c r="F266">
        <f>VLOOKUP(B266,'Model allocations'!$A$1:$L$317,10,FALSE)</f>
        <v>238614.25313759563</v>
      </c>
      <c r="G266" s="30">
        <f t="shared" si="83"/>
        <v>0.85</v>
      </c>
      <c r="H266">
        <f t="shared" si="84"/>
        <v>190655.19134477162</v>
      </c>
      <c r="I266">
        <f t="shared" si="76"/>
        <v>0</v>
      </c>
      <c r="J266">
        <f t="shared" si="77"/>
        <v>238614.25313759563</v>
      </c>
      <c r="K266">
        <f t="shared" si="78"/>
        <v>238478.1654144226</v>
      </c>
      <c r="L266">
        <f t="shared" si="85"/>
        <v>238478.1654144226</v>
      </c>
      <c r="M266">
        <f t="shared" si="79"/>
        <v>0</v>
      </c>
      <c r="N266" s="29">
        <f t="shared" si="86"/>
        <v>238478.1654144226</v>
      </c>
      <c r="O266" s="29">
        <f t="shared" si="80"/>
        <v>238461.94950124508</v>
      </c>
      <c r="P266" s="29">
        <f t="shared" si="87"/>
        <v>238461.94950124508</v>
      </c>
      <c r="Q266">
        <f t="shared" si="88"/>
        <v>0</v>
      </c>
      <c r="R266" s="29">
        <f t="shared" si="89"/>
        <v>238461.94950124508</v>
      </c>
      <c r="S266" s="29">
        <f t="shared" si="81"/>
        <v>238461.94950124514</v>
      </c>
      <c r="T266" s="29">
        <f t="shared" si="90"/>
        <v>238461.94950124514</v>
      </c>
      <c r="U266">
        <f t="shared" si="91"/>
        <v>0</v>
      </c>
      <c r="V266" s="29">
        <f t="shared" si="92"/>
        <v>238461.94950124514</v>
      </c>
      <c r="W266" s="29">
        <f t="shared" si="82"/>
        <v>238461.94950124514</v>
      </c>
      <c r="X266" s="29">
        <f t="shared" si="93"/>
        <v>238461.94950124514</v>
      </c>
      <c r="Y266">
        <f t="shared" si="94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allocations'!$A$1:$L$317,5,FALSE)</f>
        <v>593675.36646483105</v>
      </c>
      <c r="E267" s="31">
        <f>VLOOKUP(B267,'Initial adjusted formula count'!$A$1:$P$317,12,FALSE)</f>
        <v>0.21102692245687599</v>
      </c>
      <c r="F267">
        <f>VLOOKUP(B267,'Model allocations'!$A$1:$L$317,10,FALSE)</f>
        <v>678519.9676214935</v>
      </c>
      <c r="G267" s="30">
        <f t="shared" si="83"/>
        <v>0.9</v>
      </c>
      <c r="H267">
        <f t="shared" si="84"/>
        <v>534307.82981834793</v>
      </c>
      <c r="I267">
        <f t="shared" si="76"/>
        <v>0</v>
      </c>
      <c r="J267">
        <f t="shared" si="77"/>
        <v>678519.9676214935</v>
      </c>
      <c r="K267">
        <f t="shared" si="78"/>
        <v>678132.99058090663</v>
      </c>
      <c r="L267">
        <f t="shared" si="85"/>
        <v>678132.99058090663</v>
      </c>
      <c r="M267">
        <f t="shared" si="79"/>
        <v>0</v>
      </c>
      <c r="N267" s="29">
        <f t="shared" si="86"/>
        <v>678132.99058090663</v>
      </c>
      <c r="O267" s="29">
        <f t="shared" si="80"/>
        <v>678086.87924958637</v>
      </c>
      <c r="P267" s="29">
        <f t="shared" si="87"/>
        <v>678086.87924958637</v>
      </c>
      <c r="Q267">
        <f t="shared" si="88"/>
        <v>0</v>
      </c>
      <c r="R267" s="29">
        <f t="shared" si="89"/>
        <v>678086.87924958637</v>
      </c>
      <c r="S267" s="29">
        <f t="shared" si="81"/>
        <v>678086.87924958661</v>
      </c>
      <c r="T267" s="29">
        <f t="shared" si="90"/>
        <v>678086.87924958661</v>
      </c>
      <c r="U267">
        <f t="shared" si="91"/>
        <v>0</v>
      </c>
      <c r="V267" s="29">
        <f t="shared" si="92"/>
        <v>678086.87924958661</v>
      </c>
      <c r="W267" s="29">
        <f t="shared" si="82"/>
        <v>678086.87924958661</v>
      </c>
      <c r="X267" s="29">
        <f t="shared" si="93"/>
        <v>678086.87924958661</v>
      </c>
      <c r="Y267">
        <f t="shared" si="94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allocations'!$A$1:$L$317,5,FALSE)</f>
        <v>8770.4285132681543</v>
      </c>
      <c r="E268" s="31">
        <f>VLOOKUP(B268,'Initial adjusted formula count'!$A$1:$P$317,12,FALSE)</f>
        <v>0.194148516573487</v>
      </c>
      <c r="F268">
        <f>VLOOKUP(B268,'Model allocations'!$A$1:$L$317,10,FALSE)</f>
        <v>8269.4684697669309</v>
      </c>
      <c r="G268" s="30">
        <f t="shared" si="83"/>
        <v>0.9</v>
      </c>
      <c r="H268">
        <f t="shared" si="84"/>
        <v>7893.3856619413391</v>
      </c>
      <c r="I268">
        <f t="shared" si="76"/>
        <v>0</v>
      </c>
      <c r="J268">
        <f t="shared" si="77"/>
        <v>8269.4684697669309</v>
      </c>
      <c r="K268">
        <f t="shared" si="78"/>
        <v>8264.7521834550116</v>
      </c>
      <c r="L268">
        <f t="shared" si="85"/>
        <v>8264.7521834550116</v>
      </c>
      <c r="M268">
        <f t="shared" si="79"/>
        <v>0</v>
      </c>
      <c r="N268" s="29">
        <f t="shared" si="86"/>
        <v>8264.7521834550116</v>
      </c>
      <c r="O268" s="29">
        <f t="shared" si="80"/>
        <v>8264.1902011720322</v>
      </c>
      <c r="P268" s="29">
        <f t="shared" si="87"/>
        <v>8264.1902011720322</v>
      </c>
      <c r="Q268">
        <f t="shared" si="88"/>
        <v>0</v>
      </c>
      <c r="R268" s="29">
        <f t="shared" si="89"/>
        <v>8264.1902011720322</v>
      </c>
      <c r="S268" s="29">
        <f t="shared" si="81"/>
        <v>8264.1902011720358</v>
      </c>
      <c r="T268" s="29">
        <f t="shared" si="90"/>
        <v>8264.1902011720358</v>
      </c>
      <c r="U268">
        <f t="shared" si="91"/>
        <v>0</v>
      </c>
      <c r="V268" s="29">
        <f t="shared" si="92"/>
        <v>8264.1902011720358</v>
      </c>
      <c r="W268" s="29">
        <f t="shared" si="82"/>
        <v>8264.1902011720358</v>
      </c>
      <c r="X268" s="29">
        <f t="shared" si="93"/>
        <v>8264.1902011720358</v>
      </c>
      <c r="Y268">
        <f t="shared" si="94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allocations'!$A$1:$L$317,5,FALSE)</f>
        <v>2979465.4738897323</v>
      </c>
      <c r="E269" s="31">
        <f>VLOOKUP(B269,'Initial adjusted formula count'!$A$1:$P$317,12,FALSE)</f>
        <v>0.133023848319229</v>
      </c>
      <c r="F269">
        <f>VLOOKUP(B269,'Model allocations'!$A$1:$L$317,10,FALSE)</f>
        <v>3075018.1821693182</v>
      </c>
      <c r="G269" s="30">
        <f t="shared" si="83"/>
        <v>0.85</v>
      </c>
      <c r="H269">
        <f t="shared" si="84"/>
        <v>2532545.6528062723</v>
      </c>
      <c r="I269">
        <f t="shared" si="76"/>
        <v>0</v>
      </c>
      <c r="J269">
        <f t="shared" si="77"/>
        <v>3075018.1821693182</v>
      </c>
      <c r="K269">
        <f t="shared" si="78"/>
        <v>3073264.4217898585</v>
      </c>
      <c r="L269">
        <f t="shared" si="85"/>
        <v>3073264.4217898585</v>
      </c>
      <c r="M269">
        <f t="shared" si="79"/>
        <v>0</v>
      </c>
      <c r="N269" s="29">
        <f t="shared" si="86"/>
        <v>3073264.4217898585</v>
      </c>
      <c r="O269" s="29">
        <f t="shared" si="80"/>
        <v>3073055.447568052</v>
      </c>
      <c r="P269" s="29">
        <f t="shared" si="87"/>
        <v>3073055.447568052</v>
      </c>
      <c r="Q269">
        <f t="shared" si="88"/>
        <v>0</v>
      </c>
      <c r="R269" s="29">
        <f t="shared" si="89"/>
        <v>3073055.447568052</v>
      </c>
      <c r="S269" s="29">
        <f t="shared" si="81"/>
        <v>3073055.4475680529</v>
      </c>
      <c r="T269" s="29">
        <f t="shared" si="90"/>
        <v>3073055.4475680529</v>
      </c>
      <c r="U269">
        <f t="shared" si="91"/>
        <v>0</v>
      </c>
      <c r="V269" s="29">
        <f t="shared" si="92"/>
        <v>3073055.4475680529</v>
      </c>
      <c r="W269" s="29">
        <f t="shared" si="82"/>
        <v>3073055.4475680529</v>
      </c>
      <c r="X269" s="29">
        <f t="shared" si="93"/>
        <v>3073055.4475680529</v>
      </c>
      <c r="Y269">
        <f t="shared" si="94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allocations'!$A$1:$L$317,5,FALSE)</f>
        <v>49261.45335705817</v>
      </c>
      <c r="E270" s="31">
        <f>VLOOKUP(B270,'Initial adjusted formula count'!$A$1:$P$317,12,FALSE)</f>
        <v>0.155619596541787</v>
      </c>
      <c r="F270">
        <f>VLOOKUP(B270,'Model allocations'!$A$1:$L$317,10,FALSE)</f>
        <v>44335.308021352357</v>
      </c>
      <c r="G270" s="30">
        <f t="shared" si="83"/>
        <v>0.9</v>
      </c>
      <c r="H270">
        <f t="shared" si="84"/>
        <v>44335.308021352357</v>
      </c>
      <c r="I270">
        <f t="shared" si="76"/>
        <v>0</v>
      </c>
      <c r="J270">
        <f t="shared" si="77"/>
        <v>44335.308021352357</v>
      </c>
      <c r="K270">
        <f t="shared" si="78"/>
        <v>44310.022477653838</v>
      </c>
      <c r="L270">
        <f t="shared" si="85"/>
        <v>44310.022477653838</v>
      </c>
      <c r="M270">
        <f t="shared" si="79"/>
        <v>44335.308021352357</v>
      </c>
      <c r="N270" s="29">
        <f t="shared" si="86"/>
        <v>0</v>
      </c>
      <c r="O270" s="29">
        <f t="shared" si="80"/>
        <v>0</v>
      </c>
      <c r="P270" s="29">
        <f t="shared" si="87"/>
        <v>44335.308021352357</v>
      </c>
      <c r="Q270">
        <f t="shared" si="88"/>
        <v>0</v>
      </c>
      <c r="R270" s="29">
        <f t="shared" si="89"/>
        <v>0</v>
      </c>
      <c r="S270" s="29">
        <f t="shared" si="81"/>
        <v>0</v>
      </c>
      <c r="T270" s="29">
        <f t="shared" si="90"/>
        <v>44335.308021352357</v>
      </c>
      <c r="U270">
        <f t="shared" si="91"/>
        <v>0</v>
      </c>
      <c r="V270" s="29">
        <f t="shared" si="92"/>
        <v>0</v>
      </c>
      <c r="W270" s="29">
        <f t="shared" si="82"/>
        <v>0</v>
      </c>
      <c r="X270" s="29">
        <f t="shared" si="93"/>
        <v>44335.308021352357</v>
      </c>
      <c r="Y270">
        <f t="shared" si="94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allocations'!$A$1:$L$317,5,FALSE)</f>
        <v>0</v>
      </c>
      <c r="E271" s="31">
        <f>VLOOKUP(B271,'Initial adjusted formula count'!$A$1:$P$317,12,FALSE)</f>
        <v>4.5519516217701998E-2</v>
      </c>
      <c r="F271">
        <f>VLOOKUP(B271,'Model allocations'!$A$1:$L$317,10,FALSE)</f>
        <v>0</v>
      </c>
      <c r="G271" s="30">
        <f t="shared" si="83"/>
        <v>0.85</v>
      </c>
      <c r="H271">
        <f t="shared" si="8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85"/>
        <v>0</v>
      </c>
      <c r="M271">
        <f t="shared" si="79"/>
        <v>0</v>
      </c>
      <c r="N271" s="29">
        <f t="shared" si="86"/>
        <v>0</v>
      </c>
      <c r="O271" s="29">
        <f t="shared" si="80"/>
        <v>0</v>
      </c>
      <c r="P271" s="29">
        <f t="shared" si="87"/>
        <v>0</v>
      </c>
      <c r="Q271">
        <f t="shared" si="88"/>
        <v>0</v>
      </c>
      <c r="R271" s="29">
        <f t="shared" si="89"/>
        <v>0</v>
      </c>
      <c r="S271" s="29">
        <f t="shared" si="81"/>
        <v>0</v>
      </c>
      <c r="T271" s="29">
        <f t="shared" si="90"/>
        <v>0</v>
      </c>
      <c r="U271">
        <f t="shared" si="91"/>
        <v>0</v>
      </c>
      <c r="V271" s="29">
        <f t="shared" si="92"/>
        <v>0</v>
      </c>
      <c r="W271" s="29">
        <f t="shared" si="82"/>
        <v>0</v>
      </c>
      <c r="X271" s="29">
        <f t="shared" si="93"/>
        <v>0</v>
      </c>
      <c r="Y271">
        <f t="shared" si="94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allocations'!$A$1:$L$317,5,FALSE)</f>
        <v>12327.64326213934</v>
      </c>
      <c r="E272" s="31">
        <f>VLOOKUP(B272,'Initial adjusted formula count'!$A$1:$P$317,12,FALSE)</f>
        <v>0.112426035502959</v>
      </c>
      <c r="F272">
        <f>VLOOKUP(B272,'Model allocations'!$A$1:$L$317,10,FALSE)</f>
        <v>10478.496772818438</v>
      </c>
      <c r="G272" s="30">
        <f t="shared" si="83"/>
        <v>0.85</v>
      </c>
      <c r="H272">
        <f t="shared" si="84"/>
        <v>10478.496772818438</v>
      </c>
      <c r="I272">
        <f t="shared" si="76"/>
        <v>0</v>
      </c>
      <c r="J272">
        <f t="shared" si="77"/>
        <v>10478.496772818438</v>
      </c>
      <c r="K272">
        <f t="shared" si="78"/>
        <v>10472.520621983616</v>
      </c>
      <c r="L272">
        <f t="shared" si="85"/>
        <v>10472.520621983616</v>
      </c>
      <c r="M272">
        <f t="shared" si="79"/>
        <v>10478.496772818438</v>
      </c>
      <c r="N272" s="29">
        <f t="shared" si="86"/>
        <v>0</v>
      </c>
      <c r="O272" s="29">
        <f t="shared" si="80"/>
        <v>0</v>
      </c>
      <c r="P272" s="29">
        <f t="shared" si="87"/>
        <v>10478.496772818438</v>
      </c>
      <c r="Q272">
        <f t="shared" si="88"/>
        <v>0</v>
      </c>
      <c r="R272" s="29">
        <f t="shared" si="89"/>
        <v>0</v>
      </c>
      <c r="S272" s="29">
        <f t="shared" si="81"/>
        <v>0</v>
      </c>
      <c r="T272" s="29">
        <f t="shared" si="90"/>
        <v>10478.496772818438</v>
      </c>
      <c r="U272">
        <f t="shared" si="91"/>
        <v>0</v>
      </c>
      <c r="V272" s="29">
        <f t="shared" si="92"/>
        <v>0</v>
      </c>
      <c r="W272" s="29">
        <f t="shared" si="82"/>
        <v>0</v>
      </c>
      <c r="X272" s="29">
        <f t="shared" si="93"/>
        <v>10478.496772818438</v>
      </c>
      <c r="Y272">
        <f t="shared" si="94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allocations'!$A$1:$L$317,5,FALSE)</f>
        <v>80254.208984847195</v>
      </c>
      <c r="E273" s="31">
        <f>VLOOKUP(B273,'Initial adjusted formula count'!$A$1:$P$317,12,FALSE)</f>
        <v>8.3388484447385794E-2</v>
      </c>
      <c r="F273">
        <f>VLOOKUP(B273,'Model allocations'!$A$1:$L$317,10,FALSE)</f>
        <v>68216.077637120121</v>
      </c>
      <c r="G273" s="30">
        <f t="shared" si="83"/>
        <v>0.85</v>
      </c>
      <c r="H273">
        <f t="shared" si="84"/>
        <v>68216.077637120121</v>
      </c>
      <c r="I273">
        <f t="shared" si="76"/>
        <v>0</v>
      </c>
      <c r="J273">
        <f t="shared" si="77"/>
        <v>68216.077637120121</v>
      </c>
      <c r="K273">
        <f t="shared" si="78"/>
        <v>68177.172288561269</v>
      </c>
      <c r="L273">
        <f t="shared" si="85"/>
        <v>68177.172288561269</v>
      </c>
      <c r="M273">
        <f t="shared" si="79"/>
        <v>68216.077637120121</v>
      </c>
      <c r="N273" s="29">
        <f t="shared" si="86"/>
        <v>0</v>
      </c>
      <c r="O273" s="29">
        <f t="shared" si="80"/>
        <v>0</v>
      </c>
      <c r="P273" s="29">
        <f t="shared" si="87"/>
        <v>68216.077637120121</v>
      </c>
      <c r="Q273">
        <f t="shared" si="88"/>
        <v>0</v>
      </c>
      <c r="R273" s="29">
        <f t="shared" si="89"/>
        <v>0</v>
      </c>
      <c r="S273" s="29">
        <f t="shared" si="81"/>
        <v>0</v>
      </c>
      <c r="T273" s="29">
        <f t="shared" si="90"/>
        <v>68216.077637120121</v>
      </c>
      <c r="U273">
        <f t="shared" si="91"/>
        <v>0</v>
      </c>
      <c r="V273" s="29">
        <f t="shared" si="92"/>
        <v>0</v>
      </c>
      <c r="W273" s="29">
        <f t="shared" si="82"/>
        <v>0</v>
      </c>
      <c r="X273" s="29">
        <f t="shared" si="93"/>
        <v>68216.077637120121</v>
      </c>
      <c r="Y273">
        <f t="shared" si="94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allocations'!$A$1:$L$317,5,FALSE)</f>
        <v>10348.289260401387</v>
      </c>
      <c r="E274" s="31">
        <f>VLOOKUP(B274,'Initial adjusted formula count'!$A$1:$P$317,12,FALSE)</f>
        <v>0.15384615384615399</v>
      </c>
      <c r="F274">
        <f>VLOOKUP(B274,'Model allocations'!$A$1:$L$317,10,FALSE)</f>
        <v>13419.430756420139</v>
      </c>
      <c r="G274" s="30">
        <f t="shared" si="83"/>
        <v>0.9</v>
      </c>
      <c r="H274">
        <f t="shared" si="84"/>
        <v>9313.4603343612489</v>
      </c>
      <c r="I274">
        <f t="shared" si="76"/>
        <v>0</v>
      </c>
      <c r="J274">
        <f t="shared" si="77"/>
        <v>13419.430756420139</v>
      </c>
      <c r="K274">
        <f t="shared" si="78"/>
        <v>13411.77731680408</v>
      </c>
      <c r="L274">
        <f t="shared" si="85"/>
        <v>13411.77731680408</v>
      </c>
      <c r="M274">
        <f t="shared" si="79"/>
        <v>0</v>
      </c>
      <c r="N274" s="29">
        <f t="shared" si="86"/>
        <v>13411.77731680408</v>
      </c>
      <c r="O274" s="29">
        <f t="shared" si="80"/>
        <v>13410.8653498064</v>
      </c>
      <c r="P274" s="29">
        <f t="shared" si="87"/>
        <v>13410.8653498064</v>
      </c>
      <c r="Q274">
        <f t="shared" si="88"/>
        <v>0</v>
      </c>
      <c r="R274" s="29">
        <f t="shared" si="89"/>
        <v>13410.8653498064</v>
      </c>
      <c r="S274" s="29">
        <f t="shared" si="81"/>
        <v>13410.865349806405</v>
      </c>
      <c r="T274" s="29">
        <f t="shared" si="90"/>
        <v>13410.865349806405</v>
      </c>
      <c r="U274">
        <f t="shared" si="91"/>
        <v>0</v>
      </c>
      <c r="V274" s="29">
        <f t="shared" si="92"/>
        <v>13410.865349806405</v>
      </c>
      <c r="W274" s="29">
        <f t="shared" si="82"/>
        <v>13410.865349806405</v>
      </c>
      <c r="X274" s="29">
        <f t="shared" si="93"/>
        <v>13410.865349806405</v>
      </c>
      <c r="Y274">
        <f t="shared" si="94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allocations'!$A$1:$L$317,5,FALSE)</f>
        <v>36217.284054700278</v>
      </c>
      <c r="E275" s="31">
        <f>VLOOKUP(B275,'Initial adjusted formula count'!$A$1:$P$317,12,FALSE)</f>
        <v>7.9861111111111105E-2</v>
      </c>
      <c r="F275">
        <f>VLOOKUP(B275,'Model allocations'!$A$1:$L$317,10,FALSE)</f>
        <v>30784.691446495235</v>
      </c>
      <c r="G275" s="30">
        <f t="shared" si="83"/>
        <v>0.85</v>
      </c>
      <c r="H275">
        <f t="shared" si="84"/>
        <v>30784.691446495235</v>
      </c>
      <c r="I275">
        <f t="shared" si="76"/>
        <v>0</v>
      </c>
      <c r="J275">
        <f t="shared" si="77"/>
        <v>30784.691446495235</v>
      </c>
      <c r="K275">
        <f t="shared" si="78"/>
        <v>30767.134160991747</v>
      </c>
      <c r="L275">
        <f t="shared" si="85"/>
        <v>30767.134160991747</v>
      </c>
      <c r="M275">
        <f t="shared" si="79"/>
        <v>30784.691446495235</v>
      </c>
      <c r="N275" s="29">
        <f t="shared" si="86"/>
        <v>0</v>
      </c>
      <c r="O275" s="29">
        <f t="shared" si="80"/>
        <v>0</v>
      </c>
      <c r="P275" s="29">
        <f t="shared" si="87"/>
        <v>30784.691446495235</v>
      </c>
      <c r="Q275">
        <f t="shared" si="88"/>
        <v>0</v>
      </c>
      <c r="R275" s="29">
        <f t="shared" si="89"/>
        <v>0</v>
      </c>
      <c r="S275" s="29">
        <f t="shared" si="81"/>
        <v>0</v>
      </c>
      <c r="T275" s="29">
        <f t="shared" si="90"/>
        <v>30784.691446495235</v>
      </c>
      <c r="U275">
        <f t="shared" si="91"/>
        <v>0</v>
      </c>
      <c r="V275" s="29">
        <f t="shared" si="92"/>
        <v>0</v>
      </c>
      <c r="W275" s="29">
        <f t="shared" si="82"/>
        <v>0</v>
      </c>
      <c r="X275" s="29">
        <f t="shared" si="93"/>
        <v>30784.691446495235</v>
      </c>
      <c r="Y275">
        <f t="shared" si="94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allocations'!$A$1:$L$317,5,FALSE)</f>
        <v>190657.2837303144</v>
      </c>
      <c r="E276" s="31">
        <f>VLOOKUP(B276,'Initial adjusted formula count'!$A$1:$P$317,12,FALSE)</f>
        <v>0.24545454545454501</v>
      </c>
      <c r="F276">
        <f>VLOOKUP(B276,'Model allocations'!$A$1:$L$317,10,FALSE)</f>
        <v>171591.55535728298</v>
      </c>
      <c r="G276" s="30">
        <f t="shared" si="83"/>
        <v>0.9</v>
      </c>
      <c r="H276">
        <f t="shared" si="84"/>
        <v>171591.55535728298</v>
      </c>
      <c r="I276">
        <f t="shared" si="76"/>
        <v>0</v>
      </c>
      <c r="J276">
        <f t="shared" si="77"/>
        <v>171591.55535728298</v>
      </c>
      <c r="K276">
        <f t="shared" si="78"/>
        <v>171493.69236805566</v>
      </c>
      <c r="L276">
        <f t="shared" si="85"/>
        <v>171493.69236805566</v>
      </c>
      <c r="M276">
        <f t="shared" si="79"/>
        <v>171591.55535728298</v>
      </c>
      <c r="N276" s="29">
        <f t="shared" si="86"/>
        <v>0</v>
      </c>
      <c r="O276" s="29">
        <f t="shared" si="80"/>
        <v>0</v>
      </c>
      <c r="P276" s="29">
        <f t="shared" si="87"/>
        <v>171591.55535728298</v>
      </c>
      <c r="Q276">
        <f t="shared" si="88"/>
        <v>0</v>
      </c>
      <c r="R276" s="29">
        <f t="shared" si="89"/>
        <v>0</v>
      </c>
      <c r="S276" s="29">
        <f t="shared" si="81"/>
        <v>0</v>
      </c>
      <c r="T276" s="29">
        <f t="shared" si="90"/>
        <v>171591.55535728298</v>
      </c>
      <c r="U276">
        <f t="shared" si="91"/>
        <v>0</v>
      </c>
      <c r="V276" s="29">
        <f t="shared" si="92"/>
        <v>0</v>
      </c>
      <c r="W276" s="29">
        <f t="shared" si="82"/>
        <v>0</v>
      </c>
      <c r="X276" s="29">
        <f t="shared" si="93"/>
        <v>171591.55535728298</v>
      </c>
      <c r="Y276">
        <f t="shared" si="94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allocations'!$A$1:$L$317,5,FALSE)</f>
        <v>353131.07211473311</v>
      </c>
      <c r="E277" s="31">
        <f>VLOOKUP(B277,'Initial adjusted formula count'!$A$1:$P$317,12,FALSE)</f>
        <v>0.19354838709677399</v>
      </c>
      <c r="F277">
        <f>VLOOKUP(B277,'Model allocations'!$A$1:$L$317,10,FALSE)</f>
        <v>323029.51779662538</v>
      </c>
      <c r="G277" s="30">
        <f t="shared" si="83"/>
        <v>0.9</v>
      </c>
      <c r="H277">
        <f t="shared" si="84"/>
        <v>317817.96490325982</v>
      </c>
      <c r="I277">
        <f t="shared" si="76"/>
        <v>0</v>
      </c>
      <c r="J277">
        <f t="shared" si="77"/>
        <v>323029.51779662538</v>
      </c>
      <c r="K277">
        <f t="shared" si="78"/>
        <v>322845.28592021158</v>
      </c>
      <c r="L277">
        <f t="shared" si="85"/>
        <v>322845.28592021158</v>
      </c>
      <c r="M277">
        <f t="shared" si="79"/>
        <v>0</v>
      </c>
      <c r="N277" s="29">
        <f t="shared" si="86"/>
        <v>322845.28592021158</v>
      </c>
      <c r="O277" s="29">
        <f t="shared" si="80"/>
        <v>322823.33325583598</v>
      </c>
      <c r="P277" s="29">
        <f t="shared" si="87"/>
        <v>322823.33325583598</v>
      </c>
      <c r="Q277">
        <f t="shared" si="88"/>
        <v>0</v>
      </c>
      <c r="R277" s="29">
        <f t="shared" si="89"/>
        <v>322823.33325583598</v>
      </c>
      <c r="S277" s="29">
        <f t="shared" si="81"/>
        <v>322823.3332558361</v>
      </c>
      <c r="T277" s="29">
        <f t="shared" si="90"/>
        <v>322823.3332558361</v>
      </c>
      <c r="U277">
        <f t="shared" si="91"/>
        <v>0</v>
      </c>
      <c r="V277" s="29">
        <f t="shared" si="92"/>
        <v>322823.3332558361</v>
      </c>
      <c r="W277" s="29">
        <f t="shared" si="82"/>
        <v>322823.3332558361</v>
      </c>
      <c r="X277" s="29">
        <f t="shared" si="93"/>
        <v>322823.3332558361</v>
      </c>
      <c r="Y277">
        <f t="shared" si="94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allocations'!$A$1:$L$317,5,FALSE)</f>
        <v>11523.681290131903</v>
      </c>
      <c r="E278" s="31">
        <f>VLOOKUP(B278,'Initial adjusted formula count'!$A$1:$P$317,12,FALSE)</f>
        <v>0.10958904109589</v>
      </c>
      <c r="F278">
        <f>VLOOKUP(B278,'Model allocations'!$A$1:$L$317,10,FALSE)</f>
        <v>10064.573067315107</v>
      </c>
      <c r="G278" s="30">
        <f t="shared" si="83"/>
        <v>0.85</v>
      </c>
      <c r="H278">
        <f t="shared" si="84"/>
        <v>9795.1290966121178</v>
      </c>
      <c r="I278">
        <f t="shared" si="76"/>
        <v>0</v>
      </c>
      <c r="J278">
        <f t="shared" si="77"/>
        <v>10064.573067315107</v>
      </c>
      <c r="K278">
        <f t="shared" si="78"/>
        <v>10058.832987603064</v>
      </c>
      <c r="L278">
        <f t="shared" si="85"/>
        <v>10058.832987603064</v>
      </c>
      <c r="M278">
        <f t="shared" si="79"/>
        <v>0</v>
      </c>
      <c r="N278" s="29">
        <f t="shared" si="86"/>
        <v>10058.832987603064</v>
      </c>
      <c r="O278" s="29">
        <f t="shared" si="80"/>
        <v>10058.149012354803</v>
      </c>
      <c r="P278" s="29">
        <f t="shared" si="87"/>
        <v>10058.149012354803</v>
      </c>
      <c r="Q278">
        <f t="shared" si="88"/>
        <v>0</v>
      </c>
      <c r="R278" s="29">
        <f t="shared" si="89"/>
        <v>10058.149012354803</v>
      </c>
      <c r="S278" s="29">
        <f t="shared" si="81"/>
        <v>10058.149012354806</v>
      </c>
      <c r="T278" s="29">
        <f t="shared" si="90"/>
        <v>10058.149012354806</v>
      </c>
      <c r="U278">
        <f t="shared" si="91"/>
        <v>0</v>
      </c>
      <c r="V278" s="29">
        <f t="shared" si="92"/>
        <v>10058.149012354806</v>
      </c>
      <c r="W278" s="29">
        <f t="shared" si="82"/>
        <v>10058.149012354806</v>
      </c>
      <c r="X278" s="29">
        <f t="shared" si="93"/>
        <v>10058.149012354806</v>
      </c>
      <c r="Y278">
        <f t="shared" si="94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allocations'!$A$1:$L$317,5,FALSE)</f>
        <v>30867.003455710452</v>
      </c>
      <c r="E279" s="31">
        <f>VLOOKUP(B279,'Initial adjusted formula count'!$A$1:$P$317,12,FALSE)</f>
        <v>9.1025641025640994E-2</v>
      </c>
      <c r="F279">
        <f>VLOOKUP(B279,'Model allocations'!$A$1:$L$317,10,FALSE)</f>
        <v>29774.361990807181</v>
      </c>
      <c r="G279" s="30">
        <f t="shared" si="83"/>
        <v>0.85</v>
      </c>
      <c r="H279">
        <f t="shared" si="84"/>
        <v>26236.952937353883</v>
      </c>
      <c r="I279">
        <f t="shared" si="76"/>
        <v>0</v>
      </c>
      <c r="J279">
        <f t="shared" si="77"/>
        <v>29774.361990807181</v>
      </c>
      <c r="K279">
        <f t="shared" si="78"/>
        <v>29757.380921659053</v>
      </c>
      <c r="L279">
        <f t="shared" si="85"/>
        <v>29757.380921659053</v>
      </c>
      <c r="M279">
        <f t="shared" si="79"/>
        <v>0</v>
      </c>
      <c r="N279" s="29">
        <f t="shared" si="86"/>
        <v>29757.380921659053</v>
      </c>
      <c r="O279" s="29">
        <f t="shared" si="80"/>
        <v>29755.357494882948</v>
      </c>
      <c r="P279" s="29">
        <f t="shared" si="87"/>
        <v>29755.357494882948</v>
      </c>
      <c r="Q279">
        <f t="shared" si="88"/>
        <v>0</v>
      </c>
      <c r="R279" s="29">
        <f t="shared" si="89"/>
        <v>29755.357494882948</v>
      </c>
      <c r="S279" s="29">
        <f t="shared" si="81"/>
        <v>29755.357494882959</v>
      </c>
      <c r="T279" s="29">
        <f t="shared" si="90"/>
        <v>29755.357494882959</v>
      </c>
      <c r="U279">
        <f t="shared" si="91"/>
        <v>0</v>
      </c>
      <c r="V279" s="29">
        <f t="shared" si="92"/>
        <v>29755.357494882959</v>
      </c>
      <c r="W279" s="29">
        <f t="shared" si="82"/>
        <v>29755.357494882959</v>
      </c>
      <c r="X279" s="29">
        <f t="shared" si="93"/>
        <v>29755.357494882959</v>
      </c>
      <c r="Y279">
        <f t="shared" si="94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allocations'!$A$1:$L$317,5,FALSE)</f>
        <v>22232.007412531515</v>
      </c>
      <c r="E280" s="31">
        <f>VLOOKUP(B280,'Initial adjusted formula count'!$A$1:$P$317,12,FALSE)</f>
        <v>0.20297029702970301</v>
      </c>
      <c r="F280">
        <f>VLOOKUP(B280,'Model allocations'!$A$1:$L$317,10,FALSE)</f>
        <v>20190.498094619725</v>
      </c>
      <c r="G280" s="30">
        <f t="shared" si="83"/>
        <v>0.9</v>
      </c>
      <c r="H280">
        <f t="shared" si="84"/>
        <v>20008.806671278366</v>
      </c>
      <c r="I280">
        <f t="shared" si="76"/>
        <v>0</v>
      </c>
      <c r="J280">
        <f t="shared" si="77"/>
        <v>20190.498094619725</v>
      </c>
      <c r="K280">
        <f t="shared" si="78"/>
        <v>20178.98294462639</v>
      </c>
      <c r="L280">
        <f t="shared" si="85"/>
        <v>20178.98294462639</v>
      </c>
      <c r="M280">
        <f t="shared" si="79"/>
        <v>0</v>
      </c>
      <c r="N280" s="29">
        <f t="shared" si="86"/>
        <v>20178.98294462639</v>
      </c>
      <c r="O280" s="29">
        <f t="shared" si="80"/>
        <v>20177.610824730753</v>
      </c>
      <c r="P280" s="29">
        <f t="shared" si="87"/>
        <v>20177.610824730753</v>
      </c>
      <c r="Q280">
        <f t="shared" si="88"/>
        <v>0</v>
      </c>
      <c r="R280" s="29">
        <f t="shared" si="89"/>
        <v>20177.610824730753</v>
      </c>
      <c r="S280" s="29">
        <f t="shared" si="81"/>
        <v>20177.61082473076</v>
      </c>
      <c r="T280" s="29">
        <f t="shared" si="90"/>
        <v>20177.61082473076</v>
      </c>
      <c r="U280">
        <f t="shared" si="91"/>
        <v>0</v>
      </c>
      <c r="V280" s="29">
        <f t="shared" si="92"/>
        <v>20177.61082473076</v>
      </c>
      <c r="W280" s="29">
        <f t="shared" si="82"/>
        <v>20177.61082473076</v>
      </c>
      <c r="X280" s="29">
        <f t="shared" si="93"/>
        <v>20177.61082473076</v>
      </c>
      <c r="Y280">
        <f t="shared" si="94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allocations'!$A$1:$L$317,5,FALSE)</f>
        <v>243411.91773993953</v>
      </c>
      <c r="E281" s="31">
        <f>VLOOKUP(B281,'Initial adjusted formula count'!$A$1:$P$317,12,FALSE)</f>
        <v>0.223243807033351</v>
      </c>
      <c r="F281">
        <f>VLOOKUP(B281,'Model allocations'!$A$1:$L$317,10,FALSE)</f>
        <v>255735.96782630272</v>
      </c>
      <c r="G281" s="30">
        <f t="shared" si="83"/>
        <v>0.9</v>
      </c>
      <c r="H281">
        <f t="shared" si="84"/>
        <v>219070.72596594557</v>
      </c>
      <c r="I281">
        <f t="shared" si="76"/>
        <v>0</v>
      </c>
      <c r="J281">
        <f t="shared" si="77"/>
        <v>255735.96782630272</v>
      </c>
      <c r="K281">
        <f t="shared" si="78"/>
        <v>255590.11515766574</v>
      </c>
      <c r="L281">
        <f t="shared" si="85"/>
        <v>255590.11515766574</v>
      </c>
      <c r="M281">
        <f t="shared" si="79"/>
        <v>0</v>
      </c>
      <c r="N281" s="29">
        <f t="shared" si="86"/>
        <v>255590.11515766574</v>
      </c>
      <c r="O281" s="29">
        <f t="shared" si="80"/>
        <v>255572.73567510713</v>
      </c>
      <c r="P281" s="29">
        <f t="shared" si="87"/>
        <v>255572.73567510713</v>
      </c>
      <c r="Q281">
        <f t="shared" si="88"/>
        <v>0</v>
      </c>
      <c r="R281" s="29">
        <f t="shared" si="89"/>
        <v>255572.73567510713</v>
      </c>
      <c r="S281" s="29">
        <f t="shared" si="81"/>
        <v>255572.73567510722</v>
      </c>
      <c r="T281" s="29">
        <f t="shared" si="90"/>
        <v>255572.73567510722</v>
      </c>
      <c r="U281">
        <f t="shared" si="91"/>
        <v>0</v>
      </c>
      <c r="V281" s="29">
        <f t="shared" si="92"/>
        <v>255572.73567510722</v>
      </c>
      <c r="W281" s="29">
        <f t="shared" si="82"/>
        <v>255572.73567510722</v>
      </c>
      <c r="X281" s="29">
        <f t="shared" si="93"/>
        <v>255572.73567510722</v>
      </c>
      <c r="Y281">
        <f t="shared" si="94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allocations'!$A$1:$L$317,5,FALSE)</f>
        <v>270394.95027202356</v>
      </c>
      <c r="E282" s="31">
        <f>VLOOKUP(B282,'Initial adjusted formula count'!$A$1:$P$317,12,FALSE)</f>
        <v>9.2258440046565804E-2</v>
      </c>
      <c r="F282">
        <f>VLOOKUP(B282,'Model allocations'!$A$1:$L$317,10,FALSE)</f>
        <v>265872.47186157398</v>
      </c>
      <c r="G282" s="30">
        <f t="shared" si="83"/>
        <v>0.85</v>
      </c>
      <c r="H282">
        <f t="shared" si="84"/>
        <v>229835.70773122003</v>
      </c>
      <c r="I282">
        <f t="shared" si="76"/>
        <v>0</v>
      </c>
      <c r="J282">
        <f t="shared" si="77"/>
        <v>265872.47186157398</v>
      </c>
      <c r="K282">
        <f t="shared" si="78"/>
        <v>265720.83808918082</v>
      </c>
      <c r="L282">
        <f t="shared" si="85"/>
        <v>265720.83808918082</v>
      </c>
      <c r="M282">
        <f t="shared" si="79"/>
        <v>0</v>
      </c>
      <c r="N282" s="29">
        <f t="shared" si="86"/>
        <v>265720.83808918082</v>
      </c>
      <c r="O282" s="29">
        <f t="shared" si="80"/>
        <v>265702.76974303921</v>
      </c>
      <c r="P282" s="29">
        <f t="shared" si="87"/>
        <v>265702.76974303921</v>
      </c>
      <c r="Q282">
        <f t="shared" si="88"/>
        <v>0</v>
      </c>
      <c r="R282" s="29">
        <f t="shared" si="89"/>
        <v>265702.76974303921</v>
      </c>
      <c r="S282" s="29">
        <f t="shared" si="81"/>
        <v>265702.76974303927</v>
      </c>
      <c r="T282" s="29">
        <f t="shared" si="90"/>
        <v>265702.76974303927</v>
      </c>
      <c r="U282">
        <f t="shared" si="91"/>
        <v>0</v>
      </c>
      <c r="V282" s="29">
        <f t="shared" si="92"/>
        <v>265702.76974303927</v>
      </c>
      <c r="W282" s="29">
        <f t="shared" si="82"/>
        <v>265702.76974303927</v>
      </c>
      <c r="X282" s="29">
        <f t="shared" si="93"/>
        <v>265702.76974303927</v>
      </c>
      <c r="Y282">
        <f t="shared" si="94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allocations'!$A$1:$L$317,5,FALSE)</f>
        <v>113604.25708854655</v>
      </c>
      <c r="E283" s="31">
        <f>VLOOKUP(B283,'Initial adjusted formula count'!$A$1:$P$317,12,FALSE)</f>
        <v>0.31111111111111101</v>
      </c>
      <c r="F283">
        <f>VLOOKUP(B283,'Model allocations'!$A$1:$L$317,10,FALSE)</f>
        <v>170599.23125961638</v>
      </c>
      <c r="G283" s="30">
        <f t="shared" si="83"/>
        <v>0.95</v>
      </c>
      <c r="H283">
        <f t="shared" si="84"/>
        <v>107924.04423411922</v>
      </c>
      <c r="I283">
        <f t="shared" si="76"/>
        <v>0</v>
      </c>
      <c r="J283">
        <f t="shared" si="77"/>
        <v>170599.23125961638</v>
      </c>
      <c r="K283">
        <f t="shared" si="78"/>
        <v>170501.93421783487</v>
      </c>
      <c r="L283">
        <f t="shared" si="85"/>
        <v>170501.93421783487</v>
      </c>
      <c r="M283">
        <f t="shared" si="79"/>
        <v>0</v>
      </c>
      <c r="N283" s="29">
        <f t="shared" si="86"/>
        <v>170501.93421783487</v>
      </c>
      <c r="O283" s="29">
        <f t="shared" si="80"/>
        <v>170490.34051676345</v>
      </c>
      <c r="P283" s="29">
        <f t="shared" si="87"/>
        <v>170490.34051676345</v>
      </c>
      <c r="Q283">
        <f t="shared" si="88"/>
        <v>0</v>
      </c>
      <c r="R283" s="29">
        <f t="shared" si="89"/>
        <v>170490.34051676345</v>
      </c>
      <c r="S283" s="29">
        <f t="shared" si="81"/>
        <v>170490.34051676351</v>
      </c>
      <c r="T283" s="29">
        <f t="shared" si="90"/>
        <v>170490.34051676351</v>
      </c>
      <c r="U283">
        <f t="shared" si="91"/>
        <v>0</v>
      </c>
      <c r="V283" s="29">
        <f t="shared" si="92"/>
        <v>170490.34051676351</v>
      </c>
      <c r="W283" s="29">
        <f t="shared" si="82"/>
        <v>170490.34051676351</v>
      </c>
      <c r="X283" s="29">
        <f t="shared" si="93"/>
        <v>170490.34051676351</v>
      </c>
      <c r="Y283">
        <f t="shared" si="94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allocations'!$A$1:$L$317,5,FALSE)</f>
        <v>190140.7412871765</v>
      </c>
      <c r="E284" s="31">
        <f>VLOOKUP(B284,'Initial adjusted formula count'!$A$1:$P$317,12,FALSE)</f>
        <v>8.2722513089005204E-2</v>
      </c>
      <c r="F284">
        <f>VLOOKUP(B284,'Model allocations'!$A$1:$L$317,10,FALSE)</f>
        <v>198775.31807947331</v>
      </c>
      <c r="G284" s="30">
        <f t="shared" si="83"/>
        <v>0.85</v>
      </c>
      <c r="H284">
        <f t="shared" si="84"/>
        <v>161619.63009410002</v>
      </c>
      <c r="I284">
        <f t="shared" si="76"/>
        <v>0</v>
      </c>
      <c r="J284">
        <f t="shared" si="77"/>
        <v>198775.31807947331</v>
      </c>
      <c r="K284">
        <f t="shared" si="78"/>
        <v>198661.95150516042</v>
      </c>
      <c r="L284">
        <f t="shared" si="85"/>
        <v>198661.95150516042</v>
      </c>
      <c r="M284">
        <f t="shared" si="79"/>
        <v>0</v>
      </c>
      <c r="N284" s="29">
        <f t="shared" si="86"/>
        <v>198661.95150516042</v>
      </c>
      <c r="O284" s="29">
        <f t="shared" si="80"/>
        <v>198648.44299400729</v>
      </c>
      <c r="P284" s="29">
        <f t="shared" si="87"/>
        <v>198648.44299400729</v>
      </c>
      <c r="Q284">
        <f t="shared" si="88"/>
        <v>0</v>
      </c>
      <c r="R284" s="29">
        <f t="shared" si="89"/>
        <v>198648.44299400729</v>
      </c>
      <c r="S284" s="29">
        <f t="shared" si="81"/>
        <v>198648.44299400738</v>
      </c>
      <c r="T284" s="29">
        <f t="shared" si="90"/>
        <v>198648.44299400738</v>
      </c>
      <c r="U284">
        <f t="shared" si="91"/>
        <v>0</v>
      </c>
      <c r="V284" s="29">
        <f t="shared" si="92"/>
        <v>198648.44299400738</v>
      </c>
      <c r="W284" s="29">
        <f t="shared" si="82"/>
        <v>198648.44299400738</v>
      </c>
      <c r="X284" s="29">
        <f t="shared" si="93"/>
        <v>198648.44299400738</v>
      </c>
      <c r="Y284">
        <f t="shared" si="94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allocations'!$A$1:$L$317,5,FALSE)</f>
        <v>34546.955665293921</v>
      </c>
      <c r="E285" s="31">
        <f>VLOOKUP(B285,'Initial adjusted formula count'!$A$1:$P$317,12,FALSE)</f>
        <v>0.26206896551724101</v>
      </c>
      <c r="F285">
        <f>VLOOKUP(B285,'Model allocations'!$A$1:$L$317,10,FALSE)</f>
        <v>45300.748215288077</v>
      </c>
      <c r="G285" s="30">
        <f t="shared" si="83"/>
        <v>0.9</v>
      </c>
      <c r="H285">
        <f t="shared" si="84"/>
        <v>31092.260098764531</v>
      </c>
      <c r="I285">
        <f t="shared" si="76"/>
        <v>0</v>
      </c>
      <c r="J285">
        <f t="shared" si="77"/>
        <v>45300.748215288077</v>
      </c>
      <c r="K285">
        <f t="shared" si="78"/>
        <v>45274.912056711677</v>
      </c>
      <c r="L285">
        <f t="shared" si="85"/>
        <v>45274.912056711677</v>
      </c>
      <c r="M285">
        <f t="shared" si="79"/>
        <v>0</v>
      </c>
      <c r="N285" s="29">
        <f t="shared" si="86"/>
        <v>45274.912056711677</v>
      </c>
      <c r="O285" s="29">
        <f t="shared" si="80"/>
        <v>45271.833476994514</v>
      </c>
      <c r="P285" s="29">
        <f t="shared" si="87"/>
        <v>45271.833476994514</v>
      </c>
      <c r="Q285">
        <f t="shared" si="88"/>
        <v>0</v>
      </c>
      <c r="R285" s="29">
        <f t="shared" si="89"/>
        <v>45271.833476994514</v>
      </c>
      <c r="S285" s="29">
        <f t="shared" si="81"/>
        <v>45271.833476994529</v>
      </c>
      <c r="T285" s="29">
        <f t="shared" si="90"/>
        <v>45271.833476994529</v>
      </c>
      <c r="U285">
        <f t="shared" si="91"/>
        <v>0</v>
      </c>
      <c r="V285" s="29">
        <f t="shared" si="92"/>
        <v>45271.833476994529</v>
      </c>
      <c r="W285" s="29">
        <f t="shared" si="82"/>
        <v>45271.833476994529</v>
      </c>
      <c r="X285" s="29">
        <f t="shared" si="93"/>
        <v>45271.833476994529</v>
      </c>
      <c r="Y285">
        <f t="shared" si="94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allocations'!$A$1:$L$317,5,FALSE)</f>
        <v>1708235.2358660235</v>
      </c>
      <c r="E286" s="31">
        <f>VLOOKUP(B286,'Initial adjusted formula count'!$A$1:$P$317,12,FALSE)</f>
        <v>0.110056601252549</v>
      </c>
      <c r="F286">
        <f>VLOOKUP(B286,'Model allocations'!$A$1:$L$317,10,FALSE)</f>
        <v>1664103.444454907</v>
      </c>
      <c r="G286" s="30">
        <f t="shared" si="83"/>
        <v>0.85</v>
      </c>
      <c r="H286">
        <f t="shared" si="84"/>
        <v>1451999.9504861198</v>
      </c>
      <c r="I286">
        <f t="shared" si="76"/>
        <v>0</v>
      </c>
      <c r="J286">
        <f t="shared" si="77"/>
        <v>1664103.444454907</v>
      </c>
      <c r="K286">
        <f t="shared" si="78"/>
        <v>1663154.3643144609</v>
      </c>
      <c r="L286">
        <f t="shared" si="85"/>
        <v>1663154.3643144609</v>
      </c>
      <c r="M286">
        <f t="shared" si="79"/>
        <v>0</v>
      </c>
      <c r="N286" s="29">
        <f t="shared" si="86"/>
        <v>1663154.3643144609</v>
      </c>
      <c r="O286" s="29">
        <f t="shared" si="80"/>
        <v>1663041.2740165477</v>
      </c>
      <c r="P286" s="29">
        <f t="shared" si="87"/>
        <v>1663041.2740165477</v>
      </c>
      <c r="Q286">
        <f t="shared" si="88"/>
        <v>0</v>
      </c>
      <c r="R286" s="29">
        <f t="shared" si="89"/>
        <v>1663041.2740165477</v>
      </c>
      <c r="S286" s="29">
        <f t="shared" si="81"/>
        <v>1663041.2740165484</v>
      </c>
      <c r="T286" s="29">
        <f t="shared" si="90"/>
        <v>1663041.2740165484</v>
      </c>
      <c r="U286">
        <f t="shared" si="91"/>
        <v>0</v>
      </c>
      <c r="V286" s="29">
        <f t="shared" si="92"/>
        <v>1663041.2740165484</v>
      </c>
      <c r="W286" s="29">
        <f t="shared" si="82"/>
        <v>1663041.2740165484</v>
      </c>
      <c r="X286" s="29">
        <f t="shared" si="93"/>
        <v>1663041.2740165484</v>
      </c>
      <c r="Y286">
        <f t="shared" si="94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allocations'!$A$1:$L$317,5,FALSE)</f>
        <v>50406.183171632561</v>
      </c>
      <c r="E287" s="31">
        <f>VLOOKUP(B287,'Initial adjusted formula count'!$A$1:$P$317,12,FALSE)</f>
        <v>7.8389830508474603E-2</v>
      </c>
      <c r="F287">
        <f>VLOOKUP(B287,'Model allocations'!$A$1:$L$317,10,FALSE)</f>
        <v>46548.650436332347</v>
      </c>
      <c r="G287" s="30">
        <f t="shared" si="83"/>
        <v>0.85</v>
      </c>
      <c r="H287">
        <f t="shared" si="84"/>
        <v>42845.255695887674</v>
      </c>
      <c r="I287">
        <f t="shared" si="76"/>
        <v>0</v>
      </c>
      <c r="J287">
        <f t="shared" si="77"/>
        <v>46548.650436332347</v>
      </c>
      <c r="K287">
        <f t="shared" si="78"/>
        <v>46522.102567664144</v>
      </c>
      <c r="L287">
        <f t="shared" si="85"/>
        <v>46522.102567664144</v>
      </c>
      <c r="M287">
        <f t="shared" si="79"/>
        <v>0</v>
      </c>
      <c r="N287" s="29">
        <f t="shared" si="86"/>
        <v>46522.102567664144</v>
      </c>
      <c r="O287" s="29">
        <f t="shared" si="80"/>
        <v>46518.939182140937</v>
      </c>
      <c r="P287" s="29">
        <f t="shared" si="87"/>
        <v>46518.939182140937</v>
      </c>
      <c r="Q287">
        <f t="shared" si="88"/>
        <v>0</v>
      </c>
      <c r="R287" s="29">
        <f t="shared" si="89"/>
        <v>46518.939182140937</v>
      </c>
      <c r="S287" s="29">
        <f t="shared" si="81"/>
        <v>46518.939182140959</v>
      </c>
      <c r="T287" s="29">
        <f t="shared" si="90"/>
        <v>46518.939182140959</v>
      </c>
      <c r="U287">
        <f t="shared" si="91"/>
        <v>0</v>
      </c>
      <c r="V287" s="29">
        <f t="shared" si="92"/>
        <v>46518.939182140959</v>
      </c>
      <c r="W287" s="29">
        <f t="shared" si="82"/>
        <v>46518.939182140959</v>
      </c>
      <c r="X287" s="29">
        <f t="shared" si="93"/>
        <v>46518.939182140959</v>
      </c>
      <c r="Y287">
        <f t="shared" si="94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allocations'!$A$1:$L$317,5,FALSE)</f>
        <v>55591.833338774835</v>
      </c>
      <c r="E288" s="31">
        <f>VLOOKUP(B288,'Initial adjusted formula count'!$A$1:$P$317,12,FALSE)</f>
        <v>0.180555555555556</v>
      </c>
      <c r="F288">
        <f>VLOOKUP(B288,'Model allocations'!$A$1:$L$317,10,FALSE)</f>
        <v>50032.650004897354</v>
      </c>
      <c r="G288" s="30">
        <f t="shared" si="83"/>
        <v>0.9</v>
      </c>
      <c r="H288">
        <f t="shared" si="84"/>
        <v>50032.650004897354</v>
      </c>
      <c r="I288">
        <f t="shared" si="76"/>
        <v>0</v>
      </c>
      <c r="J288">
        <f t="shared" si="77"/>
        <v>50032.650004897354</v>
      </c>
      <c r="K288">
        <f t="shared" si="78"/>
        <v>50004.115123456082</v>
      </c>
      <c r="L288">
        <f t="shared" si="85"/>
        <v>50004.115123456082</v>
      </c>
      <c r="M288">
        <f t="shared" si="79"/>
        <v>50032.650004897354</v>
      </c>
      <c r="N288" s="29">
        <f t="shared" si="86"/>
        <v>0</v>
      </c>
      <c r="O288" s="29">
        <f t="shared" si="80"/>
        <v>0</v>
      </c>
      <c r="P288" s="29">
        <f t="shared" si="87"/>
        <v>50032.650004897354</v>
      </c>
      <c r="Q288">
        <f t="shared" si="88"/>
        <v>0</v>
      </c>
      <c r="R288" s="29">
        <f t="shared" si="89"/>
        <v>0</v>
      </c>
      <c r="S288" s="29">
        <f t="shared" si="81"/>
        <v>0</v>
      </c>
      <c r="T288" s="29">
        <f t="shared" si="90"/>
        <v>50032.650004897354</v>
      </c>
      <c r="U288">
        <f t="shared" si="91"/>
        <v>0</v>
      </c>
      <c r="V288" s="29">
        <f t="shared" si="92"/>
        <v>0</v>
      </c>
      <c r="W288" s="29">
        <f t="shared" si="82"/>
        <v>0</v>
      </c>
      <c r="X288" s="29">
        <f t="shared" si="93"/>
        <v>50032.650004897354</v>
      </c>
      <c r="Y288">
        <f t="shared" si="94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allocations'!$A$1:$L$317,5,FALSE)</f>
        <v>156042.08603766694</v>
      </c>
      <c r="E289" s="31">
        <f>VLOOKUP(B289,'Initial adjusted formula count'!$A$1:$P$317,12,FALSE)</f>
        <v>0.148957298907646</v>
      </c>
      <c r="F289">
        <f>VLOOKUP(B289,'Model allocations'!$A$1:$L$317,10,FALSE)</f>
        <v>132635.77313201691</v>
      </c>
      <c r="G289" s="30">
        <f t="shared" si="83"/>
        <v>0.85</v>
      </c>
      <c r="H289">
        <f t="shared" si="84"/>
        <v>132635.77313201691</v>
      </c>
      <c r="I289">
        <f t="shared" si="76"/>
        <v>0</v>
      </c>
      <c r="J289">
        <f t="shared" si="77"/>
        <v>132635.77313201691</v>
      </c>
      <c r="K289">
        <f t="shared" si="78"/>
        <v>132560.12760732809</v>
      </c>
      <c r="L289">
        <f t="shared" si="85"/>
        <v>132560.12760732809</v>
      </c>
      <c r="M289">
        <f t="shared" si="79"/>
        <v>132635.77313201691</v>
      </c>
      <c r="N289" s="29">
        <f t="shared" si="86"/>
        <v>0</v>
      </c>
      <c r="O289" s="29">
        <f t="shared" si="80"/>
        <v>0</v>
      </c>
      <c r="P289" s="29">
        <f t="shared" si="87"/>
        <v>132635.77313201691</v>
      </c>
      <c r="Q289">
        <f t="shared" si="88"/>
        <v>0</v>
      </c>
      <c r="R289" s="29">
        <f t="shared" si="89"/>
        <v>0</v>
      </c>
      <c r="S289" s="29">
        <f t="shared" si="81"/>
        <v>0</v>
      </c>
      <c r="T289" s="29">
        <f t="shared" si="90"/>
        <v>132635.77313201691</v>
      </c>
      <c r="U289">
        <f t="shared" si="91"/>
        <v>0</v>
      </c>
      <c r="V289" s="29">
        <f t="shared" si="92"/>
        <v>0</v>
      </c>
      <c r="W289" s="29">
        <f t="shared" si="82"/>
        <v>0</v>
      </c>
      <c r="X289" s="29">
        <f t="shared" si="93"/>
        <v>132635.77313201691</v>
      </c>
      <c r="Y289">
        <f t="shared" si="94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allocations'!$A$1:$L$317,5,FALSE)</f>
        <v>12684.999738556538</v>
      </c>
      <c r="E290" s="31">
        <f>VLOOKUP(B290,'Initial adjusted formula count'!$A$1:$P$317,12,FALSE)</f>
        <v>0.134545454545455</v>
      </c>
      <c r="F290">
        <f>VLOOKUP(B290,'Model allocations'!$A$1:$L$317,10,FALSE)</f>
        <v>15516.216812110781</v>
      </c>
      <c r="G290" s="30">
        <f t="shared" si="83"/>
        <v>0.85</v>
      </c>
      <c r="H290">
        <f t="shared" si="84"/>
        <v>10782.249777773057</v>
      </c>
      <c r="I290">
        <f t="shared" si="76"/>
        <v>0</v>
      </c>
      <c r="J290">
        <f t="shared" si="77"/>
        <v>15516.216812110781</v>
      </c>
      <c r="K290">
        <f t="shared" si="78"/>
        <v>15507.367522554714</v>
      </c>
      <c r="L290">
        <f t="shared" si="85"/>
        <v>15507.367522554714</v>
      </c>
      <c r="M290">
        <f t="shared" si="79"/>
        <v>0</v>
      </c>
      <c r="N290" s="29">
        <f t="shared" si="86"/>
        <v>15507.367522554714</v>
      </c>
      <c r="O290" s="29">
        <f t="shared" si="80"/>
        <v>15506.313060713646</v>
      </c>
      <c r="P290" s="29">
        <f t="shared" si="87"/>
        <v>15506.313060713646</v>
      </c>
      <c r="Q290">
        <f t="shared" si="88"/>
        <v>0</v>
      </c>
      <c r="R290" s="29">
        <f t="shared" si="89"/>
        <v>15506.313060713646</v>
      </c>
      <c r="S290" s="29">
        <f t="shared" si="81"/>
        <v>15506.313060713652</v>
      </c>
      <c r="T290" s="29">
        <f t="shared" si="90"/>
        <v>15506.313060713652</v>
      </c>
      <c r="U290">
        <f t="shared" si="91"/>
        <v>0</v>
      </c>
      <c r="V290" s="29">
        <f t="shared" si="92"/>
        <v>15506.313060713652</v>
      </c>
      <c r="W290" s="29">
        <f t="shared" si="82"/>
        <v>15506.313060713652</v>
      </c>
      <c r="X290" s="29">
        <f t="shared" si="93"/>
        <v>15506.313060713652</v>
      </c>
      <c r="Y290">
        <f t="shared" si="94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allocations'!$A$1:$L$317,5,FALSE)</f>
        <v>365876.88096168806</v>
      </c>
      <c r="E291" s="31">
        <f>VLOOKUP(B291,'Initial adjusted formula count'!$A$1:$P$317,12,FALSE)</f>
        <v>0.179202423018677</v>
      </c>
      <c r="F291">
        <f>VLOOKUP(B291,'Model allocations'!$A$1:$L$317,10,FALSE)</f>
        <v>525035.2283449379</v>
      </c>
      <c r="G291" s="30">
        <f t="shared" si="83"/>
        <v>0.9</v>
      </c>
      <c r="H291">
        <f t="shared" si="84"/>
        <v>329289.19286551926</v>
      </c>
      <c r="I291">
        <f t="shared" si="76"/>
        <v>0</v>
      </c>
      <c r="J291">
        <f t="shared" si="77"/>
        <v>525035.2283449379</v>
      </c>
      <c r="K291">
        <f t="shared" si="78"/>
        <v>524735.78751995973</v>
      </c>
      <c r="L291">
        <f t="shared" si="85"/>
        <v>524735.78751995973</v>
      </c>
      <c r="M291">
        <f t="shared" si="79"/>
        <v>0</v>
      </c>
      <c r="N291" s="29">
        <f t="shared" si="86"/>
        <v>524735.78751995973</v>
      </c>
      <c r="O291" s="29">
        <f t="shared" si="80"/>
        <v>524700.10681117547</v>
      </c>
      <c r="P291" s="29">
        <f t="shared" si="87"/>
        <v>524700.10681117547</v>
      </c>
      <c r="Q291">
        <f t="shared" si="88"/>
        <v>0</v>
      </c>
      <c r="R291" s="29">
        <f t="shared" si="89"/>
        <v>524700.10681117547</v>
      </c>
      <c r="S291" s="29">
        <f t="shared" si="81"/>
        <v>524700.10681117559</v>
      </c>
      <c r="T291" s="29">
        <f t="shared" si="90"/>
        <v>524700.10681117559</v>
      </c>
      <c r="U291">
        <f t="shared" si="91"/>
        <v>0</v>
      </c>
      <c r="V291" s="29">
        <f t="shared" si="92"/>
        <v>524700.10681117559</v>
      </c>
      <c r="W291" s="29">
        <f t="shared" si="82"/>
        <v>524700.10681117559</v>
      </c>
      <c r="X291" s="29">
        <f t="shared" si="93"/>
        <v>524700.10681117559</v>
      </c>
      <c r="Y291">
        <f t="shared" si="94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allocations'!$A$1:$L$317,5,FALSE)</f>
        <v>472661.99964679894</v>
      </c>
      <c r="E292" s="31">
        <f>VLOOKUP(B292,'Initial adjusted formula count'!$A$1:$P$317,12,FALSE)</f>
        <v>0.21741621311945</v>
      </c>
      <c r="F292">
        <f>VLOOKUP(B292,'Model allocations'!$A$1:$L$317,10,FALSE)</f>
        <v>425395.79968211905</v>
      </c>
      <c r="G292" s="30">
        <f t="shared" si="83"/>
        <v>0.9</v>
      </c>
      <c r="H292">
        <f t="shared" si="84"/>
        <v>425395.79968211905</v>
      </c>
      <c r="I292">
        <f t="shared" si="76"/>
        <v>0</v>
      </c>
      <c r="J292">
        <f t="shared" si="77"/>
        <v>425395.79968211905</v>
      </c>
      <c r="K292">
        <f t="shared" si="78"/>
        <v>425153.18573485949</v>
      </c>
      <c r="L292">
        <f t="shared" si="85"/>
        <v>425153.18573485949</v>
      </c>
      <c r="M292">
        <f t="shared" si="79"/>
        <v>425395.79968211905</v>
      </c>
      <c r="N292" s="29">
        <f t="shared" si="86"/>
        <v>0</v>
      </c>
      <c r="O292" s="29">
        <f t="shared" si="80"/>
        <v>0</v>
      </c>
      <c r="P292" s="29">
        <f t="shared" si="87"/>
        <v>425395.79968211905</v>
      </c>
      <c r="Q292">
        <f t="shared" si="88"/>
        <v>0</v>
      </c>
      <c r="R292" s="29">
        <f t="shared" si="89"/>
        <v>0</v>
      </c>
      <c r="S292" s="29">
        <f t="shared" si="81"/>
        <v>0</v>
      </c>
      <c r="T292" s="29">
        <f t="shared" si="90"/>
        <v>425395.79968211905</v>
      </c>
      <c r="U292">
        <f t="shared" si="91"/>
        <v>0</v>
      </c>
      <c r="V292" s="29">
        <f t="shared" si="92"/>
        <v>0</v>
      </c>
      <c r="W292" s="29">
        <f t="shared" si="82"/>
        <v>0</v>
      </c>
      <c r="X292" s="29">
        <f t="shared" si="93"/>
        <v>425395.79968211905</v>
      </c>
      <c r="Y292">
        <f t="shared" si="94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allocations'!$A$1:$L$317,5,FALSE)</f>
        <v>84441.72956366041</v>
      </c>
      <c r="E293" s="31">
        <f>VLOOKUP(B293,'Initial adjusted formula count'!$A$1:$P$317,12,FALSE)</f>
        <v>0.23183391003460199</v>
      </c>
      <c r="F293">
        <f>VLOOKUP(B293,'Model allocations'!$A$1:$L$317,10,FALSE)</f>
        <v>107951.25829301591</v>
      </c>
      <c r="G293" s="30">
        <f t="shared" si="83"/>
        <v>0.9</v>
      </c>
      <c r="H293">
        <f t="shared" si="84"/>
        <v>75997.556607294377</v>
      </c>
      <c r="I293">
        <f t="shared" si="76"/>
        <v>0</v>
      </c>
      <c r="J293">
        <f t="shared" si="77"/>
        <v>107951.25829301591</v>
      </c>
      <c r="K293">
        <f t="shared" si="78"/>
        <v>107889.69096934775</v>
      </c>
      <c r="L293">
        <f t="shared" si="85"/>
        <v>107889.69096934775</v>
      </c>
      <c r="M293">
        <f t="shared" si="79"/>
        <v>0</v>
      </c>
      <c r="N293" s="29">
        <f t="shared" si="86"/>
        <v>107889.69096934775</v>
      </c>
      <c r="O293" s="29">
        <f t="shared" si="80"/>
        <v>107882.35474274408</v>
      </c>
      <c r="P293" s="29">
        <f t="shared" si="87"/>
        <v>107882.35474274408</v>
      </c>
      <c r="Q293">
        <f t="shared" si="88"/>
        <v>0</v>
      </c>
      <c r="R293" s="29">
        <f t="shared" si="89"/>
        <v>107882.35474274408</v>
      </c>
      <c r="S293" s="29">
        <f t="shared" si="81"/>
        <v>107882.35474274412</v>
      </c>
      <c r="T293" s="29">
        <f t="shared" si="90"/>
        <v>107882.35474274412</v>
      </c>
      <c r="U293">
        <f t="shared" si="91"/>
        <v>0</v>
      </c>
      <c r="V293" s="29">
        <f t="shared" si="92"/>
        <v>107882.35474274412</v>
      </c>
      <c r="W293" s="29">
        <f t="shared" si="82"/>
        <v>107882.35474274412</v>
      </c>
      <c r="X293" s="29">
        <f t="shared" si="93"/>
        <v>107882.35474274412</v>
      </c>
      <c r="Y293">
        <f t="shared" si="94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allocations'!$A$1:$L$317,5,FALSE)</f>
        <v>114413.69280916675</v>
      </c>
      <c r="E294" s="31">
        <f>VLOOKUP(B294,'Initial adjusted formula count'!$A$1:$P$317,12,FALSE)</f>
        <v>6.73051343442405E-2</v>
      </c>
      <c r="F294">
        <f>VLOOKUP(B294,'Model allocations'!$A$1:$L$317,10,FALSE)</f>
        <v>106097.37441794672</v>
      </c>
      <c r="G294" s="30">
        <f t="shared" si="83"/>
        <v>0.85</v>
      </c>
      <c r="H294">
        <f t="shared" si="84"/>
        <v>97251.638887791734</v>
      </c>
      <c r="I294">
        <f t="shared" si="76"/>
        <v>0</v>
      </c>
      <c r="J294">
        <f t="shared" si="77"/>
        <v>106097.37441794672</v>
      </c>
      <c r="K294">
        <f t="shared" si="78"/>
        <v>106036.86441098226</v>
      </c>
      <c r="L294">
        <f t="shared" si="85"/>
        <v>106036.86441098226</v>
      </c>
      <c r="M294">
        <f t="shared" si="79"/>
        <v>0</v>
      </c>
      <c r="N294" s="29">
        <f t="shared" si="86"/>
        <v>106036.86441098226</v>
      </c>
      <c r="O294" s="29">
        <f t="shared" si="80"/>
        <v>106029.65417190685</v>
      </c>
      <c r="P294" s="29">
        <f t="shared" si="87"/>
        <v>106029.65417190685</v>
      </c>
      <c r="Q294">
        <f t="shared" si="88"/>
        <v>0</v>
      </c>
      <c r="R294" s="29">
        <f t="shared" si="89"/>
        <v>106029.65417190685</v>
      </c>
      <c r="S294" s="29">
        <f t="shared" si="81"/>
        <v>106029.65417190688</v>
      </c>
      <c r="T294" s="29">
        <f t="shared" si="90"/>
        <v>106029.65417190688</v>
      </c>
      <c r="U294">
        <f t="shared" si="91"/>
        <v>0</v>
      </c>
      <c r="V294" s="29">
        <f t="shared" si="92"/>
        <v>106029.65417190688</v>
      </c>
      <c r="W294" s="29">
        <f t="shared" si="82"/>
        <v>106029.65417190688</v>
      </c>
      <c r="X294" s="29">
        <f t="shared" si="93"/>
        <v>106029.65417190688</v>
      </c>
      <c r="Y294">
        <f t="shared" si="94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allocations'!$A$1:$L$317,5,FALSE)</f>
        <v>0</v>
      </c>
      <c r="E295" s="31">
        <f>VLOOKUP(B295,'Initial adjusted formula count'!$A$1:$P$317,12,FALSE)</f>
        <v>3.03030303030303E-2</v>
      </c>
      <c r="F295">
        <f>VLOOKUP(B295,'Model allocations'!$A$1:$L$317,10,FALSE)</f>
        <v>0</v>
      </c>
      <c r="G295" s="30">
        <f t="shared" si="83"/>
        <v>0.85</v>
      </c>
      <c r="H295">
        <f t="shared" si="84"/>
        <v>0</v>
      </c>
      <c r="I295">
        <f t="shared" si="76"/>
        <v>0</v>
      </c>
      <c r="J295">
        <f t="shared" si="77"/>
        <v>0</v>
      </c>
      <c r="K295">
        <f t="shared" si="78"/>
        <v>0</v>
      </c>
      <c r="L295">
        <f t="shared" si="85"/>
        <v>0</v>
      </c>
      <c r="M295">
        <f t="shared" si="79"/>
        <v>0</v>
      </c>
      <c r="N295" s="29">
        <f t="shared" si="86"/>
        <v>0</v>
      </c>
      <c r="O295" s="29">
        <f t="shared" si="80"/>
        <v>0</v>
      </c>
      <c r="P295" s="29">
        <f t="shared" si="87"/>
        <v>0</v>
      </c>
      <c r="Q295">
        <f t="shared" si="88"/>
        <v>0</v>
      </c>
      <c r="R295" s="29">
        <f t="shared" si="89"/>
        <v>0</v>
      </c>
      <c r="S295" s="29">
        <f t="shared" si="81"/>
        <v>0</v>
      </c>
      <c r="T295" s="29">
        <f t="shared" si="90"/>
        <v>0</v>
      </c>
      <c r="U295">
        <f t="shared" si="91"/>
        <v>0</v>
      </c>
      <c r="V295" s="29">
        <f t="shared" si="92"/>
        <v>0</v>
      </c>
      <c r="W295" s="29">
        <f t="shared" si="82"/>
        <v>0</v>
      </c>
      <c r="X295" s="29">
        <f t="shared" si="93"/>
        <v>0</v>
      </c>
      <c r="Y295">
        <f t="shared" si="94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allocations'!$A$1:$L$317,5,FALSE)</f>
        <v>17358.420694866847</v>
      </c>
      <c r="E296" s="31">
        <f>VLOOKUP(B296,'Initial adjusted formula count'!$A$1:$P$317,12,FALSE)</f>
        <v>0.11782477341389699</v>
      </c>
      <c r="F296">
        <f>VLOOKUP(B296,'Model allocations'!$A$1:$L$317,10,FALSE)</f>
        <v>16354.931234387044</v>
      </c>
      <c r="G296" s="30">
        <f t="shared" si="83"/>
        <v>0.85</v>
      </c>
      <c r="H296">
        <f t="shared" si="84"/>
        <v>14754.65759063682</v>
      </c>
      <c r="I296">
        <f t="shared" si="76"/>
        <v>0</v>
      </c>
      <c r="J296">
        <f t="shared" si="77"/>
        <v>16354.931234387044</v>
      </c>
      <c r="K296">
        <f t="shared" si="78"/>
        <v>16345.603604854974</v>
      </c>
      <c r="L296">
        <f t="shared" si="85"/>
        <v>16345.603604854974</v>
      </c>
      <c r="M296">
        <f t="shared" si="79"/>
        <v>0</v>
      </c>
      <c r="N296" s="29">
        <f t="shared" si="86"/>
        <v>16345.603604854974</v>
      </c>
      <c r="O296" s="29">
        <f t="shared" si="80"/>
        <v>16344.492145076549</v>
      </c>
      <c r="P296" s="29">
        <f t="shared" si="87"/>
        <v>16344.492145076549</v>
      </c>
      <c r="Q296">
        <f t="shared" si="88"/>
        <v>0</v>
      </c>
      <c r="R296" s="29">
        <f t="shared" si="89"/>
        <v>16344.492145076549</v>
      </c>
      <c r="S296" s="29">
        <f t="shared" si="81"/>
        <v>16344.492145076552</v>
      </c>
      <c r="T296" s="29">
        <f t="shared" si="90"/>
        <v>16344.492145076552</v>
      </c>
      <c r="U296">
        <f t="shared" si="91"/>
        <v>0</v>
      </c>
      <c r="V296" s="29">
        <f t="shared" si="92"/>
        <v>16344.492145076552</v>
      </c>
      <c r="W296" s="29">
        <f t="shared" si="82"/>
        <v>16344.492145076552</v>
      </c>
      <c r="X296" s="29">
        <f t="shared" si="93"/>
        <v>16344.492145076552</v>
      </c>
      <c r="Y296">
        <f t="shared" si="94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allocations'!$A$1:$L$317,5,FALSE)</f>
        <v>40171.721489471565</v>
      </c>
      <c r="E297" s="31">
        <f>VLOOKUP(B297,'Initial adjusted formula count'!$A$1:$P$317,12,FALSE)</f>
        <v>0.230283911671924</v>
      </c>
      <c r="F297">
        <f>VLOOKUP(B297,'Model allocations'!$A$1:$L$317,10,FALSE)</f>
        <v>38954.940540973403</v>
      </c>
      <c r="G297" s="30">
        <f t="shared" si="83"/>
        <v>0.9</v>
      </c>
      <c r="H297">
        <f t="shared" si="84"/>
        <v>36154.549340524412</v>
      </c>
      <c r="I297">
        <f t="shared" si="76"/>
        <v>0</v>
      </c>
      <c r="J297">
        <f t="shared" si="77"/>
        <v>38954.940540973403</v>
      </c>
      <c r="K297">
        <f t="shared" si="78"/>
        <v>38932.723556468685</v>
      </c>
      <c r="L297">
        <f t="shared" si="85"/>
        <v>38932.723556468685</v>
      </c>
      <c r="M297">
        <f t="shared" si="79"/>
        <v>0</v>
      </c>
      <c r="N297" s="29">
        <f t="shared" si="86"/>
        <v>38932.723556468685</v>
      </c>
      <c r="O297" s="29">
        <f t="shared" si="80"/>
        <v>38930.076229557817</v>
      </c>
      <c r="P297" s="29">
        <f t="shared" si="87"/>
        <v>38930.076229557817</v>
      </c>
      <c r="Q297">
        <f t="shared" si="88"/>
        <v>0</v>
      </c>
      <c r="R297" s="29">
        <f t="shared" si="89"/>
        <v>38930.076229557817</v>
      </c>
      <c r="S297" s="29">
        <f t="shared" si="81"/>
        <v>38930.076229557832</v>
      </c>
      <c r="T297" s="29">
        <f t="shared" si="90"/>
        <v>38930.076229557832</v>
      </c>
      <c r="U297">
        <f t="shared" si="91"/>
        <v>0</v>
      </c>
      <c r="V297" s="29">
        <f t="shared" si="92"/>
        <v>38930.076229557832</v>
      </c>
      <c r="W297" s="29">
        <f t="shared" si="82"/>
        <v>38930.076229557832</v>
      </c>
      <c r="X297" s="29">
        <f t="shared" si="93"/>
        <v>38930.076229557832</v>
      </c>
      <c r="Y297">
        <f t="shared" si="94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allocations'!$A$1:$L$317,5,FALSE)</f>
        <v>445484.49322934798</v>
      </c>
      <c r="E298" s="31">
        <f>VLOOKUP(B298,'Initial adjusted formula count'!$A$1:$P$317,12,FALSE)</f>
        <v>0.132873693120831</v>
      </c>
      <c r="F298">
        <f>VLOOKUP(B298,'Model allocations'!$A$1:$L$317,10,FALSE)</f>
        <v>525946.13174450735</v>
      </c>
      <c r="G298" s="30">
        <f t="shared" si="83"/>
        <v>0.85</v>
      </c>
      <c r="H298">
        <f t="shared" si="84"/>
        <v>378661.81924494577</v>
      </c>
      <c r="I298">
        <f t="shared" si="76"/>
        <v>0</v>
      </c>
      <c r="J298">
        <f t="shared" si="77"/>
        <v>525946.13174450735</v>
      </c>
      <c r="K298">
        <f t="shared" si="78"/>
        <v>525646.17140835978</v>
      </c>
      <c r="L298">
        <f t="shared" si="85"/>
        <v>525646.17140835978</v>
      </c>
      <c r="M298">
        <f t="shared" si="79"/>
        <v>0</v>
      </c>
      <c r="N298" s="29">
        <f t="shared" si="86"/>
        <v>525646.17140835978</v>
      </c>
      <c r="O298" s="29">
        <f t="shared" si="80"/>
        <v>525610.42879576946</v>
      </c>
      <c r="P298" s="29">
        <f t="shared" si="87"/>
        <v>525610.42879576946</v>
      </c>
      <c r="Q298">
        <f t="shared" si="88"/>
        <v>0</v>
      </c>
      <c r="R298" s="29">
        <f t="shared" si="89"/>
        <v>525610.42879576946</v>
      </c>
      <c r="S298" s="29">
        <f t="shared" si="81"/>
        <v>525610.42879576958</v>
      </c>
      <c r="T298" s="29">
        <f t="shared" si="90"/>
        <v>525610.42879576958</v>
      </c>
      <c r="U298">
        <f t="shared" si="91"/>
        <v>0</v>
      </c>
      <c r="V298" s="29">
        <f t="shared" si="92"/>
        <v>525610.42879576958</v>
      </c>
      <c r="W298" s="29">
        <f t="shared" si="82"/>
        <v>525610.42879576958</v>
      </c>
      <c r="X298" s="29">
        <f t="shared" si="93"/>
        <v>525610.42879576958</v>
      </c>
      <c r="Y298">
        <f t="shared" si="94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allocations'!$A$1:$L$317,5,FALSE)</f>
        <v>179028.6200431207</v>
      </c>
      <c r="E299" s="31">
        <f>VLOOKUP(B299,'Initial adjusted formula count'!$A$1:$P$317,12,FALSE)</f>
        <v>0.108668730650155</v>
      </c>
      <c r="F299">
        <f>VLOOKUP(B299,'Model allocations'!$A$1:$L$317,10,FALSE)</f>
        <v>152174.3270366526</v>
      </c>
      <c r="G299" s="30">
        <f t="shared" si="83"/>
        <v>0.85</v>
      </c>
      <c r="H299">
        <f t="shared" si="84"/>
        <v>152174.3270366526</v>
      </c>
      <c r="I299">
        <f t="shared" si="76"/>
        <v>0</v>
      </c>
      <c r="J299">
        <f t="shared" si="77"/>
        <v>152174.3270366526</v>
      </c>
      <c r="K299">
        <f t="shared" si="78"/>
        <v>152087.53818217514</v>
      </c>
      <c r="L299">
        <f t="shared" si="85"/>
        <v>152087.53818217514</v>
      </c>
      <c r="M299">
        <f t="shared" si="79"/>
        <v>152174.3270366526</v>
      </c>
      <c r="N299" s="29">
        <f t="shared" si="86"/>
        <v>0</v>
      </c>
      <c r="O299" s="29">
        <f t="shared" si="80"/>
        <v>0</v>
      </c>
      <c r="P299" s="29">
        <f t="shared" si="87"/>
        <v>152174.3270366526</v>
      </c>
      <c r="Q299">
        <f t="shared" si="88"/>
        <v>0</v>
      </c>
      <c r="R299" s="29">
        <f t="shared" si="89"/>
        <v>0</v>
      </c>
      <c r="S299" s="29">
        <f t="shared" si="81"/>
        <v>0</v>
      </c>
      <c r="T299" s="29">
        <f t="shared" si="90"/>
        <v>152174.3270366526</v>
      </c>
      <c r="U299">
        <f t="shared" si="91"/>
        <v>0</v>
      </c>
      <c r="V299" s="29">
        <f t="shared" si="92"/>
        <v>0</v>
      </c>
      <c r="W299" s="29">
        <f t="shared" si="82"/>
        <v>0</v>
      </c>
      <c r="X299" s="29">
        <f t="shared" si="93"/>
        <v>152174.3270366526</v>
      </c>
      <c r="Y299">
        <f t="shared" si="94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allocations'!$A$1:$L$317,5,FALSE)</f>
        <v>313402.97508698015</v>
      </c>
      <c r="E300" s="31">
        <f>VLOOKUP(B300,'Initial adjusted formula count'!$A$1:$P$317,12,FALSE)</f>
        <v>0.11717011128775801</v>
      </c>
      <c r="F300">
        <f>VLOOKUP(B300,'Model allocations'!$A$1:$L$317,10,FALSE)</f>
        <v>318711.48046497826</v>
      </c>
      <c r="G300" s="30">
        <f t="shared" si="83"/>
        <v>0.85</v>
      </c>
      <c r="H300">
        <f t="shared" si="84"/>
        <v>266392.5288239331</v>
      </c>
      <c r="I300">
        <f t="shared" si="76"/>
        <v>0</v>
      </c>
      <c r="J300">
        <f t="shared" si="77"/>
        <v>318711.48046497826</v>
      </c>
      <c r="K300">
        <f t="shared" si="78"/>
        <v>318529.71127409692</v>
      </c>
      <c r="L300">
        <f t="shared" si="85"/>
        <v>318529.71127409692</v>
      </c>
      <c r="M300">
        <f t="shared" si="79"/>
        <v>0</v>
      </c>
      <c r="N300" s="29">
        <f t="shared" si="86"/>
        <v>318529.71127409692</v>
      </c>
      <c r="O300" s="29">
        <f t="shared" si="80"/>
        <v>318508.05205790198</v>
      </c>
      <c r="P300" s="29">
        <f t="shared" si="87"/>
        <v>318508.05205790198</v>
      </c>
      <c r="Q300">
        <f t="shared" si="88"/>
        <v>0</v>
      </c>
      <c r="R300" s="29">
        <f t="shared" si="89"/>
        <v>318508.05205790198</v>
      </c>
      <c r="S300" s="29">
        <f t="shared" si="81"/>
        <v>318508.0520579021</v>
      </c>
      <c r="T300" s="29">
        <f t="shared" si="90"/>
        <v>318508.0520579021</v>
      </c>
      <c r="U300">
        <f t="shared" si="91"/>
        <v>0</v>
      </c>
      <c r="V300" s="29">
        <f t="shared" si="92"/>
        <v>318508.0520579021</v>
      </c>
      <c r="W300" s="29">
        <f t="shared" si="82"/>
        <v>318508.0520579021</v>
      </c>
      <c r="X300" s="29">
        <f t="shared" si="93"/>
        <v>318508.0520579021</v>
      </c>
      <c r="Y300">
        <f t="shared" si="94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allocations'!$A$1:$L$317,5,FALSE)</f>
        <v>0</v>
      </c>
      <c r="E301" s="31">
        <f>VLOOKUP(B301,'Initial adjusted formula count'!$A$1:$P$317,12,FALSE)</f>
        <v>7.0283347368702204E-2</v>
      </c>
      <c r="F301">
        <f>VLOOKUP(B301,'Model allocations'!$A$1:$L$317,10,FALSE)</f>
        <v>0</v>
      </c>
      <c r="G301" s="30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29">
        <f t="shared" si="86"/>
        <v>0</v>
      </c>
      <c r="O301" s="29">
        <f t="shared" si="80"/>
        <v>0</v>
      </c>
      <c r="P301" s="29">
        <f t="shared" si="87"/>
        <v>0</v>
      </c>
      <c r="Q301">
        <f t="shared" si="88"/>
        <v>0</v>
      </c>
      <c r="R301" s="29">
        <f t="shared" si="89"/>
        <v>0</v>
      </c>
      <c r="S301" s="29">
        <f t="shared" si="81"/>
        <v>0</v>
      </c>
      <c r="T301" s="29">
        <f t="shared" si="90"/>
        <v>0</v>
      </c>
      <c r="U301">
        <f t="shared" si="91"/>
        <v>0</v>
      </c>
      <c r="V301" s="29">
        <f t="shared" si="92"/>
        <v>0</v>
      </c>
      <c r="W301" s="29">
        <f t="shared" si="82"/>
        <v>0</v>
      </c>
      <c r="X301" s="29">
        <f t="shared" si="93"/>
        <v>0</v>
      </c>
      <c r="Y301">
        <f t="shared" si="94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allocations'!$A$1:$L$317,5,FALSE)</f>
        <v>49307.294996912722</v>
      </c>
      <c r="E302" s="31">
        <f>VLOOKUP(B302,'Initial adjusted formula count'!$A$1:$P$317,12,FALSE)</f>
        <v>0.19789473684210501</v>
      </c>
      <c r="F302">
        <f>VLOOKUP(B302,'Model allocations'!$A$1:$L$317,10,FALSE)</f>
        <v>45708.363424514333</v>
      </c>
      <c r="G302" s="30">
        <f t="shared" si="83"/>
        <v>0.9</v>
      </c>
      <c r="H302">
        <f t="shared" si="84"/>
        <v>44376.565497221454</v>
      </c>
      <c r="I302">
        <f t="shared" si="76"/>
        <v>0</v>
      </c>
      <c r="J302">
        <f t="shared" si="77"/>
        <v>45708.363424514333</v>
      </c>
      <c r="K302">
        <f t="shared" si="78"/>
        <v>45682.294792709588</v>
      </c>
      <c r="L302">
        <f t="shared" si="85"/>
        <v>45682.294792709588</v>
      </c>
      <c r="M302">
        <f t="shared" si="79"/>
        <v>0</v>
      </c>
      <c r="N302" s="29">
        <f t="shared" si="86"/>
        <v>45682.294792709588</v>
      </c>
      <c r="O302" s="29">
        <f t="shared" si="80"/>
        <v>45679.188511994864</v>
      </c>
      <c r="P302" s="29">
        <f t="shared" si="87"/>
        <v>45679.188511994864</v>
      </c>
      <c r="Q302">
        <f t="shared" si="88"/>
        <v>0</v>
      </c>
      <c r="R302" s="29">
        <f t="shared" si="89"/>
        <v>45679.188511994864</v>
      </c>
      <c r="S302" s="29">
        <f t="shared" si="81"/>
        <v>45679.188511994878</v>
      </c>
      <c r="T302" s="29">
        <f t="shared" si="90"/>
        <v>45679.188511994878</v>
      </c>
      <c r="U302">
        <f t="shared" si="91"/>
        <v>0</v>
      </c>
      <c r="V302" s="29">
        <f t="shared" si="92"/>
        <v>45679.188511994878</v>
      </c>
      <c r="W302" s="29">
        <f t="shared" si="82"/>
        <v>45679.188511994878</v>
      </c>
      <c r="X302" s="29">
        <f t="shared" si="93"/>
        <v>45679.188511994878</v>
      </c>
      <c r="Y302">
        <f t="shared" si="94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allocations'!$A$1:$L$317,5,FALSE)</f>
        <v>0</v>
      </c>
      <c r="E303" s="31">
        <f>VLOOKUP(B303,'Initial adjusted formula count'!$A$1:$P$317,12,FALSE)</f>
        <v>4.0786136939983099E-2</v>
      </c>
      <c r="F303">
        <f>VLOOKUP(B303,'Model allocations'!$A$1:$L$317,10,FALSE)</f>
        <v>0</v>
      </c>
      <c r="G303" s="30">
        <f t="shared" si="83"/>
        <v>0.85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29">
        <f t="shared" si="86"/>
        <v>0</v>
      </c>
      <c r="O303" s="29">
        <f t="shared" si="80"/>
        <v>0</v>
      </c>
      <c r="P303" s="29">
        <f t="shared" si="87"/>
        <v>0</v>
      </c>
      <c r="Q303">
        <f t="shared" si="88"/>
        <v>0</v>
      </c>
      <c r="R303" s="29">
        <f t="shared" si="89"/>
        <v>0</v>
      </c>
      <c r="S303" s="29">
        <f t="shared" si="81"/>
        <v>0</v>
      </c>
      <c r="T303" s="29">
        <f t="shared" si="90"/>
        <v>0</v>
      </c>
      <c r="U303">
        <f t="shared" si="91"/>
        <v>0</v>
      </c>
      <c r="V303" s="29">
        <f t="shared" si="92"/>
        <v>0</v>
      </c>
      <c r="W303" s="29">
        <f t="shared" si="82"/>
        <v>0</v>
      </c>
      <c r="X303" s="29">
        <f t="shared" si="93"/>
        <v>0</v>
      </c>
      <c r="Y303">
        <f t="shared" si="94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allocations'!$A$1:$L$317,5,FALSE)</f>
        <v>60910.886819268635</v>
      </c>
      <c r="E304" s="31">
        <f>VLOOKUP(B304,'Initial adjusted formula count'!$A$1:$P$317,12,FALSE)</f>
        <v>0.121852152721365</v>
      </c>
      <c r="F304">
        <f>VLOOKUP(B304,'Model allocations'!$A$1:$L$317,10,FALSE)</f>
        <v>62903.581670719403</v>
      </c>
      <c r="G304" s="30">
        <f t="shared" si="83"/>
        <v>0.85</v>
      </c>
      <c r="H304">
        <f t="shared" si="84"/>
        <v>51774.25379637834</v>
      </c>
      <c r="I304">
        <f t="shared" si="76"/>
        <v>0</v>
      </c>
      <c r="J304">
        <f t="shared" si="77"/>
        <v>62903.581670719403</v>
      </c>
      <c r="K304">
        <f t="shared" si="78"/>
        <v>62867.706172519138</v>
      </c>
      <c r="L304">
        <f t="shared" si="85"/>
        <v>62867.706172519138</v>
      </c>
      <c r="M304">
        <f t="shared" si="79"/>
        <v>0</v>
      </c>
      <c r="N304" s="29">
        <f t="shared" si="86"/>
        <v>62867.706172519138</v>
      </c>
      <c r="O304" s="29">
        <f t="shared" si="80"/>
        <v>62863.431327217506</v>
      </c>
      <c r="P304" s="29">
        <f t="shared" si="87"/>
        <v>62863.431327217506</v>
      </c>
      <c r="Q304">
        <f t="shared" si="88"/>
        <v>0</v>
      </c>
      <c r="R304" s="29">
        <f t="shared" si="89"/>
        <v>62863.431327217506</v>
      </c>
      <c r="S304" s="29">
        <f t="shared" si="81"/>
        <v>62863.431327217528</v>
      </c>
      <c r="T304" s="29">
        <f t="shared" si="90"/>
        <v>62863.431327217528</v>
      </c>
      <c r="U304">
        <f t="shared" si="91"/>
        <v>0</v>
      </c>
      <c r="V304" s="29">
        <f t="shared" si="92"/>
        <v>62863.431327217528</v>
      </c>
      <c r="W304" s="29">
        <f t="shared" si="82"/>
        <v>62863.431327217528</v>
      </c>
      <c r="X304" s="29">
        <f t="shared" si="93"/>
        <v>62863.431327217528</v>
      </c>
      <c r="Y304">
        <f t="shared" si="94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allocations'!$A$1:$L$317,5,FALSE)</f>
        <v>22654.083780661225</v>
      </c>
      <c r="E305" s="31">
        <f>VLOOKUP(B305,'Initial adjusted formula count'!$A$1:$P$317,12,FALSE)</f>
        <v>0.18500267811471999</v>
      </c>
      <c r="F305">
        <f>VLOOKUP(B305,'Model allocations'!$A$1:$L$317,10,FALSE)</f>
        <v>17790.036166994141</v>
      </c>
      <c r="G305" s="30">
        <f t="shared" si="83"/>
        <v>0.9</v>
      </c>
      <c r="H305">
        <f t="shared" si="84"/>
        <v>20388.675402595105</v>
      </c>
      <c r="I305">
        <f t="shared" si="76"/>
        <v>20388.675402595105</v>
      </c>
      <c r="J305">
        <f t="shared" si="77"/>
        <v>0</v>
      </c>
      <c r="K305">
        <f t="shared" si="78"/>
        <v>0</v>
      </c>
      <c r="L305">
        <f t="shared" si="85"/>
        <v>20388.675402595105</v>
      </c>
      <c r="M305">
        <f t="shared" si="79"/>
        <v>0</v>
      </c>
      <c r="N305" s="29">
        <f t="shared" si="86"/>
        <v>0</v>
      </c>
      <c r="O305" s="29">
        <f t="shared" si="80"/>
        <v>0</v>
      </c>
      <c r="P305" s="29">
        <f t="shared" si="87"/>
        <v>20388.675402595105</v>
      </c>
      <c r="Q305">
        <f t="shared" si="88"/>
        <v>0</v>
      </c>
      <c r="R305" s="29">
        <f t="shared" si="89"/>
        <v>0</v>
      </c>
      <c r="S305" s="29">
        <f t="shared" si="81"/>
        <v>0</v>
      </c>
      <c r="T305" s="29">
        <f t="shared" si="90"/>
        <v>20388.675402595105</v>
      </c>
      <c r="U305">
        <f t="shared" si="91"/>
        <v>0</v>
      </c>
      <c r="V305" s="29">
        <f t="shared" si="92"/>
        <v>0</v>
      </c>
      <c r="W305" s="29">
        <f t="shared" si="82"/>
        <v>0</v>
      </c>
      <c r="X305" s="29">
        <f t="shared" si="93"/>
        <v>20388.675402595105</v>
      </c>
      <c r="Y305">
        <f t="shared" si="94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allocations'!$A$1:$L$317,5,FALSE)</f>
        <v>13581.4815205126</v>
      </c>
      <c r="E306" s="31">
        <f>VLOOKUP(B306,'Initial adjusted formula count'!$A$1:$P$317,12,FALSE)</f>
        <v>0.12831858407079599</v>
      </c>
      <c r="F306">
        <f>VLOOKUP(B306,'Model allocations'!$A$1:$L$317,10,FALSE)</f>
        <v>12161.359123005754</v>
      </c>
      <c r="G306" s="30">
        <f t="shared" si="83"/>
        <v>0.85</v>
      </c>
      <c r="H306">
        <f t="shared" si="84"/>
        <v>11544.259292435709</v>
      </c>
      <c r="I306">
        <f t="shared" si="76"/>
        <v>0</v>
      </c>
      <c r="J306">
        <f t="shared" si="77"/>
        <v>12161.359123005754</v>
      </c>
      <c r="K306">
        <f t="shared" si="78"/>
        <v>12154.423193353703</v>
      </c>
      <c r="L306">
        <f t="shared" si="85"/>
        <v>12154.423193353703</v>
      </c>
      <c r="M306">
        <f t="shared" si="79"/>
        <v>0</v>
      </c>
      <c r="N306" s="29">
        <f t="shared" si="86"/>
        <v>12154.423193353703</v>
      </c>
      <c r="O306" s="29">
        <f t="shared" si="80"/>
        <v>12153.596723262055</v>
      </c>
      <c r="P306" s="29">
        <f t="shared" si="87"/>
        <v>12153.596723262055</v>
      </c>
      <c r="Q306">
        <f t="shared" si="88"/>
        <v>0</v>
      </c>
      <c r="R306" s="29">
        <f t="shared" si="89"/>
        <v>12153.596723262055</v>
      </c>
      <c r="S306" s="29">
        <f t="shared" si="81"/>
        <v>12153.596723262059</v>
      </c>
      <c r="T306" s="29">
        <f t="shared" si="90"/>
        <v>12153.596723262059</v>
      </c>
      <c r="U306">
        <f t="shared" si="91"/>
        <v>0</v>
      </c>
      <c r="V306" s="29">
        <f t="shared" si="92"/>
        <v>12153.596723262059</v>
      </c>
      <c r="W306" s="29">
        <f t="shared" si="82"/>
        <v>12153.596723262059</v>
      </c>
      <c r="X306" s="29">
        <f t="shared" si="93"/>
        <v>12153.596723262059</v>
      </c>
      <c r="Y306">
        <f t="shared" si="94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allocations'!$A$1:$L$317,5,FALSE)</f>
        <v>23242.358577955023</v>
      </c>
      <c r="E307" s="31">
        <f>VLOOKUP(B307,'Initial adjusted formula count'!$A$1:$P$317,12,FALSE)</f>
        <v>8.4639498432601906E-2</v>
      </c>
      <c r="F307">
        <f>VLOOKUP(B307,'Model allocations'!$A$1:$L$317,10,FALSE)</f>
        <v>19756.00479126177</v>
      </c>
      <c r="G307" s="30">
        <f t="shared" si="83"/>
        <v>0.85</v>
      </c>
      <c r="H307">
        <f t="shared" si="84"/>
        <v>19756.00479126177</v>
      </c>
      <c r="I307">
        <f t="shared" si="76"/>
        <v>0</v>
      </c>
      <c r="J307">
        <f t="shared" si="77"/>
        <v>19756.00479126177</v>
      </c>
      <c r="K307">
        <f t="shared" si="78"/>
        <v>19744.737443751361</v>
      </c>
      <c r="L307">
        <f t="shared" si="85"/>
        <v>19744.737443751361</v>
      </c>
      <c r="M307">
        <f t="shared" si="79"/>
        <v>19756.00479126177</v>
      </c>
      <c r="N307" s="29">
        <f t="shared" si="86"/>
        <v>0</v>
      </c>
      <c r="O307" s="29">
        <f t="shared" si="80"/>
        <v>0</v>
      </c>
      <c r="P307" s="29">
        <f t="shared" si="87"/>
        <v>19756.00479126177</v>
      </c>
      <c r="Q307">
        <f t="shared" si="88"/>
        <v>0</v>
      </c>
      <c r="R307" s="29">
        <f t="shared" si="89"/>
        <v>0</v>
      </c>
      <c r="S307" s="29">
        <f t="shared" si="81"/>
        <v>0</v>
      </c>
      <c r="T307" s="29">
        <f t="shared" si="90"/>
        <v>19756.00479126177</v>
      </c>
      <c r="U307">
        <f t="shared" si="91"/>
        <v>0</v>
      </c>
      <c r="V307" s="29">
        <f t="shared" si="92"/>
        <v>0</v>
      </c>
      <c r="W307" s="29">
        <f t="shared" si="82"/>
        <v>0</v>
      </c>
      <c r="X307" s="29">
        <f t="shared" si="93"/>
        <v>19756.00479126177</v>
      </c>
      <c r="Y307">
        <f t="shared" si="94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allocations'!$A$1:$L$317,5,FALSE)</f>
        <v>6173.4006911420902</v>
      </c>
      <c r="E308" s="31">
        <f>VLOOKUP(B308,'Initial adjusted formula count'!$A$1:$P$317,12,FALSE)</f>
        <v>0.14285714285714299</v>
      </c>
      <c r="F308">
        <f>VLOOKUP(B308,'Model allocations'!$A$1:$L$317,10,FALSE)</f>
        <v>6709.7153782100695</v>
      </c>
      <c r="G308" s="30">
        <f t="shared" si="83"/>
        <v>0.85</v>
      </c>
      <c r="H308">
        <f t="shared" si="84"/>
        <v>5247.3905874707762</v>
      </c>
      <c r="I308">
        <f t="shared" si="76"/>
        <v>0</v>
      </c>
      <c r="J308">
        <f t="shared" si="77"/>
        <v>6709.7153782100695</v>
      </c>
      <c r="K308">
        <f t="shared" si="78"/>
        <v>6705.8886584020402</v>
      </c>
      <c r="L308">
        <f t="shared" si="85"/>
        <v>6705.8886584020402</v>
      </c>
      <c r="M308">
        <f t="shared" si="79"/>
        <v>0</v>
      </c>
      <c r="N308" s="29">
        <f t="shared" si="86"/>
        <v>6705.8886584020402</v>
      </c>
      <c r="O308" s="29">
        <f t="shared" si="80"/>
        <v>6705.4326749031998</v>
      </c>
      <c r="P308" s="29">
        <f t="shared" si="87"/>
        <v>6705.4326749031998</v>
      </c>
      <c r="Q308">
        <f t="shared" si="88"/>
        <v>0</v>
      </c>
      <c r="R308" s="29">
        <f t="shared" si="89"/>
        <v>6705.4326749031998</v>
      </c>
      <c r="S308" s="29">
        <f t="shared" si="81"/>
        <v>6705.4326749032025</v>
      </c>
      <c r="T308" s="29">
        <f t="shared" si="90"/>
        <v>6705.4326749032025</v>
      </c>
      <c r="U308">
        <f t="shared" si="91"/>
        <v>0</v>
      </c>
      <c r="V308" s="29">
        <f t="shared" si="92"/>
        <v>6705.4326749032025</v>
      </c>
      <c r="W308" s="29">
        <f t="shared" si="82"/>
        <v>6705.4326749032025</v>
      </c>
      <c r="X308" s="29">
        <f t="shared" si="93"/>
        <v>6705.4326749032025</v>
      </c>
      <c r="Y308">
        <f t="shared" si="94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allocations'!$A$1:$L$317,5,FALSE)</f>
        <v>42390.684745842365</v>
      </c>
      <c r="E309" s="31">
        <f>VLOOKUP(B309,'Initial adjusted formula count'!$A$1:$P$317,12,FALSE)</f>
        <v>0.118004866180049</v>
      </c>
      <c r="F309">
        <f>VLOOKUP(B309,'Model allocations'!$A$1:$L$317,10,FALSE)</f>
        <v>40677.649480398548</v>
      </c>
      <c r="G309" s="30">
        <f t="shared" si="83"/>
        <v>0.85</v>
      </c>
      <c r="H309">
        <f t="shared" si="84"/>
        <v>36032.082033966013</v>
      </c>
      <c r="I309">
        <f t="shared" si="76"/>
        <v>0</v>
      </c>
      <c r="J309">
        <f t="shared" si="77"/>
        <v>40677.649480398548</v>
      </c>
      <c r="K309">
        <f t="shared" si="78"/>
        <v>40654.449991562375</v>
      </c>
      <c r="L309">
        <f t="shared" si="85"/>
        <v>40654.449991562375</v>
      </c>
      <c r="M309">
        <f t="shared" si="79"/>
        <v>0</v>
      </c>
      <c r="N309" s="29">
        <f t="shared" si="86"/>
        <v>40654.449991562375</v>
      </c>
      <c r="O309" s="29">
        <f t="shared" si="80"/>
        <v>40651.685591600653</v>
      </c>
      <c r="P309" s="29">
        <f t="shared" si="87"/>
        <v>40651.685591600653</v>
      </c>
      <c r="Q309">
        <f t="shared" si="88"/>
        <v>0</v>
      </c>
      <c r="R309" s="29">
        <f t="shared" si="89"/>
        <v>40651.685591600653</v>
      </c>
      <c r="S309" s="29">
        <f t="shared" si="81"/>
        <v>40651.685591600668</v>
      </c>
      <c r="T309" s="29">
        <f t="shared" si="90"/>
        <v>40651.685591600668</v>
      </c>
      <c r="U309">
        <f t="shared" si="91"/>
        <v>0</v>
      </c>
      <c r="V309" s="29">
        <f t="shared" si="92"/>
        <v>40651.685591600668</v>
      </c>
      <c r="W309" s="29">
        <f t="shared" si="82"/>
        <v>40651.685591600668</v>
      </c>
      <c r="X309" s="29">
        <f t="shared" si="93"/>
        <v>40651.685591600668</v>
      </c>
      <c r="Y309">
        <f t="shared" si="94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allocations'!$A$1:$L$317,5,FALSE)</f>
        <v>8642.7609675989261</v>
      </c>
      <c r="E310" s="31">
        <f>VLOOKUP(B310,'Initial adjusted formula count'!$A$1:$P$317,12,FALSE)</f>
        <v>0.19047619047618999</v>
      </c>
      <c r="F310">
        <f>VLOOKUP(B310,'Model allocations'!$A$1:$L$317,10,FALSE)</f>
        <v>13345.225497909249</v>
      </c>
      <c r="G310" s="30">
        <f t="shared" si="83"/>
        <v>0.9</v>
      </c>
      <c r="H310">
        <f t="shared" si="84"/>
        <v>7778.4848708390336</v>
      </c>
      <c r="I310">
        <f t="shared" si="76"/>
        <v>0</v>
      </c>
      <c r="J310">
        <f t="shared" si="77"/>
        <v>13345.225497909249</v>
      </c>
      <c r="K310">
        <f t="shared" si="78"/>
        <v>13337.614379422568</v>
      </c>
      <c r="L310">
        <f t="shared" si="85"/>
        <v>13337.614379422568</v>
      </c>
      <c r="M310">
        <f t="shared" si="79"/>
        <v>0</v>
      </c>
      <c r="N310" s="29">
        <f t="shared" si="86"/>
        <v>13337.614379422568</v>
      </c>
      <c r="O310" s="29">
        <f t="shared" si="80"/>
        <v>13336.707455317395</v>
      </c>
      <c r="P310" s="29">
        <f t="shared" si="87"/>
        <v>13336.707455317395</v>
      </c>
      <c r="Q310">
        <f t="shared" si="88"/>
        <v>0</v>
      </c>
      <c r="R310" s="29">
        <f t="shared" si="89"/>
        <v>13336.707455317395</v>
      </c>
      <c r="S310" s="29">
        <f t="shared" si="81"/>
        <v>13336.707455317401</v>
      </c>
      <c r="T310" s="29">
        <f t="shared" si="90"/>
        <v>13336.707455317401</v>
      </c>
      <c r="U310">
        <f t="shared" si="91"/>
        <v>0</v>
      </c>
      <c r="V310" s="29">
        <f t="shared" si="92"/>
        <v>13336.707455317401</v>
      </c>
      <c r="W310" s="29">
        <f t="shared" si="82"/>
        <v>13336.707455317401</v>
      </c>
      <c r="X310" s="29">
        <f t="shared" si="93"/>
        <v>13336.707455317401</v>
      </c>
      <c r="Y310">
        <f t="shared" si="94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allocations'!$A$1:$L$317,5,FALSE)</f>
        <v>12395.519802738447</v>
      </c>
      <c r="E311" s="31">
        <f>VLOOKUP(B311,'Initial adjusted formula count'!$A$1:$P$317,12,FALSE)</f>
        <v>0.70454545454545403</v>
      </c>
      <c r="F311">
        <f>VLOOKUP(B311,'Model allocations'!$A$1:$L$317,10,FALSE)</f>
        <v>37318.724026345481</v>
      </c>
      <c r="G311" s="30">
        <f t="shared" si="83"/>
        <v>0.95</v>
      </c>
      <c r="H311">
        <f t="shared" si="84"/>
        <v>11775.743812601524</v>
      </c>
      <c r="I311">
        <f t="shared" si="76"/>
        <v>0</v>
      </c>
      <c r="J311">
        <f t="shared" si="77"/>
        <v>37318.724026345481</v>
      </c>
      <c r="K311">
        <f t="shared" si="78"/>
        <v>37297.4402173622</v>
      </c>
      <c r="L311">
        <f t="shared" si="85"/>
        <v>37297.4402173622</v>
      </c>
      <c r="M311">
        <f t="shared" si="79"/>
        <v>0</v>
      </c>
      <c r="N311" s="29">
        <f t="shared" si="86"/>
        <v>37297.4402173622</v>
      </c>
      <c r="O311" s="29">
        <f t="shared" si="80"/>
        <v>37294.904085589893</v>
      </c>
      <c r="P311" s="29">
        <f t="shared" si="87"/>
        <v>37294.904085589893</v>
      </c>
      <c r="Q311">
        <f t="shared" si="88"/>
        <v>0</v>
      </c>
      <c r="R311" s="29">
        <f t="shared" si="89"/>
        <v>37294.904085589893</v>
      </c>
      <c r="S311" s="29">
        <f t="shared" si="81"/>
        <v>37294.904085589907</v>
      </c>
      <c r="T311" s="29">
        <f t="shared" si="90"/>
        <v>37294.904085589907</v>
      </c>
      <c r="U311">
        <f t="shared" si="91"/>
        <v>0</v>
      </c>
      <c r="V311" s="29">
        <f t="shared" si="92"/>
        <v>37294.904085589907</v>
      </c>
      <c r="W311" s="29">
        <f t="shared" si="82"/>
        <v>37294.904085589907</v>
      </c>
      <c r="X311" s="29">
        <f t="shared" si="93"/>
        <v>37294.904085589907</v>
      </c>
      <c r="Y311">
        <f t="shared" si="94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allocations'!$A$1:$L$317,5,FALSE)</f>
        <v>101655.33138080647</v>
      </c>
      <c r="E312" s="31">
        <f>VLOOKUP(B312,'Initial adjusted formula count'!$A$1:$P$317,12,FALSE)</f>
        <v>9.79151154132539E-2</v>
      </c>
      <c r="F312">
        <f>VLOOKUP(B312,'Model allocations'!$A$1:$L$317,10,FALSE)</f>
        <v>110290.94652932802</v>
      </c>
      <c r="G312" s="30">
        <f t="shared" si="83"/>
        <v>0.85</v>
      </c>
      <c r="H312">
        <f t="shared" si="84"/>
        <v>86407.031673685502</v>
      </c>
      <c r="I312">
        <f t="shared" si="76"/>
        <v>0</v>
      </c>
      <c r="J312">
        <f t="shared" si="77"/>
        <v>110290.94652932802</v>
      </c>
      <c r="K312">
        <f t="shared" si="78"/>
        <v>110228.04482248354</v>
      </c>
      <c r="L312">
        <f t="shared" si="85"/>
        <v>110228.04482248354</v>
      </c>
      <c r="M312">
        <f t="shared" si="79"/>
        <v>0</v>
      </c>
      <c r="N312" s="29">
        <f t="shared" si="86"/>
        <v>110228.04482248354</v>
      </c>
      <c r="O312" s="29">
        <f t="shared" si="80"/>
        <v>110220.54959372136</v>
      </c>
      <c r="P312" s="29">
        <f t="shared" si="87"/>
        <v>110220.54959372136</v>
      </c>
      <c r="Q312">
        <f t="shared" si="88"/>
        <v>0</v>
      </c>
      <c r="R312" s="29">
        <f t="shared" si="89"/>
        <v>110220.54959372136</v>
      </c>
      <c r="S312" s="29">
        <f t="shared" si="81"/>
        <v>110220.5495937214</v>
      </c>
      <c r="T312" s="29">
        <f t="shared" si="90"/>
        <v>110220.5495937214</v>
      </c>
      <c r="U312">
        <f t="shared" si="91"/>
        <v>0</v>
      </c>
      <c r="V312" s="29">
        <f t="shared" si="92"/>
        <v>110220.5495937214</v>
      </c>
      <c r="W312" s="29">
        <f t="shared" si="82"/>
        <v>110220.5495937214</v>
      </c>
      <c r="X312" s="29">
        <f t="shared" si="93"/>
        <v>110220.5495937214</v>
      </c>
      <c r="Y312">
        <f t="shared" si="94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allocations'!$A$1:$L$317,5,FALSE)</f>
        <v>2921047.4270254001</v>
      </c>
      <c r="E313" s="31">
        <f>VLOOKUP(B313,'Initial adjusted formula count'!$A$1:$P$317,12,FALSE)</f>
        <v>0.26801815431164899</v>
      </c>
      <c r="F313">
        <f>VLOOKUP(B313,'Model allocations'!$A$1:$L$317,10,FALSE)</f>
        <v>3095485.2540161018</v>
      </c>
      <c r="G313" s="30">
        <f t="shared" si="83"/>
        <v>0.9</v>
      </c>
      <c r="H313">
        <f t="shared" si="84"/>
        <v>2628942.6843228601</v>
      </c>
      <c r="I313">
        <f t="shared" si="76"/>
        <v>0</v>
      </c>
      <c r="J313">
        <f t="shared" si="77"/>
        <v>3095485.2540161018</v>
      </c>
      <c r="K313">
        <f t="shared" si="78"/>
        <v>3093719.8207496665</v>
      </c>
      <c r="L313">
        <f t="shared" si="85"/>
        <v>3093719.8207496665</v>
      </c>
      <c r="M313">
        <f t="shared" si="79"/>
        <v>0</v>
      </c>
      <c r="N313" s="29">
        <f t="shared" si="86"/>
        <v>3093719.8207496665</v>
      </c>
      <c r="O313" s="29">
        <f t="shared" si="80"/>
        <v>3093509.4556123735</v>
      </c>
      <c r="P313" s="29">
        <f t="shared" si="87"/>
        <v>3093509.4556123735</v>
      </c>
      <c r="Q313">
        <f t="shared" si="88"/>
        <v>0</v>
      </c>
      <c r="R313" s="29">
        <f t="shared" si="89"/>
        <v>3093509.4556123735</v>
      </c>
      <c r="S313" s="29">
        <f t="shared" si="81"/>
        <v>3093509.4556123745</v>
      </c>
      <c r="T313" s="29">
        <f t="shared" si="90"/>
        <v>3093509.4556123745</v>
      </c>
      <c r="U313">
        <f t="shared" si="91"/>
        <v>0</v>
      </c>
      <c r="V313" s="29">
        <f t="shared" si="92"/>
        <v>3093509.4556123745</v>
      </c>
      <c r="W313" s="29">
        <f t="shared" si="82"/>
        <v>3093509.4556123745</v>
      </c>
      <c r="X313" s="29">
        <f t="shared" si="93"/>
        <v>3093509.4556123745</v>
      </c>
      <c r="Y313">
        <f t="shared" si="94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allocations'!$A$1:$L$317,5,FALSE)</f>
        <v>256704.33681447321</v>
      </c>
      <c r="E314" s="31">
        <f>VLOOKUP(B314,'Initial adjusted formula count'!$A$1:$P$317,12,FALSE)</f>
        <v>8.3779238648524698E-2</v>
      </c>
      <c r="F314">
        <f>VLOOKUP(B314,'Model allocations'!$A$1:$L$317,10,FALSE)</f>
        <v>229807.7517036949</v>
      </c>
      <c r="G314" s="30">
        <f t="shared" si="83"/>
        <v>0.85</v>
      </c>
      <c r="H314">
        <f t="shared" si="84"/>
        <v>218198.68629230221</v>
      </c>
      <c r="I314">
        <f t="shared" si="76"/>
        <v>0</v>
      </c>
      <c r="J314">
        <f t="shared" si="77"/>
        <v>229807.7517036949</v>
      </c>
      <c r="K314">
        <f t="shared" si="78"/>
        <v>229676.68655026992</v>
      </c>
      <c r="L314">
        <f t="shared" si="85"/>
        <v>229676.68655026992</v>
      </c>
      <c r="M314">
        <f t="shared" si="79"/>
        <v>0</v>
      </c>
      <c r="N314" s="29">
        <f t="shared" si="86"/>
        <v>229676.68655026992</v>
      </c>
      <c r="O314" s="29">
        <f t="shared" si="80"/>
        <v>229661.06911543463</v>
      </c>
      <c r="P314" s="29">
        <f t="shared" si="87"/>
        <v>229661.06911543463</v>
      </c>
      <c r="Q314">
        <f t="shared" si="88"/>
        <v>0</v>
      </c>
      <c r="R314" s="29">
        <f t="shared" si="89"/>
        <v>229661.06911543463</v>
      </c>
      <c r="S314" s="29">
        <f t="shared" si="81"/>
        <v>229661.06911543469</v>
      </c>
      <c r="T314" s="29">
        <f t="shared" si="90"/>
        <v>229661.06911543469</v>
      </c>
      <c r="U314">
        <f t="shared" si="91"/>
        <v>0</v>
      </c>
      <c r="V314" s="29">
        <f t="shared" si="92"/>
        <v>229661.06911543469</v>
      </c>
      <c r="W314" s="29">
        <f t="shared" si="82"/>
        <v>229661.06911543469</v>
      </c>
      <c r="X314" s="29">
        <f t="shared" si="93"/>
        <v>229661.06911543469</v>
      </c>
      <c r="Y314">
        <f t="shared" si="94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allocations'!$A$1:$L$317,5,FALSE)</f>
        <v>57416.314606098022</v>
      </c>
      <c r="E315" s="31">
        <f>VLOOKUP(B315,'Initial adjusted formula count'!$A$1:$P$317,12,FALSE)</f>
        <v>0.124688279301746</v>
      </c>
      <c r="F315">
        <f>VLOOKUP(B315,'Model allocations'!$A$1:$L$317,10,FALSE)</f>
        <v>62903.581670719403</v>
      </c>
      <c r="G315" s="30">
        <f t="shared" si="83"/>
        <v>0.85</v>
      </c>
      <c r="H315">
        <f t="shared" si="84"/>
        <v>48803.867415183318</v>
      </c>
      <c r="I315">
        <f t="shared" si="76"/>
        <v>0</v>
      </c>
      <c r="J315">
        <f t="shared" si="77"/>
        <v>62903.581670719403</v>
      </c>
      <c r="K315">
        <f t="shared" si="78"/>
        <v>62867.706172519138</v>
      </c>
      <c r="L315">
        <f t="shared" si="85"/>
        <v>62867.706172519138</v>
      </c>
      <c r="M315">
        <f t="shared" si="79"/>
        <v>0</v>
      </c>
      <c r="N315" s="29">
        <f t="shared" si="86"/>
        <v>62867.706172519138</v>
      </c>
      <c r="O315" s="29">
        <f t="shared" si="80"/>
        <v>62863.431327217506</v>
      </c>
      <c r="P315" s="29">
        <f t="shared" si="87"/>
        <v>62863.431327217506</v>
      </c>
      <c r="Q315">
        <f t="shared" si="88"/>
        <v>0</v>
      </c>
      <c r="R315" s="29">
        <f t="shared" si="89"/>
        <v>62863.431327217506</v>
      </c>
      <c r="S315" s="29">
        <f t="shared" si="81"/>
        <v>62863.431327217528</v>
      </c>
      <c r="T315" s="29">
        <f t="shared" si="90"/>
        <v>62863.431327217528</v>
      </c>
      <c r="U315">
        <f t="shared" si="91"/>
        <v>0</v>
      </c>
      <c r="V315" s="29">
        <f t="shared" si="92"/>
        <v>62863.431327217528</v>
      </c>
      <c r="W315" s="29">
        <f t="shared" si="82"/>
        <v>62863.431327217528</v>
      </c>
      <c r="X315" s="29">
        <f t="shared" si="93"/>
        <v>62863.431327217528</v>
      </c>
      <c r="Y315">
        <f t="shared" si="94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allocations'!$A$1:$L$317,5,FALSE)</f>
        <v>412754.15017507272</v>
      </c>
      <c r="E316" s="31">
        <f>VLOOKUP(B316,'Initial adjusted formula count'!$A$1:$P$317,12,FALSE)</f>
        <v>1</v>
      </c>
      <c r="F316">
        <f>VLOOKUP(B316,'Model allocations'!$A$1:$L$317,10,FALSE)</f>
        <v>392116.44266631908</v>
      </c>
      <c r="G316" s="30">
        <f t="shared" si="83"/>
        <v>0.95</v>
      </c>
      <c r="H316">
        <f t="shared" si="84"/>
        <v>392116.44266631908</v>
      </c>
      <c r="I316">
        <f t="shared" si="76"/>
        <v>0</v>
      </c>
      <c r="J316">
        <f t="shared" si="77"/>
        <v>392116.44266631908</v>
      </c>
      <c r="K316">
        <f t="shared" si="78"/>
        <v>391892.80877521873</v>
      </c>
      <c r="L316">
        <f t="shared" si="85"/>
        <v>391892.80877521873</v>
      </c>
      <c r="M316">
        <f t="shared" si="79"/>
        <v>392116.44266631908</v>
      </c>
      <c r="N316" s="29">
        <f t="shared" si="86"/>
        <v>0</v>
      </c>
      <c r="O316" s="29">
        <f t="shared" si="80"/>
        <v>0</v>
      </c>
      <c r="P316" s="29">
        <f t="shared" si="87"/>
        <v>392116.44266631908</v>
      </c>
      <c r="Q316">
        <f t="shared" si="88"/>
        <v>0</v>
      </c>
      <c r="R316" s="29">
        <f t="shared" si="89"/>
        <v>0</v>
      </c>
      <c r="S316" s="29">
        <f t="shared" si="81"/>
        <v>0</v>
      </c>
      <c r="T316" s="29">
        <f t="shared" si="90"/>
        <v>392116.44266631908</v>
      </c>
      <c r="U316">
        <f t="shared" si="91"/>
        <v>0</v>
      </c>
      <c r="V316" s="29">
        <f t="shared" si="92"/>
        <v>0</v>
      </c>
      <c r="W316" s="29">
        <f t="shared" si="82"/>
        <v>0</v>
      </c>
      <c r="X316" s="29">
        <f t="shared" si="93"/>
        <v>392116.44266631908</v>
      </c>
      <c r="Y316">
        <f t="shared" si="94"/>
        <v>0</v>
      </c>
    </row>
    <row r="317" spans="1:25" x14ac:dyDescent="0.25">
      <c r="A317" t="s">
        <v>1429</v>
      </c>
      <c r="B317" t="s">
        <v>1421</v>
      </c>
      <c r="C317" t="s">
        <v>1422</v>
      </c>
      <c r="D317">
        <f>VLOOKUP(B317,'Model allocations'!$A$1:$L$317,5,FALSE)</f>
        <v>34788.209981572094</v>
      </c>
      <c r="E317" s="31">
        <f>VLOOKUP(B317,'Initial adjusted formula count'!$A$1:$P$317,12,FALSE)</f>
        <v>0.176337460229611</v>
      </c>
      <c r="F317">
        <f>VLOOKUP(B317,'Model allocations'!$A$1:$L$317,10,FALSE)</f>
        <v>35982.879532428524</v>
      </c>
      <c r="G317" s="30">
        <f t="shared" ref="G317:G318" si="95">IF(E317&lt;0.15,0.85,IF(AND(E317&gt;=0.15,E317&lt;0.3),0.9,0.95))</f>
        <v>0.9</v>
      </c>
      <c r="H317">
        <f t="shared" ref="H317:H318" si="96">IF(F317 = 0, 0, D317*G317)</f>
        <v>31309.388983414887</v>
      </c>
      <c r="I317">
        <f t="shared" ref="I317:I318" si="97">IF(F317&lt;H317,H317,0)</f>
        <v>0</v>
      </c>
      <c r="J317">
        <f t="shared" ref="J317:J318" si="98">IF(I317=0,F317,0)</f>
        <v>35982.879532428524</v>
      </c>
      <c r="K317">
        <f t="shared" ref="K317:K318" si="99">(J317/$J$3)*($F$3-$I$3)</f>
        <v>35962.357589231971</v>
      </c>
      <c r="L317">
        <f t="shared" ref="L317:L318" si="100">I317+K317</f>
        <v>35962.357589231971</v>
      </c>
      <c r="M317">
        <f t="shared" ref="M317:M318" si="101">IF(L317&lt;H317,H317,0)</f>
        <v>0</v>
      </c>
      <c r="N317" s="29">
        <f t="shared" ref="N317:N318" si="102">IF($I317+$M317=0,L317,0)</f>
        <v>35962.357589231971</v>
      </c>
      <c r="O317" s="29">
        <f t="shared" ref="O317:O318" si="103">((N317/$N$3)*($F$3-$I$3-$M$3))</f>
        <v>35959.912239707781</v>
      </c>
      <c r="P317" s="29">
        <f t="shared" ref="P317:P318" si="104">$I317+$M317+O317</f>
        <v>35959.912239707781</v>
      </c>
      <c r="Q317">
        <f t="shared" ref="Q317:Q318" si="105">IF(P317&lt;H317,H317,0)</f>
        <v>0</v>
      </c>
      <c r="R317" s="29">
        <f t="shared" ref="R317:R318" si="106">IF($I317+$M317+$Q317=0,P317,0)</f>
        <v>35959.912239707781</v>
      </c>
      <c r="S317" s="29">
        <f t="shared" ref="S317:S318" si="107">((R317/$R$3)*($F$3-$I$3-$M$3-$Q$3))</f>
        <v>35959.912239707788</v>
      </c>
      <c r="T317" s="29">
        <f t="shared" ref="T317:T318" si="108">$I317+$M317+$Q317+S317</f>
        <v>35959.912239707788</v>
      </c>
      <c r="U317">
        <f t="shared" ref="U317:U318" si="109">IF(T317&lt;H317,H317,0)</f>
        <v>0</v>
      </c>
      <c r="V317" s="29">
        <f t="shared" ref="V317:V318" si="110">IF($I317+$M317+$Q317+U317=0,T317,0)</f>
        <v>35959.912239707788</v>
      </c>
      <c r="W317" s="29">
        <f t="shared" ref="W317:W318" si="111">((V317/$V$3)*($F$3-$I$3-$M$3-$Q$3-$U$3))</f>
        <v>35959.912239707788</v>
      </c>
      <c r="X317" s="29">
        <f t="shared" ref="X317:X318" si="112">$I317+$M317+$Q317+$U317+W317</f>
        <v>35959.912239707788</v>
      </c>
      <c r="Y317">
        <f t="shared" ref="Y317:Y318" si="113">IF(X317&lt;H317,H317,0)</f>
        <v>0</v>
      </c>
    </row>
    <row r="318" spans="1:25" x14ac:dyDescent="0.25">
      <c r="A318" t="s">
        <v>1430</v>
      </c>
      <c r="B318" t="s">
        <v>1423</v>
      </c>
      <c r="C318" t="s">
        <v>1424</v>
      </c>
      <c r="D318">
        <f>VLOOKUP(B318,'Model allocations'!$A$1:$L$317,5,FALSE)</f>
        <v>10486.544631470559</v>
      </c>
      <c r="E318" s="31">
        <f>VLOOKUP(B318,'Initial adjusted formula count'!$A$1:$P$317,12,FALSE)</f>
        <v>0.14068098658834399</v>
      </c>
      <c r="F318">
        <f>VLOOKUP(B318,'Model allocations'!$A$1:$L$317,10,FALSE)</f>
        <v>10209.422112319928</v>
      </c>
      <c r="G318" s="30">
        <f t="shared" si="95"/>
        <v>0.85</v>
      </c>
      <c r="H318">
        <f t="shared" si="96"/>
        <v>8913.5629367499751</v>
      </c>
      <c r="I318">
        <f t="shared" si="97"/>
        <v>0</v>
      </c>
      <c r="J318">
        <f t="shared" si="98"/>
        <v>10209.422112319928</v>
      </c>
      <c r="K318">
        <f t="shared" si="99"/>
        <v>10203.599421546392</v>
      </c>
      <c r="L318">
        <f t="shared" si="100"/>
        <v>10203.599421546392</v>
      </c>
      <c r="M318">
        <f t="shared" si="101"/>
        <v>0</v>
      </c>
      <c r="N318" s="29">
        <f t="shared" si="102"/>
        <v>10203.599421546392</v>
      </c>
      <c r="O318" s="29">
        <f t="shared" si="103"/>
        <v>10202.905602546107</v>
      </c>
      <c r="P318" s="29">
        <f t="shared" si="104"/>
        <v>10202.905602546107</v>
      </c>
      <c r="Q318">
        <f t="shared" si="105"/>
        <v>0</v>
      </c>
      <c r="R318" s="29">
        <f t="shared" si="106"/>
        <v>10202.905602546107</v>
      </c>
      <c r="S318" s="29">
        <f t="shared" si="107"/>
        <v>10202.90560254611</v>
      </c>
      <c r="T318" s="29">
        <f t="shared" si="108"/>
        <v>10202.90560254611</v>
      </c>
      <c r="U318">
        <f t="shared" si="109"/>
        <v>0</v>
      </c>
      <c r="V318" s="29">
        <f t="shared" si="110"/>
        <v>10202.90560254611</v>
      </c>
      <c r="W318" s="29">
        <f t="shared" si="111"/>
        <v>10202.90560254611</v>
      </c>
      <c r="X318" s="29">
        <f t="shared" si="112"/>
        <v>10202.90560254611</v>
      </c>
      <c r="Y318">
        <f t="shared" si="113"/>
        <v>0</v>
      </c>
    </row>
    <row r="323" spans="7:7" x14ac:dyDescent="0.25">
      <c r="G323" s="30"/>
    </row>
    <row r="324" spans="7:7" x14ac:dyDescent="0.25">
      <c r="G324" s="30"/>
    </row>
    <row r="325" spans="7:7" x14ac:dyDescent="0.25">
      <c r="G325" s="30"/>
    </row>
    <row r="326" spans="7:7" x14ac:dyDescent="0.25">
      <c r="G326" s="30"/>
    </row>
  </sheetData>
  <sheetProtection algorithmName="SHA-512" hashValue="exZ/K+UawDA7exEnslswz2Ijej/aYLFgTx3/GtnWA6ZqVbmOyAd7axR5ez8N00bj+qBcl8jmsoYcYUzsfxvmlQ==" saltValue="ZGYX8JX3TB7teRQHJUMhSQ==" spinCount="100000" sheet="1" objects="1" scenarios="1"/>
  <autoFilter ref="A3:Y316" xr:uid="{E4CCECE1-CFB0-4124-B246-34444E47CF8A}"/>
  <conditionalFormatting sqref="B1:B316">
    <cfRule type="duplicateValues" dxfId="1" priority="13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06B-0783-4864-A67B-A0D4F556461E}">
  <dimension ref="A1:Z318"/>
  <sheetViews>
    <sheetView topLeftCell="A233" workbookViewId="0">
      <selection activeCell="A264" sqref="A264:XFD264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22.42578125" customWidth="1"/>
    <col min="7" max="7" width="12.85546875" customWidth="1"/>
    <col min="8" max="8" width="13.57031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3.57031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3.5703125" bestFit="1" customWidth="1"/>
    <col min="20" max="20" width="12.7109375" customWidth="1"/>
    <col min="22" max="22" width="13.85546875" customWidth="1"/>
    <col min="23" max="23" width="11.85546875" customWidth="1"/>
    <col min="24" max="24" width="13.28515625" customWidth="1"/>
    <col min="25" max="25" width="7.85546875" customWidth="1"/>
    <col min="26" max="26" width="10.140625" customWidth="1"/>
  </cols>
  <sheetData>
    <row r="1" spans="1:26" x14ac:dyDescent="0.25">
      <c r="A1" s="1"/>
      <c r="B1" s="5"/>
      <c r="C1" s="4"/>
      <c r="F1" s="79" t="str">
        <f>IF($F$3=SUM(Model_allocations[EFIG Allocation]), "Good", "Check district list")</f>
        <v>Good</v>
      </c>
      <c r="Y1" t="str" cm="1">
        <f t="array" ref="Y1">Assumptions[EFIG GRANTS]</f>
        <v>102683197</v>
      </c>
      <c r="Z1" s="46">
        <f>X3-Y1</f>
        <v>-17340.161377996206</v>
      </c>
    </row>
    <row r="2" spans="1:26" ht="76.5" x14ac:dyDescent="0.25">
      <c r="A2" s="1" t="s">
        <v>0</v>
      </c>
      <c r="B2" s="5" t="s">
        <v>4</v>
      </c>
      <c r="C2" s="3" t="s">
        <v>1279</v>
      </c>
      <c r="D2" s="33" t="s">
        <v>1378</v>
      </c>
      <c r="E2" s="36" t="s">
        <v>1296</v>
      </c>
      <c r="F2" s="33" t="s">
        <v>1295</v>
      </c>
      <c r="G2" s="35" t="s">
        <v>654</v>
      </c>
      <c r="H2" s="34" t="s">
        <v>1294</v>
      </c>
      <c r="I2" s="34" t="s">
        <v>1368</v>
      </c>
      <c r="J2" s="34" t="s">
        <v>1369</v>
      </c>
      <c r="K2" s="34" t="s">
        <v>1370</v>
      </c>
      <c r="L2" s="34" t="s">
        <v>1371</v>
      </c>
      <c r="M2" s="32" t="s">
        <v>1293</v>
      </c>
      <c r="N2" s="34" t="s">
        <v>1369</v>
      </c>
      <c r="O2" s="32" t="s">
        <v>1370</v>
      </c>
      <c r="P2" s="32" t="s">
        <v>1371</v>
      </c>
      <c r="Q2" s="32" t="s">
        <v>1372</v>
      </c>
      <c r="R2" s="32" t="s">
        <v>1369</v>
      </c>
      <c r="S2" s="32" t="s">
        <v>1370</v>
      </c>
      <c r="T2" s="32" t="s">
        <v>1371</v>
      </c>
      <c r="U2" s="32" t="s">
        <v>1373</v>
      </c>
      <c r="V2" s="32" t="s">
        <v>1369</v>
      </c>
      <c r="W2" s="32" t="s">
        <v>1370</v>
      </c>
      <c r="X2" s="32" t="s">
        <v>1371</v>
      </c>
      <c r="Y2" s="32" t="s">
        <v>1374</v>
      </c>
      <c r="Z2" s="32"/>
    </row>
    <row r="3" spans="1:26" x14ac:dyDescent="0.25">
      <c r="A3" s="1"/>
      <c r="B3" s="5"/>
      <c r="C3" s="6"/>
      <c r="D3" s="33">
        <f>SUM(D4:D318)</f>
        <v>99905636.421834424</v>
      </c>
      <c r="E3" s="33"/>
      <c r="F3" s="78" cm="1">
        <f t="array" ref="F3">SUM(IF(ISERROR($F$4:$F$318),"",$F$4:$F$318))</f>
        <v>102665856.838622</v>
      </c>
      <c r="G3" s="33"/>
      <c r="H3" s="33" cm="1">
        <f t="array" ref="H3">SUM(IF(ISERROR($H$4:$H$318),"",$H$4:$H$318))</f>
        <v>86454775.140867323</v>
      </c>
      <c r="I3" s="33" cm="1">
        <f t="array" ref="I3">SUM(IF(ISERROR($I$4:$I$318),"",$I$4:$I$318))</f>
        <v>1918174.7428661846</v>
      </c>
      <c r="J3" s="33" cm="1">
        <f t="array" ref="J3">SUM(IF(ISERROR($J$4:$J$318),"",$J$4:$J$318))</f>
        <v>100806479.40641363</v>
      </c>
      <c r="K3" s="33" cm="1">
        <f t="array" ref="K3">SUM(IF(ISERROR($K$4:$K$318),"",$K$4:$K$318))</f>
        <v>100747682.09575588</v>
      </c>
      <c r="L3" s="33" cm="1">
        <f t="array" ref="L3">SUM(IF(ISERROR($L$4:$L$318),0,$L$4:$L$318))</f>
        <v>102665856.83862203</v>
      </c>
      <c r="M3" s="33" cm="1">
        <f t="array" ref="M3">SUM(IF(ISERROR($M$4:$M$318),0,$M$4:$M$318))</f>
        <v>11803044.798699809</v>
      </c>
      <c r="N3" s="33" cm="1">
        <f t="array" ref="N3">SUM(IF(ISERROR($N$4:$N$318),0,$N$4:$N$318))</f>
        <v>88951409.06661129</v>
      </c>
      <c r="O3" s="33" cm="1">
        <f t="array" ref="O3">SUM(IF(ISERROR($O$4:$O$318),0,$O$4:$O$318))</f>
        <v>88944637.297056004</v>
      </c>
      <c r="P3" s="33" cm="1">
        <f t="array" ref="P3">SUM(IF(ISERROR($P$4:$P$318),0,$P$4:$P$318))</f>
        <v>102665856.838622</v>
      </c>
      <c r="Q3" s="33" cm="1">
        <f t="array" ref="Q3">SUM(IF(ISERROR($Q$4:$Q$318),0,$Q$4:$Q$318))</f>
        <v>0</v>
      </c>
      <c r="R3" s="33" cm="1">
        <f t="array" ref="R3">SUM(IF(ISERROR($R$4:$R$318),0,$R$4:$R$318))</f>
        <v>88944637.297056004</v>
      </c>
      <c r="S3" s="33" cm="1">
        <f t="array" ref="S3">SUM(IF(ISERROR($S$4:$S$318),0,$S$4:$S$318))</f>
        <v>88944637.297056004</v>
      </c>
      <c r="T3" s="33" cm="1">
        <f t="array" ref="T3">SUM(IF(ISERROR($T$4:$T$318),0,$T$4:$T$318))</f>
        <v>102665856.838622</v>
      </c>
      <c r="U3" s="33" cm="1">
        <f t="array" ref="U3">SUM(IF(ISERROR($U$4:$U$318),0,$U$4:$U$318))</f>
        <v>0</v>
      </c>
      <c r="V3" s="33" cm="1">
        <f t="array" ref="V3">SUM(IF(ISERROR($V$4:$V$318),0,$V$4:$V$318))</f>
        <v>88944637.297056004</v>
      </c>
      <c r="W3" s="33" cm="1">
        <f t="array" ref="W3">SUM(IF(ISERROR($W$4:$W$318),0,$W$4:$W$318))</f>
        <v>88944637.297056004</v>
      </c>
      <c r="X3" s="33" cm="1">
        <f t="array" ref="X3">SUM(IF(ISERROR($X$4:$X$318),0,$X$4:$X$318))</f>
        <v>102665856.838622</v>
      </c>
      <c r="Y3" s="33" cm="1">
        <f t="array" ref="Y3">SUM(IF(ISERROR($Y$4:$Y$318),0,$Y$4:$Y$318))</f>
        <v>0</v>
      </c>
      <c r="Z3" s="32"/>
    </row>
    <row r="4" spans="1:26" x14ac:dyDescent="0.25">
      <c r="A4" s="4" t="s">
        <v>661</v>
      </c>
      <c r="B4" s="7" t="s">
        <v>309</v>
      </c>
      <c r="C4" s="2" t="s">
        <v>662</v>
      </c>
      <c r="D4">
        <f>VLOOKUP(B4,'Model allocations'!$A$1:$L$317,6,FALSE)</f>
        <v>599679.32829525613</v>
      </c>
      <c r="E4" s="31">
        <f>VLOOKUP(B4,'Initial adjusted formula count'!$A$1:$P$317,12,FALSE)</f>
        <v>0.20096783376031899</v>
      </c>
      <c r="F4">
        <f>VLOOKUP(B4,'Model allocations'!$A$1:$L$317,11,FALSE)</f>
        <v>539555.3644176051</v>
      </c>
      <c r="G4" s="30">
        <f>IF(E4&lt;0.15,0.85,IF(AND(E4&gt;=0.15,E4&lt;0.3),0.9,0.95))</f>
        <v>0.9</v>
      </c>
      <c r="H4">
        <f>IF(F4 = 0, 0, D4*G4)</f>
        <v>539711.39546573057</v>
      </c>
      <c r="I4">
        <f t="shared" ref="I4:I67" si="0">IF(F4&lt;H4,H4,0)</f>
        <v>539711.39546573057</v>
      </c>
      <c r="J4">
        <f t="shared" ref="J4:J67" si="1">IF(I4=0,F4,0)</f>
        <v>0</v>
      </c>
      <c r="K4">
        <f t="shared" ref="K4:K67" si="2">(J4/$J$3)*($F$3-$I$3)</f>
        <v>0</v>
      </c>
      <c r="L4">
        <f t="shared" ref="L4:L67" si="3">I4+K4</f>
        <v>539711.39546573057</v>
      </c>
      <c r="M4">
        <f t="shared" ref="M4:M67" si="4">IF(L4&lt;H4,H4,0)</f>
        <v>0</v>
      </c>
      <c r="N4" s="29">
        <f t="shared" ref="N4:N67" si="5">IF($I4+$M4=0,L4,0)</f>
        <v>0</v>
      </c>
      <c r="O4" s="29">
        <f t="shared" ref="O4:O67" si="6">((N4/$N$3)*($F$3-$I$3-$M$3))</f>
        <v>0</v>
      </c>
      <c r="P4" s="29">
        <f t="shared" ref="P4:P67" si="7">$I4+$M4+O4</f>
        <v>539711.39546573057</v>
      </c>
      <c r="Q4">
        <f t="shared" ref="Q4:Q67" si="8">IF(P4&lt;H4,H4,0)</f>
        <v>0</v>
      </c>
      <c r="R4" s="29">
        <f t="shared" ref="R4:R67" si="9">IF($I4+$M4+$Q4=0,P4,0)</f>
        <v>0</v>
      </c>
      <c r="S4" s="29">
        <f t="shared" ref="S4:S67" si="10">((R4/$R$3)*($F$3-$I$3-$M$3-$Q$3))</f>
        <v>0</v>
      </c>
      <c r="T4" s="29">
        <f t="shared" ref="T4:T67" si="11">$I4+$M4+$Q4+S4</f>
        <v>539711.39546573057</v>
      </c>
      <c r="U4">
        <f t="shared" ref="U4:U67" si="12">IF(T4&lt;H4,H4,0)</f>
        <v>0</v>
      </c>
      <c r="V4" s="29">
        <f t="shared" ref="V4:V67" si="13">IF($I4+$M4+$Q4+U4=0,T4,0)</f>
        <v>0</v>
      </c>
      <c r="W4" s="29">
        <f t="shared" ref="W4:W67" si="14">((V4/$V$3)*($F$3-$I$3-$M$3-$Q$3-$U$3))</f>
        <v>0</v>
      </c>
      <c r="X4" s="29">
        <f t="shared" ref="X4:X67" si="15">$I4+$M4+$Q4+$U4+W4</f>
        <v>539711.39546573057</v>
      </c>
      <c r="Y4">
        <f t="shared" ref="Y4:Y67" si="16">IF(X4&lt;H4,H4,0)</f>
        <v>0</v>
      </c>
    </row>
    <row r="5" spans="1:26" x14ac:dyDescent="0.25">
      <c r="A5" s="4" t="s">
        <v>663</v>
      </c>
      <c r="B5" s="7" t="s">
        <v>260</v>
      </c>
      <c r="C5" s="2" t="s">
        <v>664</v>
      </c>
      <c r="D5">
        <f>VLOOKUP(B5,'Model allocations'!$A$1:$L$317,6,FALSE)</f>
        <v>21496.475004290744</v>
      </c>
      <c r="E5" s="31">
        <f>VLOOKUP(B5,'Initial adjusted formula count'!$A$1:$P$317,12,FALSE)</f>
        <v>8.8235294117647106E-2</v>
      </c>
      <c r="F5">
        <f>VLOOKUP(B5,'Model allocations'!$A$1:$L$317,11,FALSE)</f>
        <v>37657.157199161673</v>
      </c>
      <c r="G5" s="30">
        <f t="shared" ref="G5:G68" si="17">IF(E5&lt;0.15,0.85,IF(AND(E5&gt;=0.15,E5&lt;0.3),0.9,0.95))</f>
        <v>0.85</v>
      </c>
      <c r="H5">
        <f t="shared" ref="H5:H68" si="18">IF(F5 = 0, 0, D5*G5)</f>
        <v>18272.003753647132</v>
      </c>
      <c r="I5">
        <f t="shared" si="0"/>
        <v>0</v>
      </c>
      <c r="J5">
        <f t="shared" si="1"/>
        <v>37657.157199161673</v>
      </c>
      <c r="K5">
        <f t="shared" si="2"/>
        <v>37635.192940679808</v>
      </c>
      <c r="L5">
        <f t="shared" si="3"/>
        <v>37635.192940679808</v>
      </c>
      <c r="M5">
        <f t="shared" si="4"/>
        <v>0</v>
      </c>
      <c r="N5" s="29">
        <f t="shared" si="5"/>
        <v>37635.192940679808</v>
      </c>
      <c r="O5" s="29">
        <f t="shared" si="6"/>
        <v>37632.327816265963</v>
      </c>
      <c r="P5" s="29">
        <f t="shared" si="7"/>
        <v>37632.327816265963</v>
      </c>
      <c r="Q5">
        <f t="shared" si="8"/>
        <v>0</v>
      </c>
      <c r="R5" s="29">
        <f t="shared" si="9"/>
        <v>37632.327816265963</v>
      </c>
      <c r="S5" s="29">
        <f t="shared" si="10"/>
        <v>37632.327816265963</v>
      </c>
      <c r="T5" s="29">
        <f t="shared" si="11"/>
        <v>37632.327816265963</v>
      </c>
      <c r="U5">
        <f t="shared" si="12"/>
        <v>0</v>
      </c>
      <c r="V5" s="29">
        <f t="shared" si="13"/>
        <v>37632.327816265963</v>
      </c>
      <c r="W5" s="29">
        <f t="shared" si="14"/>
        <v>37632.327816265963</v>
      </c>
      <c r="X5" s="29">
        <f t="shared" si="15"/>
        <v>37632.327816265963</v>
      </c>
      <c r="Y5">
        <f t="shared" si="16"/>
        <v>0</v>
      </c>
    </row>
    <row r="6" spans="1:26" x14ac:dyDescent="0.25">
      <c r="A6" s="4" t="s">
        <v>665</v>
      </c>
      <c r="B6" s="7" t="s">
        <v>262</v>
      </c>
      <c r="C6" s="2" t="s">
        <v>666</v>
      </c>
      <c r="D6">
        <f>VLOOKUP(B6,'Model allocations'!$A$1:$L$317,6,FALSE)</f>
        <v>0</v>
      </c>
      <c r="E6" s="31">
        <f>VLOOKUP(B6,'Initial adjusted formula count'!$A$1:$P$317,12,FALSE)</f>
        <v>0.18181818181818199</v>
      </c>
      <c r="F6">
        <f>VLOOKUP(B6,'Model allocations'!$A$1:$L$317,11,FALSE)</f>
        <v>11372.375889698647</v>
      </c>
      <c r="G6" s="30">
        <f t="shared" si="17"/>
        <v>0.9</v>
      </c>
      <c r="H6">
        <f t="shared" si="18"/>
        <v>0</v>
      </c>
      <c r="I6">
        <f t="shared" si="0"/>
        <v>0</v>
      </c>
      <c r="J6">
        <f t="shared" si="1"/>
        <v>11372.375889698647</v>
      </c>
      <c r="K6">
        <f t="shared" si="2"/>
        <v>11365.742733555893</v>
      </c>
      <c r="L6">
        <f t="shared" si="3"/>
        <v>11365.742733555893</v>
      </c>
      <c r="M6">
        <f t="shared" si="4"/>
        <v>0</v>
      </c>
      <c r="N6" s="29">
        <f t="shared" si="5"/>
        <v>11365.742733555893</v>
      </c>
      <c r="O6" s="29">
        <f t="shared" si="6"/>
        <v>11364.877472494558</v>
      </c>
      <c r="P6" s="29">
        <f t="shared" si="7"/>
        <v>11364.877472494558</v>
      </c>
      <c r="Q6">
        <f t="shared" si="8"/>
        <v>0</v>
      </c>
      <c r="R6" s="29">
        <f t="shared" si="9"/>
        <v>11364.877472494558</v>
      </c>
      <c r="S6" s="29">
        <f t="shared" si="10"/>
        <v>11364.877472494558</v>
      </c>
      <c r="T6" s="29">
        <f t="shared" si="11"/>
        <v>11364.877472494558</v>
      </c>
      <c r="U6">
        <f t="shared" si="12"/>
        <v>0</v>
      </c>
      <c r="V6" s="29">
        <f t="shared" si="13"/>
        <v>11364.877472494558</v>
      </c>
      <c r="W6" s="29">
        <f t="shared" si="14"/>
        <v>11364.877472494558</v>
      </c>
      <c r="X6" s="29">
        <f t="shared" si="15"/>
        <v>11364.877472494558</v>
      </c>
      <c r="Y6">
        <f t="shared" si="16"/>
        <v>0</v>
      </c>
    </row>
    <row r="7" spans="1:26" x14ac:dyDescent="0.25">
      <c r="A7" s="4" t="s">
        <v>667</v>
      </c>
      <c r="B7" s="7" t="s">
        <v>89</v>
      </c>
      <c r="C7" s="2" t="s">
        <v>668</v>
      </c>
      <c r="D7">
        <f>VLOOKUP(B7,'Model allocations'!$A$1:$L$317,6,FALSE)</f>
        <v>151041.02174067439</v>
      </c>
      <c r="E7" s="31">
        <f>VLOOKUP(B7,'Initial adjusted formula count'!$A$1:$P$317,12,FALSE)</f>
        <v>8.5037674919268003E-2</v>
      </c>
      <c r="F7">
        <f>VLOOKUP(B7,'Model allocations'!$A$1:$L$317,11,FALSE)</f>
        <v>135223.42812426237</v>
      </c>
      <c r="G7" s="30">
        <f t="shared" si="17"/>
        <v>0.85</v>
      </c>
      <c r="H7">
        <f t="shared" si="18"/>
        <v>128384.86847957323</v>
      </c>
      <c r="I7">
        <f t="shared" si="0"/>
        <v>0</v>
      </c>
      <c r="J7">
        <f t="shared" si="1"/>
        <v>135223.42812426237</v>
      </c>
      <c r="K7">
        <f t="shared" si="2"/>
        <v>135144.55646880477</v>
      </c>
      <c r="L7">
        <f t="shared" si="3"/>
        <v>135144.55646880477</v>
      </c>
      <c r="M7">
        <f t="shared" si="4"/>
        <v>0</v>
      </c>
      <c r="N7" s="29">
        <f t="shared" si="5"/>
        <v>135144.55646880477</v>
      </c>
      <c r="O7" s="29">
        <f t="shared" si="6"/>
        <v>135134.2680675005</v>
      </c>
      <c r="P7" s="29">
        <f t="shared" si="7"/>
        <v>135134.2680675005</v>
      </c>
      <c r="Q7">
        <f t="shared" si="8"/>
        <v>0</v>
      </c>
      <c r="R7" s="29">
        <f t="shared" si="9"/>
        <v>135134.2680675005</v>
      </c>
      <c r="S7" s="29">
        <f t="shared" si="10"/>
        <v>135134.2680675005</v>
      </c>
      <c r="T7" s="29">
        <f t="shared" si="11"/>
        <v>135134.2680675005</v>
      </c>
      <c r="U7">
        <f t="shared" si="12"/>
        <v>0</v>
      </c>
      <c r="V7" s="29">
        <f t="shared" si="13"/>
        <v>135134.2680675005</v>
      </c>
      <c r="W7" s="29">
        <f t="shared" si="14"/>
        <v>135134.2680675005</v>
      </c>
      <c r="X7" s="29">
        <f t="shared" si="15"/>
        <v>135134.2680675005</v>
      </c>
      <c r="Y7">
        <f t="shared" si="16"/>
        <v>0</v>
      </c>
    </row>
    <row r="8" spans="1:26" x14ac:dyDescent="0.25">
      <c r="A8" s="4" t="s">
        <v>669</v>
      </c>
      <c r="B8" s="7" t="s">
        <v>91</v>
      </c>
      <c r="C8" s="2" t="s">
        <v>670</v>
      </c>
      <c r="D8">
        <f>VLOOKUP(B8,'Model allocations'!$A$1:$L$317,6,FALSE)</f>
        <v>318487.24808988639</v>
      </c>
      <c r="E8" s="31">
        <f>VLOOKUP(B8,'Initial adjusted formula count'!$A$1:$P$317,12,FALSE)</f>
        <v>9.0970124202752606E-2</v>
      </c>
      <c r="F8">
        <f>VLOOKUP(B8,'Model allocations'!$A$1:$L$317,11,FALSE)</f>
        <v>309245.13942341856</v>
      </c>
      <c r="G8" s="30">
        <f t="shared" si="17"/>
        <v>0.85</v>
      </c>
      <c r="H8">
        <f t="shared" si="18"/>
        <v>270714.16087640345</v>
      </c>
      <c r="I8">
        <f t="shared" si="0"/>
        <v>0</v>
      </c>
      <c r="J8">
        <f t="shared" si="1"/>
        <v>309245.13942341856</v>
      </c>
      <c r="K8">
        <f t="shared" si="2"/>
        <v>309064.76627043111</v>
      </c>
      <c r="L8">
        <f t="shared" si="3"/>
        <v>309064.76627043111</v>
      </c>
      <c r="M8">
        <f t="shared" si="4"/>
        <v>0</v>
      </c>
      <c r="N8" s="29">
        <f t="shared" si="5"/>
        <v>309064.76627043111</v>
      </c>
      <c r="O8" s="29">
        <f t="shared" si="6"/>
        <v>309041.23752145679</v>
      </c>
      <c r="P8" s="29">
        <f t="shared" si="7"/>
        <v>309041.23752145679</v>
      </c>
      <c r="Q8">
        <f t="shared" si="8"/>
        <v>0</v>
      </c>
      <c r="R8" s="29">
        <f t="shared" si="9"/>
        <v>309041.23752145679</v>
      </c>
      <c r="S8" s="29">
        <f t="shared" si="10"/>
        <v>309041.23752145679</v>
      </c>
      <c r="T8" s="29">
        <f t="shared" si="11"/>
        <v>309041.23752145679</v>
      </c>
      <c r="U8">
        <f t="shared" si="12"/>
        <v>0</v>
      </c>
      <c r="V8" s="29">
        <f t="shared" si="13"/>
        <v>309041.23752145679</v>
      </c>
      <c r="W8" s="29">
        <f t="shared" si="14"/>
        <v>309041.23752145679</v>
      </c>
      <c r="X8" s="29">
        <f t="shared" si="15"/>
        <v>309041.23752145679</v>
      </c>
      <c r="Y8">
        <f t="shared" si="16"/>
        <v>0</v>
      </c>
    </row>
    <row r="9" spans="1:26" x14ac:dyDescent="0.25">
      <c r="A9" s="4" t="s">
        <v>671</v>
      </c>
      <c r="B9" s="7" t="s">
        <v>310</v>
      </c>
      <c r="C9" s="2" t="s">
        <v>672</v>
      </c>
      <c r="D9">
        <f>VLOOKUP(B9,'Model allocations'!$A$1:$L$317,6,FALSE)</f>
        <v>29459.828465911669</v>
      </c>
      <c r="E9" s="31">
        <f>VLOOKUP(B9,'Initial adjusted formula count'!$A$1:$P$317,12,FALSE)</f>
        <v>5.72597137014315E-2</v>
      </c>
      <c r="F9">
        <f>VLOOKUP(B9,'Model allocations'!$A$1:$L$317,11,FALSE)</f>
        <v>24953.145424760383</v>
      </c>
      <c r="G9" s="30">
        <f t="shared" si="17"/>
        <v>0.85</v>
      </c>
      <c r="H9">
        <f t="shared" si="18"/>
        <v>25040.854196024917</v>
      </c>
      <c r="I9">
        <f t="shared" si="0"/>
        <v>25040.854196024917</v>
      </c>
      <c r="J9">
        <f t="shared" si="1"/>
        <v>0</v>
      </c>
      <c r="K9">
        <f t="shared" si="2"/>
        <v>0</v>
      </c>
      <c r="L9">
        <f t="shared" si="3"/>
        <v>25040.854196024917</v>
      </c>
      <c r="M9">
        <f t="shared" si="4"/>
        <v>0</v>
      </c>
      <c r="N9" s="29">
        <f t="shared" si="5"/>
        <v>0</v>
      </c>
      <c r="O9" s="29">
        <f t="shared" si="6"/>
        <v>0</v>
      </c>
      <c r="P9" s="29">
        <f t="shared" si="7"/>
        <v>25040.854196024917</v>
      </c>
      <c r="Q9">
        <f t="shared" si="8"/>
        <v>0</v>
      </c>
      <c r="R9" s="29">
        <f t="shared" si="9"/>
        <v>0</v>
      </c>
      <c r="S9" s="29">
        <f t="shared" si="10"/>
        <v>0</v>
      </c>
      <c r="T9" s="29">
        <f t="shared" si="11"/>
        <v>25040.854196024917</v>
      </c>
      <c r="U9">
        <f t="shared" si="12"/>
        <v>0</v>
      </c>
      <c r="V9" s="29">
        <f t="shared" si="13"/>
        <v>0</v>
      </c>
      <c r="W9" s="29">
        <f t="shared" si="14"/>
        <v>0</v>
      </c>
      <c r="X9" s="29">
        <f t="shared" si="15"/>
        <v>25040.854196024917</v>
      </c>
      <c r="Y9">
        <f t="shared" si="16"/>
        <v>0</v>
      </c>
    </row>
    <row r="10" spans="1:26" x14ac:dyDescent="0.25">
      <c r="A10" s="4" t="s">
        <v>673</v>
      </c>
      <c r="B10" s="7" t="s">
        <v>312</v>
      </c>
      <c r="C10" s="2" t="s">
        <v>674</v>
      </c>
      <c r="D10">
        <f>VLOOKUP(B10,'Model allocations'!$A$1:$L$317,6,FALSE)</f>
        <v>2581556.9390021251</v>
      </c>
      <c r="E10" s="31">
        <f>VLOOKUP(B10,'Initial adjusted formula count'!$A$1:$P$317,12,FALSE)</f>
        <v>0.15617690257302899</v>
      </c>
      <c r="F10">
        <f>VLOOKUP(B10,'Model allocations'!$A$1:$L$317,11,FALSE)</f>
        <v>2433736.4247427899</v>
      </c>
      <c r="G10" s="30">
        <f t="shared" si="17"/>
        <v>0.9</v>
      </c>
      <c r="H10">
        <f t="shared" si="18"/>
        <v>2323401.2451019124</v>
      </c>
      <c r="I10">
        <f t="shared" si="0"/>
        <v>0</v>
      </c>
      <c r="J10">
        <f t="shared" si="1"/>
        <v>2433736.4247427899</v>
      </c>
      <c r="K10">
        <f t="shared" si="2"/>
        <v>2432316.9013404506</v>
      </c>
      <c r="L10">
        <f t="shared" si="3"/>
        <v>2432316.9013404506</v>
      </c>
      <c r="M10">
        <f t="shared" si="4"/>
        <v>0</v>
      </c>
      <c r="N10" s="29">
        <f t="shared" si="5"/>
        <v>2432316.9013404506</v>
      </c>
      <c r="O10" s="29">
        <f t="shared" si="6"/>
        <v>2432131.7318224618</v>
      </c>
      <c r="P10" s="29">
        <f t="shared" si="7"/>
        <v>2432131.7318224618</v>
      </c>
      <c r="Q10">
        <f t="shared" si="8"/>
        <v>0</v>
      </c>
      <c r="R10" s="29">
        <f t="shared" si="9"/>
        <v>2432131.7318224618</v>
      </c>
      <c r="S10" s="29">
        <f t="shared" si="10"/>
        <v>2432131.7318224618</v>
      </c>
      <c r="T10" s="29">
        <f t="shared" si="11"/>
        <v>2432131.7318224618</v>
      </c>
      <c r="U10">
        <f t="shared" si="12"/>
        <v>0</v>
      </c>
      <c r="V10" s="29">
        <f t="shared" si="13"/>
        <v>2432131.7318224618</v>
      </c>
      <c r="W10" s="29">
        <f t="shared" si="14"/>
        <v>2432131.7318224618</v>
      </c>
      <c r="X10" s="29">
        <f t="shared" si="15"/>
        <v>2432131.7318224618</v>
      </c>
      <c r="Y10">
        <f t="shared" si="16"/>
        <v>0</v>
      </c>
    </row>
    <row r="11" spans="1:26" x14ac:dyDescent="0.25">
      <c r="A11" s="4" t="s">
        <v>675</v>
      </c>
      <c r="B11" s="7" t="s">
        <v>93</v>
      </c>
      <c r="C11" s="2" t="s">
        <v>676</v>
      </c>
      <c r="D11">
        <f>VLOOKUP(B11,'Model allocations'!$A$1:$L$317,6,FALSE)</f>
        <v>0</v>
      </c>
      <c r="E11" s="31">
        <f>VLOOKUP(B11,'Initial adjusted formula count'!$A$1:$P$317,12,FALSE)</f>
        <v>3.8016112789526699E-2</v>
      </c>
      <c r="F11">
        <f>VLOOKUP(B11,'Model allocations'!$A$1:$L$317,11,FALSE)</f>
        <v>0</v>
      </c>
      <c r="G11" s="30">
        <f t="shared" si="17"/>
        <v>0.85</v>
      </c>
      <c r="H11">
        <f t="shared" si="1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3"/>
        <v>0</v>
      </c>
      <c r="M11">
        <f t="shared" si="4"/>
        <v>0</v>
      </c>
      <c r="N11" s="29">
        <f t="shared" si="5"/>
        <v>0</v>
      </c>
      <c r="O11" s="29">
        <f t="shared" si="6"/>
        <v>0</v>
      </c>
      <c r="P11" s="29">
        <f t="shared" si="7"/>
        <v>0</v>
      </c>
      <c r="Q11">
        <f t="shared" si="8"/>
        <v>0</v>
      </c>
      <c r="R11" s="29">
        <f t="shared" si="9"/>
        <v>0</v>
      </c>
      <c r="S11" s="29">
        <f t="shared" si="10"/>
        <v>0</v>
      </c>
      <c r="T11" s="29">
        <f t="shared" si="11"/>
        <v>0</v>
      </c>
      <c r="U11">
        <f t="shared" si="12"/>
        <v>0</v>
      </c>
      <c r="V11" s="29">
        <f t="shared" si="13"/>
        <v>0</v>
      </c>
      <c r="W11" s="29">
        <f t="shared" si="14"/>
        <v>0</v>
      </c>
      <c r="X11" s="29">
        <f t="shared" si="15"/>
        <v>0</v>
      </c>
      <c r="Y11">
        <f t="shared" si="16"/>
        <v>0</v>
      </c>
    </row>
    <row r="12" spans="1:26" x14ac:dyDescent="0.25">
      <c r="A12" s="4" t="s">
        <v>677</v>
      </c>
      <c r="B12" s="7" t="s">
        <v>95</v>
      </c>
      <c r="C12" s="2" t="s">
        <v>678</v>
      </c>
      <c r="D12">
        <f>VLOOKUP(B12,'Model allocations'!$A$1:$L$317,6,FALSE)</f>
        <v>619807.17233359464</v>
      </c>
      <c r="E12" s="31">
        <f>VLOOKUP(B12,'Initial adjusted formula count'!$A$1:$P$317,12,FALSE)</f>
        <v>5.5959849435382701E-2</v>
      </c>
      <c r="F12">
        <f>VLOOKUP(B12,'Model allocations'!$A$1:$L$317,11,FALSE)</f>
        <v>566283.76545709034</v>
      </c>
      <c r="G12" s="30">
        <f t="shared" si="17"/>
        <v>0.85</v>
      </c>
      <c r="H12">
        <f t="shared" si="18"/>
        <v>526836.09648355539</v>
      </c>
      <c r="I12">
        <f t="shared" si="0"/>
        <v>0</v>
      </c>
      <c r="J12">
        <f t="shared" si="1"/>
        <v>566283.76545709034</v>
      </c>
      <c r="K12">
        <f t="shared" si="2"/>
        <v>565953.46960037446</v>
      </c>
      <c r="L12">
        <f t="shared" si="3"/>
        <v>565953.46960037446</v>
      </c>
      <c r="M12">
        <f t="shared" si="4"/>
        <v>0</v>
      </c>
      <c r="N12" s="29">
        <f t="shared" si="5"/>
        <v>565953.46960037446</v>
      </c>
      <c r="O12" s="29">
        <f t="shared" si="6"/>
        <v>565910.3842067268</v>
      </c>
      <c r="P12" s="29">
        <f t="shared" si="7"/>
        <v>565910.3842067268</v>
      </c>
      <c r="Q12">
        <f t="shared" si="8"/>
        <v>0</v>
      </c>
      <c r="R12" s="29">
        <f t="shared" si="9"/>
        <v>565910.3842067268</v>
      </c>
      <c r="S12" s="29">
        <f t="shared" si="10"/>
        <v>565910.3842067268</v>
      </c>
      <c r="T12" s="29">
        <f t="shared" si="11"/>
        <v>565910.3842067268</v>
      </c>
      <c r="U12">
        <f t="shared" si="12"/>
        <v>0</v>
      </c>
      <c r="V12" s="29">
        <f t="shared" si="13"/>
        <v>565910.3842067268</v>
      </c>
      <c r="W12" s="29">
        <f t="shared" si="14"/>
        <v>565910.3842067268</v>
      </c>
      <c r="X12" s="29">
        <f t="shared" si="15"/>
        <v>565910.3842067268</v>
      </c>
      <c r="Y12">
        <f t="shared" si="16"/>
        <v>0</v>
      </c>
    </row>
    <row r="13" spans="1:26" x14ac:dyDescent="0.25">
      <c r="A13" s="4" t="s">
        <v>679</v>
      </c>
      <c r="B13" s="7" t="s">
        <v>97</v>
      </c>
      <c r="C13" s="2" t="s">
        <v>680</v>
      </c>
      <c r="D13">
        <f>VLOOKUP(B13,'Model allocations'!$A$1:$L$317,6,FALSE)</f>
        <v>951920.70730477036</v>
      </c>
      <c r="E13" s="31">
        <f>VLOOKUP(B13,'Initial adjusted formula count'!$A$1:$P$317,12,FALSE)</f>
        <v>6.4986442636795996E-2</v>
      </c>
      <c r="F13">
        <f>VLOOKUP(B13,'Model allocations'!$A$1:$L$317,11,FALSE)</f>
        <v>1054115.120082594</v>
      </c>
      <c r="G13" s="30">
        <f t="shared" si="17"/>
        <v>0.85</v>
      </c>
      <c r="H13">
        <f t="shared" si="18"/>
        <v>809132.60120905482</v>
      </c>
      <c r="I13">
        <f t="shared" si="0"/>
        <v>0</v>
      </c>
      <c r="J13">
        <f t="shared" si="1"/>
        <v>1054115.120082594</v>
      </c>
      <c r="K13">
        <f t="shared" si="2"/>
        <v>1053500.2872409993</v>
      </c>
      <c r="L13">
        <f t="shared" si="3"/>
        <v>1053500.2872409993</v>
      </c>
      <c r="M13">
        <f t="shared" si="4"/>
        <v>0</v>
      </c>
      <c r="N13" s="29">
        <f t="shared" si="5"/>
        <v>1053500.2872409993</v>
      </c>
      <c r="O13" s="29">
        <f t="shared" si="6"/>
        <v>1053420.0854628994</v>
      </c>
      <c r="P13" s="29">
        <f t="shared" si="7"/>
        <v>1053420.0854628994</v>
      </c>
      <c r="Q13">
        <f t="shared" si="8"/>
        <v>0</v>
      </c>
      <c r="R13" s="29">
        <f t="shared" si="9"/>
        <v>1053420.0854628994</v>
      </c>
      <c r="S13" s="29">
        <f t="shared" si="10"/>
        <v>1053420.0854628994</v>
      </c>
      <c r="T13" s="29">
        <f t="shared" si="11"/>
        <v>1053420.0854628994</v>
      </c>
      <c r="U13">
        <f t="shared" si="12"/>
        <v>0</v>
      </c>
      <c r="V13" s="29">
        <f t="shared" si="13"/>
        <v>1053420.0854628994</v>
      </c>
      <c r="W13" s="29">
        <f t="shared" si="14"/>
        <v>1053420.0854628994</v>
      </c>
      <c r="X13" s="29">
        <f t="shared" si="15"/>
        <v>1053420.0854628994</v>
      </c>
      <c r="Y13">
        <f t="shared" si="16"/>
        <v>0</v>
      </c>
    </row>
    <row r="14" spans="1:26" x14ac:dyDescent="0.25">
      <c r="A14" s="4" t="s">
        <v>14</v>
      </c>
      <c r="B14" s="7" t="s">
        <v>56</v>
      </c>
      <c r="C14" s="2" t="s">
        <v>681</v>
      </c>
      <c r="D14">
        <f>VLOOKUP(B14,'Model allocations'!$A$1:$L$317,6,FALSE)</f>
        <v>1084327.7651209484</v>
      </c>
      <c r="E14" s="31">
        <f>VLOOKUP(B14,'Initial adjusted formula count'!$A$1:$P$317,12,FALSE)</f>
        <v>0.107857707696931</v>
      </c>
      <c r="F14">
        <f>VLOOKUP(B14,'Model allocations'!$A$1:$L$317,11,FALSE)</f>
        <v>954103.8120258305</v>
      </c>
      <c r="G14" s="30">
        <f t="shared" si="17"/>
        <v>0.85</v>
      </c>
      <c r="H14">
        <f t="shared" si="18"/>
        <v>921678.60035280616</v>
      </c>
      <c r="I14">
        <f t="shared" si="0"/>
        <v>0</v>
      </c>
      <c r="J14">
        <f t="shared" si="1"/>
        <v>954103.8120258305</v>
      </c>
      <c r="K14">
        <f t="shared" si="2"/>
        <v>953547.31269596785</v>
      </c>
      <c r="L14">
        <f t="shared" si="3"/>
        <v>953547.31269596785</v>
      </c>
      <c r="M14">
        <f t="shared" si="4"/>
        <v>0</v>
      </c>
      <c r="N14" s="29">
        <f t="shared" si="5"/>
        <v>953547.31269596785</v>
      </c>
      <c r="O14" s="29">
        <f t="shared" si="6"/>
        <v>953474.72022408468</v>
      </c>
      <c r="P14" s="29">
        <f t="shared" si="7"/>
        <v>953474.72022408468</v>
      </c>
      <c r="Q14">
        <f t="shared" si="8"/>
        <v>0</v>
      </c>
      <c r="R14" s="29">
        <f t="shared" si="9"/>
        <v>953474.72022408468</v>
      </c>
      <c r="S14" s="29">
        <f t="shared" si="10"/>
        <v>953474.72022408468</v>
      </c>
      <c r="T14" s="29">
        <f t="shared" si="11"/>
        <v>953474.72022408468</v>
      </c>
      <c r="U14">
        <f t="shared" si="12"/>
        <v>0</v>
      </c>
      <c r="V14" s="29">
        <f t="shared" si="13"/>
        <v>953474.72022408468</v>
      </c>
      <c r="W14" s="29">
        <f t="shared" si="14"/>
        <v>953474.72022408468</v>
      </c>
      <c r="X14" s="29">
        <f t="shared" si="15"/>
        <v>953474.72022408468</v>
      </c>
      <c r="Y14">
        <f t="shared" si="16"/>
        <v>0</v>
      </c>
    </row>
    <row r="15" spans="1:26" x14ac:dyDescent="0.25">
      <c r="A15" s="4" t="s">
        <v>682</v>
      </c>
      <c r="B15" s="7" t="s">
        <v>99</v>
      </c>
      <c r="C15" s="2" t="s">
        <v>683</v>
      </c>
      <c r="D15">
        <f>VLOOKUP(B15,'Model allocations'!$A$1:$L$317,6,FALSE)</f>
        <v>0</v>
      </c>
      <c r="E15" s="31">
        <f>VLOOKUP(B15,'Initial adjusted formula count'!$A$1:$P$317,12,FALSE)</f>
        <v>0.125</v>
      </c>
      <c r="F15">
        <f>VLOOKUP(B15,'Model allocations'!$A$1:$L$317,11,FALSE)</f>
        <v>0</v>
      </c>
      <c r="G15" s="30">
        <f t="shared" si="17"/>
        <v>0.85</v>
      </c>
      <c r="H15">
        <f t="shared" si="1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3"/>
        <v>0</v>
      </c>
      <c r="M15">
        <f t="shared" si="4"/>
        <v>0</v>
      </c>
      <c r="N15" s="29">
        <f t="shared" si="5"/>
        <v>0</v>
      </c>
      <c r="O15" s="29">
        <f t="shared" si="6"/>
        <v>0</v>
      </c>
      <c r="P15" s="29">
        <f t="shared" si="7"/>
        <v>0</v>
      </c>
      <c r="Q15">
        <f t="shared" si="8"/>
        <v>0</v>
      </c>
      <c r="R15" s="29">
        <f t="shared" si="9"/>
        <v>0</v>
      </c>
      <c r="S15" s="29">
        <f t="shared" si="10"/>
        <v>0</v>
      </c>
      <c r="T15" s="29">
        <f t="shared" si="11"/>
        <v>0</v>
      </c>
      <c r="U15">
        <f t="shared" si="12"/>
        <v>0</v>
      </c>
      <c r="V15" s="29">
        <f t="shared" si="13"/>
        <v>0</v>
      </c>
      <c r="W15" s="29">
        <f t="shared" si="14"/>
        <v>0</v>
      </c>
      <c r="X15" s="29">
        <f t="shared" si="15"/>
        <v>0</v>
      </c>
      <c r="Y15">
        <f t="shared" si="16"/>
        <v>0</v>
      </c>
    </row>
    <row r="16" spans="1:26" x14ac:dyDescent="0.25">
      <c r="A16" s="4" t="s">
        <v>684</v>
      </c>
      <c r="B16" s="7" t="s">
        <v>264</v>
      </c>
      <c r="C16" s="2" t="s">
        <v>685</v>
      </c>
      <c r="D16">
        <f>VLOOKUP(B16,'Model allocations'!$A$1:$L$317,6,FALSE)</f>
        <v>1764690.8888390777</v>
      </c>
      <c r="E16" s="31">
        <f>VLOOKUP(B16,'Initial adjusted formula count'!$A$1:$P$317,12,FALSE)</f>
        <v>0.103202993297973</v>
      </c>
      <c r="F16">
        <f>VLOOKUP(B16,'Model allocations'!$A$1:$L$317,11,FALSE)</f>
        <v>2021789.9475034762</v>
      </c>
      <c r="G16" s="30">
        <f t="shared" si="17"/>
        <v>0.85</v>
      </c>
      <c r="H16">
        <f t="shared" si="18"/>
        <v>1499987.2555132159</v>
      </c>
      <c r="I16">
        <f t="shared" si="0"/>
        <v>0</v>
      </c>
      <c r="J16">
        <f t="shared" si="1"/>
        <v>2021789.9475034762</v>
      </c>
      <c r="K16">
        <f t="shared" si="2"/>
        <v>2020610.6997772565</v>
      </c>
      <c r="L16">
        <f t="shared" si="3"/>
        <v>2020610.6997772565</v>
      </c>
      <c r="M16">
        <f t="shared" si="4"/>
        <v>0</v>
      </c>
      <c r="N16" s="29">
        <f t="shared" si="5"/>
        <v>2020610.6997772565</v>
      </c>
      <c r="O16" s="29">
        <f t="shared" si="6"/>
        <v>2020456.8729839162</v>
      </c>
      <c r="P16" s="29">
        <f t="shared" si="7"/>
        <v>2020456.8729839162</v>
      </c>
      <c r="Q16">
        <f t="shared" si="8"/>
        <v>0</v>
      </c>
      <c r="R16" s="29">
        <f t="shared" si="9"/>
        <v>2020456.8729839162</v>
      </c>
      <c r="S16" s="29">
        <f t="shared" si="10"/>
        <v>2020456.8729839162</v>
      </c>
      <c r="T16" s="29">
        <f t="shared" si="11"/>
        <v>2020456.8729839162</v>
      </c>
      <c r="U16">
        <f t="shared" si="12"/>
        <v>0</v>
      </c>
      <c r="V16" s="29">
        <f t="shared" si="13"/>
        <v>2020456.8729839162</v>
      </c>
      <c r="W16" s="29">
        <f t="shared" si="14"/>
        <v>2020456.8729839162</v>
      </c>
      <c r="X16" s="29">
        <f t="shared" si="15"/>
        <v>2020456.8729839162</v>
      </c>
      <c r="Y16">
        <f t="shared" si="16"/>
        <v>0</v>
      </c>
    </row>
    <row r="17" spans="1:25" x14ac:dyDescent="0.25">
      <c r="A17" s="4" t="s">
        <v>686</v>
      </c>
      <c r="B17" s="7" t="s">
        <v>314</v>
      </c>
      <c r="C17" s="2" t="s">
        <v>687</v>
      </c>
      <c r="D17">
        <f>VLOOKUP(B17,'Model allocations'!$A$1:$L$317,6,FALSE)</f>
        <v>8294.7639984994967</v>
      </c>
      <c r="E17" s="31">
        <f>VLOOKUP(B17,'Initial adjusted formula count'!$A$1:$P$317,12,FALSE)</f>
        <v>0.113924050632911</v>
      </c>
      <c r="F17">
        <f>VLOOKUP(B17,'Model allocations'!$A$1:$L$317,11,FALSE)</f>
        <v>0</v>
      </c>
      <c r="G17" s="30">
        <f t="shared" si="17"/>
        <v>0.85</v>
      </c>
      <c r="H17">
        <f t="shared" si="18"/>
        <v>0</v>
      </c>
      <c r="I17">
        <f t="shared" si="0"/>
        <v>0</v>
      </c>
      <c r="J17">
        <f t="shared" si="1"/>
        <v>0</v>
      </c>
      <c r="K17">
        <f t="shared" si="2"/>
        <v>0</v>
      </c>
      <c r="L17">
        <f t="shared" si="3"/>
        <v>0</v>
      </c>
      <c r="M17">
        <f t="shared" si="4"/>
        <v>0</v>
      </c>
      <c r="N17" s="29">
        <f t="shared" si="5"/>
        <v>0</v>
      </c>
      <c r="O17" s="29">
        <f t="shared" si="6"/>
        <v>0</v>
      </c>
      <c r="P17" s="29">
        <f t="shared" si="7"/>
        <v>0</v>
      </c>
      <c r="Q17">
        <f t="shared" si="8"/>
        <v>0</v>
      </c>
      <c r="R17" s="29">
        <f t="shared" si="9"/>
        <v>0</v>
      </c>
      <c r="S17" s="29">
        <f t="shared" si="10"/>
        <v>0</v>
      </c>
      <c r="T17" s="29">
        <f t="shared" si="11"/>
        <v>0</v>
      </c>
      <c r="U17">
        <f t="shared" si="12"/>
        <v>0</v>
      </c>
      <c r="V17" s="29">
        <f t="shared" si="13"/>
        <v>0</v>
      </c>
      <c r="W17" s="29">
        <f t="shared" si="14"/>
        <v>0</v>
      </c>
      <c r="X17" s="29">
        <f t="shared" si="15"/>
        <v>0</v>
      </c>
      <c r="Y17">
        <f t="shared" si="16"/>
        <v>0</v>
      </c>
    </row>
    <row r="18" spans="1:25" x14ac:dyDescent="0.25">
      <c r="A18" s="4" t="s">
        <v>688</v>
      </c>
      <c r="B18" s="7" t="s">
        <v>316</v>
      </c>
      <c r="C18" s="2" t="s">
        <v>689</v>
      </c>
      <c r="D18">
        <f>VLOOKUP(B18,'Model allocations'!$A$1:$L$317,6,FALSE)</f>
        <v>179060.51989436932</v>
      </c>
      <c r="E18" s="31">
        <f>VLOOKUP(B18,'Initial adjusted formula count'!$A$1:$P$317,12,FALSE)</f>
        <v>0.12424364663170601</v>
      </c>
      <c r="F18">
        <f>VLOOKUP(B18,'Model allocations'!$A$1:$L$317,11,FALSE)</f>
        <v>175733.4002627545</v>
      </c>
      <c r="G18" s="30">
        <f t="shared" si="17"/>
        <v>0.85</v>
      </c>
      <c r="H18">
        <f t="shared" si="18"/>
        <v>152201.44191021394</v>
      </c>
      <c r="I18">
        <f t="shared" si="0"/>
        <v>0</v>
      </c>
      <c r="J18">
        <f t="shared" si="1"/>
        <v>175733.4002627545</v>
      </c>
      <c r="K18">
        <f t="shared" si="2"/>
        <v>175630.90038983914</v>
      </c>
      <c r="L18">
        <f t="shared" si="3"/>
        <v>175630.90038983914</v>
      </c>
      <c r="M18">
        <f t="shared" si="4"/>
        <v>0</v>
      </c>
      <c r="N18" s="29">
        <f t="shared" si="5"/>
        <v>175630.90038983914</v>
      </c>
      <c r="O18" s="29">
        <f t="shared" si="6"/>
        <v>175617.52980924118</v>
      </c>
      <c r="P18" s="29">
        <f t="shared" si="7"/>
        <v>175617.52980924118</v>
      </c>
      <c r="Q18">
        <f t="shared" si="8"/>
        <v>0</v>
      </c>
      <c r="R18" s="29">
        <f t="shared" si="9"/>
        <v>175617.52980924118</v>
      </c>
      <c r="S18" s="29">
        <f t="shared" si="10"/>
        <v>175617.52980924118</v>
      </c>
      <c r="T18" s="29">
        <f t="shared" si="11"/>
        <v>175617.52980924118</v>
      </c>
      <c r="U18">
        <f t="shared" si="12"/>
        <v>0</v>
      </c>
      <c r="V18" s="29">
        <f t="shared" si="13"/>
        <v>175617.52980924118</v>
      </c>
      <c r="W18" s="29">
        <f t="shared" si="14"/>
        <v>175617.52980924118</v>
      </c>
      <c r="X18" s="29">
        <f t="shared" si="15"/>
        <v>175617.52980924118</v>
      </c>
      <c r="Y18">
        <f t="shared" si="16"/>
        <v>0</v>
      </c>
    </row>
    <row r="19" spans="1:25" x14ac:dyDescent="0.25">
      <c r="A19" s="4" t="s">
        <v>690</v>
      </c>
      <c r="B19" s="7" t="s">
        <v>318</v>
      </c>
      <c r="C19" s="2" t="s">
        <v>691</v>
      </c>
      <c r="D19">
        <f>VLOOKUP(B19,'Model allocations'!$A$1:$L$317,6,FALSE)</f>
        <v>15839.507897898438</v>
      </c>
      <c r="E19" s="31">
        <f>VLOOKUP(B19,'Initial adjusted formula count'!$A$1:$P$317,12,FALSE)</f>
        <v>0.100917431192661</v>
      </c>
      <c r="F19">
        <f>VLOOKUP(B19,'Model allocations'!$A$1:$L$317,11,FALSE)</f>
        <v>13463.581713213673</v>
      </c>
      <c r="G19" s="30">
        <f t="shared" si="17"/>
        <v>0.85</v>
      </c>
      <c r="H19">
        <f t="shared" si="18"/>
        <v>13463.581713213673</v>
      </c>
      <c r="I19">
        <f t="shared" si="0"/>
        <v>0</v>
      </c>
      <c r="J19">
        <f t="shared" si="1"/>
        <v>13463.581713213673</v>
      </c>
      <c r="K19">
        <f t="shared" si="2"/>
        <v>13455.728821204944</v>
      </c>
      <c r="L19">
        <f t="shared" si="3"/>
        <v>13455.728821204944</v>
      </c>
      <c r="M19">
        <f t="shared" si="4"/>
        <v>13463.581713213673</v>
      </c>
      <c r="N19" s="29">
        <f t="shared" si="5"/>
        <v>0</v>
      </c>
      <c r="O19" s="29">
        <f t="shared" si="6"/>
        <v>0</v>
      </c>
      <c r="P19" s="29">
        <f t="shared" si="7"/>
        <v>13463.581713213673</v>
      </c>
      <c r="Q19">
        <f t="shared" si="8"/>
        <v>0</v>
      </c>
      <c r="R19" s="29">
        <f t="shared" si="9"/>
        <v>0</v>
      </c>
      <c r="S19" s="29">
        <f t="shared" si="10"/>
        <v>0</v>
      </c>
      <c r="T19" s="29">
        <f t="shared" si="11"/>
        <v>13463.581713213673</v>
      </c>
      <c r="U19">
        <f t="shared" si="12"/>
        <v>0</v>
      </c>
      <c r="V19" s="29">
        <f t="shared" si="13"/>
        <v>0</v>
      </c>
      <c r="W19" s="29">
        <f t="shared" si="14"/>
        <v>0</v>
      </c>
      <c r="X19" s="29">
        <f t="shared" si="15"/>
        <v>13463.581713213673</v>
      </c>
      <c r="Y19">
        <f t="shared" si="16"/>
        <v>0</v>
      </c>
    </row>
    <row r="20" spans="1:25" x14ac:dyDescent="0.25">
      <c r="A20" s="4" t="s">
        <v>10</v>
      </c>
      <c r="B20" s="7" t="s">
        <v>55</v>
      </c>
      <c r="C20" s="2" t="s">
        <v>692</v>
      </c>
      <c r="D20">
        <f>VLOOKUP(B20,'Model allocations'!$A$1:$L$317,6,FALSE)</f>
        <v>629644.29048974381</v>
      </c>
      <c r="E20" s="31">
        <f>VLOOKUP(B20,'Initial adjusted formula count'!$A$1:$P$317,12,FALSE)</f>
        <v>0.162490957352972</v>
      </c>
      <c r="F20">
        <f>VLOOKUP(B20,'Model allocations'!$A$1:$L$317,11,FALSE)</f>
        <v>562945.54711327609</v>
      </c>
      <c r="G20" s="30">
        <f t="shared" si="17"/>
        <v>0.9</v>
      </c>
      <c r="H20">
        <f t="shared" si="18"/>
        <v>566679.8614407694</v>
      </c>
      <c r="I20">
        <f t="shared" si="0"/>
        <v>566679.8614407694</v>
      </c>
      <c r="J20">
        <f t="shared" si="1"/>
        <v>0</v>
      </c>
      <c r="K20">
        <f t="shared" si="2"/>
        <v>0</v>
      </c>
      <c r="L20">
        <f t="shared" si="3"/>
        <v>566679.8614407694</v>
      </c>
      <c r="M20">
        <f t="shared" si="4"/>
        <v>0</v>
      </c>
      <c r="N20" s="29">
        <f t="shared" si="5"/>
        <v>0</v>
      </c>
      <c r="O20" s="29">
        <f t="shared" si="6"/>
        <v>0</v>
      </c>
      <c r="P20" s="29">
        <f t="shared" si="7"/>
        <v>566679.8614407694</v>
      </c>
      <c r="Q20">
        <f t="shared" si="8"/>
        <v>0</v>
      </c>
      <c r="R20" s="29">
        <f t="shared" si="9"/>
        <v>0</v>
      </c>
      <c r="S20" s="29">
        <f t="shared" si="10"/>
        <v>0</v>
      </c>
      <c r="T20" s="29">
        <f t="shared" si="11"/>
        <v>566679.8614407694</v>
      </c>
      <c r="U20">
        <f t="shared" si="12"/>
        <v>0</v>
      </c>
      <c r="V20" s="29">
        <f t="shared" si="13"/>
        <v>0</v>
      </c>
      <c r="W20" s="29">
        <f t="shared" si="14"/>
        <v>0</v>
      </c>
      <c r="X20" s="29">
        <f t="shared" si="15"/>
        <v>566679.8614407694</v>
      </c>
      <c r="Y20">
        <f t="shared" si="16"/>
        <v>0</v>
      </c>
    </row>
    <row r="21" spans="1:25" x14ac:dyDescent="0.25">
      <c r="A21" s="4" t="s">
        <v>693</v>
      </c>
      <c r="B21" s="7" t="s">
        <v>320</v>
      </c>
      <c r="C21" s="2" t="s">
        <v>694</v>
      </c>
      <c r="D21">
        <f>VLOOKUP(B21,'Model allocations'!$A$1:$L$317,6,FALSE)</f>
        <v>184971.87213735111</v>
      </c>
      <c r="E21" s="31">
        <f>VLOOKUP(B21,'Initial adjusted formula count'!$A$1:$P$317,12,FALSE)</f>
        <v>0.255005268703899</v>
      </c>
      <c r="F21">
        <f>VLOOKUP(B21,'Model allocations'!$A$1:$L$317,11,FALSE)</f>
        <v>192132.19358628348</v>
      </c>
      <c r="G21" s="30">
        <f t="shared" si="17"/>
        <v>0.9</v>
      </c>
      <c r="H21">
        <f t="shared" si="18"/>
        <v>166474.68492361601</v>
      </c>
      <c r="I21">
        <f t="shared" si="0"/>
        <v>0</v>
      </c>
      <c r="J21">
        <f t="shared" si="1"/>
        <v>192132.19358628348</v>
      </c>
      <c r="K21">
        <f t="shared" si="2"/>
        <v>192020.12880294633</v>
      </c>
      <c r="L21">
        <f t="shared" si="3"/>
        <v>192020.12880294633</v>
      </c>
      <c r="M21">
        <f t="shared" si="4"/>
        <v>0</v>
      </c>
      <c r="N21" s="29">
        <f t="shared" si="5"/>
        <v>192020.12880294633</v>
      </c>
      <c r="O21" s="29">
        <f t="shared" si="6"/>
        <v>192005.51052903841</v>
      </c>
      <c r="P21" s="29">
        <f t="shared" si="7"/>
        <v>192005.51052903841</v>
      </c>
      <c r="Q21">
        <f t="shared" si="8"/>
        <v>0</v>
      </c>
      <c r="R21" s="29">
        <f t="shared" si="9"/>
        <v>192005.51052903841</v>
      </c>
      <c r="S21" s="29">
        <f t="shared" si="10"/>
        <v>192005.51052903841</v>
      </c>
      <c r="T21" s="29">
        <f t="shared" si="11"/>
        <v>192005.51052903841</v>
      </c>
      <c r="U21">
        <f t="shared" si="12"/>
        <v>0</v>
      </c>
      <c r="V21" s="29">
        <f t="shared" si="13"/>
        <v>192005.51052903841</v>
      </c>
      <c r="W21" s="29">
        <f t="shared" si="14"/>
        <v>192005.51052903841</v>
      </c>
      <c r="X21" s="29">
        <f t="shared" si="15"/>
        <v>192005.51052903841</v>
      </c>
      <c r="Y21">
        <f t="shared" si="16"/>
        <v>0</v>
      </c>
    </row>
    <row r="22" spans="1:25" x14ac:dyDescent="0.25">
      <c r="A22" s="4" t="s">
        <v>695</v>
      </c>
      <c r="B22" s="7" t="s">
        <v>322</v>
      </c>
      <c r="C22" s="2" t="s">
        <v>696</v>
      </c>
      <c r="D22">
        <f>VLOOKUP(B22,'Model allocations'!$A$1:$L$317,6,FALSE)</f>
        <v>152126.84464236131</v>
      </c>
      <c r="E22" s="31">
        <f>VLOOKUP(B22,'Initial adjusted formula count'!$A$1:$P$317,12,FALSE)</f>
        <v>0.22727272727272699</v>
      </c>
      <c r="F22">
        <f>VLOOKUP(B22,'Model allocations'!$A$1:$L$317,11,FALSE)</f>
        <v>136914.16017812517</v>
      </c>
      <c r="G22" s="30">
        <f t="shared" si="17"/>
        <v>0.9</v>
      </c>
      <c r="H22">
        <f t="shared" si="18"/>
        <v>136914.16017812517</v>
      </c>
      <c r="I22">
        <f t="shared" si="0"/>
        <v>0</v>
      </c>
      <c r="J22">
        <f t="shared" si="1"/>
        <v>136914.16017812517</v>
      </c>
      <c r="K22">
        <f t="shared" si="2"/>
        <v>136834.30237080119</v>
      </c>
      <c r="L22">
        <f t="shared" si="3"/>
        <v>136834.30237080119</v>
      </c>
      <c r="M22">
        <f t="shared" si="4"/>
        <v>136914.16017812517</v>
      </c>
      <c r="N22" s="29">
        <f t="shared" si="5"/>
        <v>0</v>
      </c>
      <c r="O22" s="29">
        <f t="shared" si="6"/>
        <v>0</v>
      </c>
      <c r="P22" s="29">
        <f t="shared" si="7"/>
        <v>136914.16017812517</v>
      </c>
      <c r="Q22">
        <f t="shared" si="8"/>
        <v>0</v>
      </c>
      <c r="R22" s="29">
        <f t="shared" si="9"/>
        <v>0</v>
      </c>
      <c r="S22" s="29">
        <f t="shared" si="10"/>
        <v>0</v>
      </c>
      <c r="T22" s="29">
        <f t="shared" si="11"/>
        <v>136914.16017812517</v>
      </c>
      <c r="U22">
        <f t="shared" si="12"/>
        <v>0</v>
      </c>
      <c r="V22" s="29">
        <f t="shared" si="13"/>
        <v>0</v>
      </c>
      <c r="W22" s="29">
        <f t="shared" si="14"/>
        <v>0</v>
      </c>
      <c r="X22" s="29">
        <f t="shared" si="15"/>
        <v>136914.16017812517</v>
      </c>
      <c r="Y22">
        <f t="shared" si="16"/>
        <v>0</v>
      </c>
    </row>
    <row r="23" spans="1:25" x14ac:dyDescent="0.25">
      <c r="A23" s="4" t="s">
        <v>697</v>
      </c>
      <c r="B23" s="7" t="s">
        <v>324</v>
      </c>
      <c r="C23" s="2" t="s">
        <v>698</v>
      </c>
      <c r="D23">
        <f>VLOOKUP(B23,'Model allocations'!$A$1:$L$317,6,FALSE)</f>
        <v>22733.843656499121</v>
      </c>
      <c r="E23" s="31">
        <f>VLOOKUP(B23,'Initial adjusted formula count'!$A$1:$P$317,12,FALSE)</f>
        <v>0.223214285714286</v>
      </c>
      <c r="F23">
        <f>VLOOKUP(B23,'Model allocations'!$A$1:$L$317,11,FALSE)</f>
        <v>20460.459290849209</v>
      </c>
      <c r="G23" s="30">
        <f t="shared" si="17"/>
        <v>0.9</v>
      </c>
      <c r="H23">
        <f t="shared" si="18"/>
        <v>20460.459290849209</v>
      </c>
      <c r="I23">
        <f t="shared" si="0"/>
        <v>0</v>
      </c>
      <c r="J23">
        <f t="shared" si="1"/>
        <v>20460.459290849209</v>
      </c>
      <c r="K23">
        <f t="shared" si="2"/>
        <v>20448.525335926774</v>
      </c>
      <c r="L23">
        <f t="shared" si="3"/>
        <v>20448.525335926774</v>
      </c>
      <c r="M23">
        <f t="shared" si="4"/>
        <v>20460.459290849209</v>
      </c>
      <c r="N23" s="29">
        <f t="shared" si="5"/>
        <v>0</v>
      </c>
      <c r="O23" s="29">
        <f t="shared" si="6"/>
        <v>0</v>
      </c>
      <c r="P23" s="29">
        <f t="shared" si="7"/>
        <v>20460.459290849209</v>
      </c>
      <c r="Q23">
        <f t="shared" si="8"/>
        <v>0</v>
      </c>
      <c r="R23" s="29">
        <f t="shared" si="9"/>
        <v>0</v>
      </c>
      <c r="S23" s="29">
        <f t="shared" si="10"/>
        <v>0</v>
      </c>
      <c r="T23" s="29">
        <f t="shared" si="11"/>
        <v>20460.459290849209</v>
      </c>
      <c r="U23">
        <f t="shared" si="12"/>
        <v>0</v>
      </c>
      <c r="V23" s="29">
        <f t="shared" si="13"/>
        <v>0</v>
      </c>
      <c r="W23" s="29">
        <f t="shared" si="14"/>
        <v>0</v>
      </c>
      <c r="X23" s="29">
        <f t="shared" si="15"/>
        <v>20460.459290849209</v>
      </c>
      <c r="Y23">
        <f t="shared" si="16"/>
        <v>0</v>
      </c>
    </row>
    <row r="24" spans="1:25" x14ac:dyDescent="0.25">
      <c r="A24" s="4" t="s">
        <v>699</v>
      </c>
      <c r="B24" s="7" t="s">
        <v>326</v>
      </c>
      <c r="C24" s="2" t="s">
        <v>700</v>
      </c>
      <c r="D24">
        <f>VLOOKUP(B24,'Model allocations'!$A$1:$L$317,6,FALSE)</f>
        <v>232916.76880861406</v>
      </c>
      <c r="E24" s="31">
        <f>VLOOKUP(B24,'Initial adjusted formula count'!$A$1:$P$317,12,FALSE)</f>
        <v>0.10826288519225501</v>
      </c>
      <c r="F24">
        <f>VLOOKUP(B24,'Model allocations'!$A$1:$L$317,11,FALSE)</f>
        <v>226513.50618283611</v>
      </c>
      <c r="G24" s="30">
        <f t="shared" si="17"/>
        <v>0.85</v>
      </c>
      <c r="H24">
        <f t="shared" si="18"/>
        <v>197979.25348732196</v>
      </c>
      <c r="I24">
        <f t="shared" si="0"/>
        <v>0</v>
      </c>
      <c r="J24">
        <f t="shared" si="1"/>
        <v>226513.50618283611</v>
      </c>
      <c r="K24">
        <f t="shared" si="2"/>
        <v>226381.38784014975</v>
      </c>
      <c r="L24">
        <f t="shared" si="3"/>
        <v>226381.38784014975</v>
      </c>
      <c r="M24">
        <f t="shared" si="4"/>
        <v>0</v>
      </c>
      <c r="N24" s="29">
        <f t="shared" si="5"/>
        <v>226381.38784014975</v>
      </c>
      <c r="O24" s="29">
        <f t="shared" si="6"/>
        <v>226364.15368269067</v>
      </c>
      <c r="P24" s="29">
        <f t="shared" si="7"/>
        <v>226364.15368269067</v>
      </c>
      <c r="Q24">
        <f t="shared" si="8"/>
        <v>0</v>
      </c>
      <c r="R24" s="29">
        <f t="shared" si="9"/>
        <v>226364.15368269067</v>
      </c>
      <c r="S24" s="29">
        <f t="shared" si="10"/>
        <v>226364.15368269067</v>
      </c>
      <c r="T24" s="29">
        <f t="shared" si="11"/>
        <v>226364.15368269067</v>
      </c>
      <c r="U24">
        <f t="shared" si="12"/>
        <v>0</v>
      </c>
      <c r="V24" s="29">
        <f t="shared" si="13"/>
        <v>226364.15368269067</v>
      </c>
      <c r="W24" s="29">
        <f t="shared" si="14"/>
        <v>226364.15368269067</v>
      </c>
      <c r="X24" s="29">
        <f t="shared" si="15"/>
        <v>226364.15368269067</v>
      </c>
      <c r="Y24">
        <f t="shared" si="16"/>
        <v>0</v>
      </c>
    </row>
    <row r="25" spans="1:25" x14ac:dyDescent="0.25">
      <c r="A25" s="4" t="s">
        <v>701</v>
      </c>
      <c r="B25" s="7" t="s">
        <v>101</v>
      </c>
      <c r="C25" s="2" t="s">
        <v>702</v>
      </c>
      <c r="D25">
        <f>VLOOKUP(B25,'Model allocations'!$A$1:$L$317,6,FALSE)</f>
        <v>0</v>
      </c>
      <c r="E25" s="31">
        <f>VLOOKUP(B25,'Initial adjusted formula count'!$A$1:$P$317,12,FALSE)</f>
        <v>3.6446469248291598E-2</v>
      </c>
      <c r="F25">
        <f>VLOOKUP(B25,'Model allocations'!$A$1:$L$317,11,FALSE)</f>
        <v>0</v>
      </c>
      <c r="G25" s="30">
        <f t="shared" si="17"/>
        <v>0.85</v>
      </c>
      <c r="H25">
        <f t="shared" si="1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3"/>
        <v>0</v>
      </c>
      <c r="M25">
        <f t="shared" si="4"/>
        <v>0</v>
      </c>
      <c r="N25" s="29">
        <f t="shared" si="5"/>
        <v>0</v>
      </c>
      <c r="O25" s="29">
        <f t="shared" si="6"/>
        <v>0</v>
      </c>
      <c r="P25" s="29">
        <f t="shared" si="7"/>
        <v>0</v>
      </c>
      <c r="Q25">
        <f t="shared" si="8"/>
        <v>0</v>
      </c>
      <c r="R25" s="29">
        <f t="shared" si="9"/>
        <v>0</v>
      </c>
      <c r="S25" s="29">
        <f t="shared" si="10"/>
        <v>0</v>
      </c>
      <c r="T25" s="29">
        <f t="shared" si="11"/>
        <v>0</v>
      </c>
      <c r="U25">
        <f t="shared" si="12"/>
        <v>0</v>
      </c>
      <c r="V25" s="29">
        <f t="shared" si="13"/>
        <v>0</v>
      </c>
      <c r="W25" s="29">
        <f t="shared" si="14"/>
        <v>0</v>
      </c>
      <c r="X25" s="29">
        <f t="shared" si="15"/>
        <v>0</v>
      </c>
      <c r="Y25">
        <f t="shared" si="16"/>
        <v>0</v>
      </c>
    </row>
    <row r="26" spans="1:25" x14ac:dyDescent="0.25">
      <c r="A26" s="4" t="s">
        <v>703</v>
      </c>
      <c r="B26" s="7" t="s">
        <v>328</v>
      </c>
      <c r="C26" s="2" t="s">
        <v>704</v>
      </c>
      <c r="D26">
        <f>VLOOKUP(B26,'Model allocations'!$A$1:$L$317,6,FALSE)</f>
        <v>82445.351263503588</v>
      </c>
      <c r="E26" s="31">
        <f>VLOOKUP(B26,'Initial adjusted formula count'!$A$1:$P$317,12,FALSE)</f>
        <v>0.14862385321100899</v>
      </c>
      <c r="F26">
        <f>VLOOKUP(B26,'Model allocations'!$A$1:$L$317,11,FALSE)</f>
        <v>70078.548573978042</v>
      </c>
      <c r="G26" s="30">
        <f t="shared" si="17"/>
        <v>0.85</v>
      </c>
      <c r="H26">
        <f t="shared" si="18"/>
        <v>70078.548573978042</v>
      </c>
      <c r="I26">
        <f t="shared" si="0"/>
        <v>0</v>
      </c>
      <c r="J26">
        <f t="shared" si="1"/>
        <v>70078.548573978042</v>
      </c>
      <c r="K26">
        <f t="shared" si="2"/>
        <v>70037.673917753404</v>
      </c>
      <c r="L26">
        <f t="shared" si="3"/>
        <v>70037.673917753404</v>
      </c>
      <c r="M26">
        <f t="shared" si="4"/>
        <v>70078.548573978042</v>
      </c>
      <c r="N26" s="29">
        <f t="shared" si="5"/>
        <v>0</v>
      </c>
      <c r="O26" s="29">
        <f t="shared" si="6"/>
        <v>0</v>
      </c>
      <c r="P26" s="29">
        <f t="shared" si="7"/>
        <v>70078.548573978042</v>
      </c>
      <c r="Q26">
        <f t="shared" si="8"/>
        <v>0</v>
      </c>
      <c r="R26" s="29">
        <f t="shared" si="9"/>
        <v>0</v>
      </c>
      <c r="S26" s="29">
        <f t="shared" si="10"/>
        <v>0</v>
      </c>
      <c r="T26" s="29">
        <f t="shared" si="11"/>
        <v>70078.548573978042</v>
      </c>
      <c r="U26">
        <f t="shared" si="12"/>
        <v>0</v>
      </c>
      <c r="V26" s="29">
        <f t="shared" si="13"/>
        <v>0</v>
      </c>
      <c r="W26" s="29">
        <f t="shared" si="14"/>
        <v>0</v>
      </c>
      <c r="X26" s="29">
        <f t="shared" si="15"/>
        <v>70078.548573978042</v>
      </c>
      <c r="Y26">
        <f t="shared" si="16"/>
        <v>0</v>
      </c>
    </row>
    <row r="27" spans="1:25" x14ac:dyDescent="0.25">
      <c r="A27" s="4" t="s">
        <v>705</v>
      </c>
      <c r="B27" s="7" t="s">
        <v>103</v>
      </c>
      <c r="C27" s="2" t="s">
        <v>706</v>
      </c>
      <c r="D27">
        <f>VLOOKUP(B27,'Model allocations'!$A$1:$L$317,6,FALSE)</f>
        <v>0</v>
      </c>
      <c r="E27" s="31">
        <f>VLOOKUP(B27,'Initial adjusted formula count'!$A$1:$P$317,12,FALSE)</f>
        <v>1.9138755980861202E-2</v>
      </c>
      <c r="F27">
        <f>VLOOKUP(B27,'Model allocations'!$A$1:$L$317,11,FALSE)</f>
        <v>0</v>
      </c>
      <c r="G27" s="30">
        <f t="shared" si="17"/>
        <v>0.85</v>
      </c>
      <c r="H27">
        <f t="shared" si="1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3"/>
        <v>0</v>
      </c>
      <c r="M27">
        <f t="shared" si="4"/>
        <v>0</v>
      </c>
      <c r="N27" s="29">
        <f t="shared" si="5"/>
        <v>0</v>
      </c>
      <c r="O27" s="29">
        <f t="shared" si="6"/>
        <v>0</v>
      </c>
      <c r="P27" s="29">
        <f t="shared" si="7"/>
        <v>0</v>
      </c>
      <c r="Q27">
        <f t="shared" si="8"/>
        <v>0</v>
      </c>
      <c r="R27" s="29">
        <f t="shared" si="9"/>
        <v>0</v>
      </c>
      <c r="S27" s="29">
        <f t="shared" si="10"/>
        <v>0</v>
      </c>
      <c r="T27" s="29">
        <f t="shared" si="11"/>
        <v>0</v>
      </c>
      <c r="U27">
        <f t="shared" si="12"/>
        <v>0</v>
      </c>
      <c r="V27" s="29">
        <f t="shared" si="13"/>
        <v>0</v>
      </c>
      <c r="W27" s="29">
        <f t="shared" si="14"/>
        <v>0</v>
      </c>
      <c r="X27" s="29">
        <f t="shared" si="15"/>
        <v>0</v>
      </c>
      <c r="Y27">
        <f t="shared" si="16"/>
        <v>0</v>
      </c>
    </row>
    <row r="28" spans="1:25" x14ac:dyDescent="0.25">
      <c r="A28" s="4" t="s">
        <v>707</v>
      </c>
      <c r="B28" s="7" t="s">
        <v>330</v>
      </c>
      <c r="C28" s="2" t="s">
        <v>708</v>
      </c>
      <c r="D28">
        <f>VLOOKUP(B28,'Model allocations'!$A$1:$L$317,6,FALSE)</f>
        <v>99562.621072504466</v>
      </c>
      <c r="E28" s="31">
        <f>VLOOKUP(B28,'Initial adjusted formula count'!$A$1:$P$317,12,FALSE)</f>
        <v>9.7763578274760399E-2</v>
      </c>
      <c r="F28">
        <f>VLOOKUP(B28,'Model allocations'!$A$1:$L$317,11,FALSE)</f>
        <v>87296.13714351115</v>
      </c>
      <c r="G28" s="30">
        <f t="shared" si="17"/>
        <v>0.85</v>
      </c>
      <c r="H28">
        <f t="shared" si="18"/>
        <v>84628.227911628797</v>
      </c>
      <c r="I28">
        <f t="shared" si="0"/>
        <v>0</v>
      </c>
      <c r="J28">
        <f t="shared" si="1"/>
        <v>87296.13714351115</v>
      </c>
      <c r="K28">
        <f t="shared" si="2"/>
        <v>87245.219998848639</v>
      </c>
      <c r="L28">
        <f t="shared" si="3"/>
        <v>87245.219998848639</v>
      </c>
      <c r="M28">
        <f t="shared" si="4"/>
        <v>0</v>
      </c>
      <c r="N28" s="29">
        <f t="shared" si="5"/>
        <v>87245.219998848639</v>
      </c>
      <c r="O28" s="29">
        <f t="shared" si="6"/>
        <v>87238.578119525628</v>
      </c>
      <c r="P28" s="29">
        <f t="shared" si="7"/>
        <v>87238.578119525628</v>
      </c>
      <c r="Q28">
        <f t="shared" si="8"/>
        <v>0</v>
      </c>
      <c r="R28" s="29">
        <f t="shared" si="9"/>
        <v>87238.578119525628</v>
      </c>
      <c r="S28" s="29">
        <f t="shared" si="10"/>
        <v>87238.578119525628</v>
      </c>
      <c r="T28" s="29">
        <f t="shared" si="11"/>
        <v>87238.578119525628</v>
      </c>
      <c r="U28">
        <f t="shared" si="12"/>
        <v>0</v>
      </c>
      <c r="V28" s="29">
        <f t="shared" si="13"/>
        <v>87238.578119525628</v>
      </c>
      <c r="W28" s="29">
        <f t="shared" si="14"/>
        <v>87238.578119525628</v>
      </c>
      <c r="X28" s="29">
        <f t="shared" si="15"/>
        <v>87238.578119525628</v>
      </c>
      <c r="Y28">
        <f t="shared" si="16"/>
        <v>0</v>
      </c>
    </row>
    <row r="29" spans="1:25" x14ac:dyDescent="0.25">
      <c r="A29" s="4" t="s">
        <v>709</v>
      </c>
      <c r="B29" s="7" t="s">
        <v>332</v>
      </c>
      <c r="C29" s="2" t="s">
        <v>710</v>
      </c>
      <c r="D29">
        <f>VLOOKUP(B29,'Model allocations'!$A$1:$L$317,6,FALSE)</f>
        <v>93905.653966112164</v>
      </c>
      <c r="E29" s="31">
        <f>VLOOKUP(B29,'Initial adjusted formula count'!$A$1:$P$317,12,FALSE)</f>
        <v>0.108825481088255</v>
      </c>
      <c r="F29">
        <f>VLOOKUP(B29,'Model allocations'!$A$1:$L$317,11,FALSE)</f>
        <v>93572.330010038102</v>
      </c>
      <c r="G29" s="30">
        <f t="shared" si="17"/>
        <v>0.85</v>
      </c>
      <c r="H29">
        <f t="shared" si="18"/>
        <v>79819.805871195334</v>
      </c>
      <c r="I29">
        <f t="shared" si="0"/>
        <v>0</v>
      </c>
      <c r="J29">
        <f t="shared" si="1"/>
        <v>93572.330010038102</v>
      </c>
      <c r="K29">
        <f t="shared" si="2"/>
        <v>93517.752155628623</v>
      </c>
      <c r="L29">
        <f t="shared" si="3"/>
        <v>93517.752155628623</v>
      </c>
      <c r="M29">
        <f t="shared" si="4"/>
        <v>0</v>
      </c>
      <c r="N29" s="29">
        <f t="shared" si="5"/>
        <v>93517.752155628623</v>
      </c>
      <c r="O29" s="29">
        <f t="shared" si="6"/>
        <v>93510.632755569968</v>
      </c>
      <c r="P29" s="29">
        <f t="shared" si="7"/>
        <v>93510.632755569968</v>
      </c>
      <c r="Q29">
        <f t="shared" si="8"/>
        <v>0</v>
      </c>
      <c r="R29" s="29">
        <f t="shared" si="9"/>
        <v>93510.632755569968</v>
      </c>
      <c r="S29" s="29">
        <f t="shared" si="10"/>
        <v>93510.632755569968</v>
      </c>
      <c r="T29" s="29">
        <f t="shared" si="11"/>
        <v>93510.632755569968</v>
      </c>
      <c r="U29">
        <f t="shared" si="12"/>
        <v>0</v>
      </c>
      <c r="V29" s="29">
        <f t="shared" si="13"/>
        <v>93510.632755569968</v>
      </c>
      <c r="W29" s="29">
        <f t="shared" si="14"/>
        <v>93510.632755569968</v>
      </c>
      <c r="X29" s="29">
        <f t="shared" si="15"/>
        <v>93510.632755569968</v>
      </c>
      <c r="Y29">
        <f t="shared" si="16"/>
        <v>0</v>
      </c>
    </row>
    <row r="30" spans="1:25" x14ac:dyDescent="0.25">
      <c r="A30" s="4" t="s">
        <v>711</v>
      </c>
      <c r="B30" s="7" t="s">
        <v>105</v>
      </c>
      <c r="C30" s="2" t="s">
        <v>712</v>
      </c>
      <c r="D30">
        <f>VLOOKUP(B30,'Model allocations'!$A$1:$L$317,6,FALSE)</f>
        <v>105219.58817889677</v>
      </c>
      <c r="E30" s="31">
        <f>VLOOKUP(B30,'Initial adjusted formula count'!$A$1:$P$317,12,FALSE)</f>
        <v>0.116195063214931</v>
      </c>
      <c r="F30">
        <f>VLOOKUP(B30,'Model allocations'!$A$1:$L$317,11,FALSE)</f>
        <v>110118.65665815459</v>
      </c>
      <c r="G30" s="30">
        <f t="shared" si="17"/>
        <v>0.85</v>
      </c>
      <c r="H30">
        <f t="shared" si="18"/>
        <v>89436.649952062246</v>
      </c>
      <c r="I30">
        <f t="shared" si="0"/>
        <v>0</v>
      </c>
      <c r="J30">
        <f t="shared" si="1"/>
        <v>110118.65665815459</v>
      </c>
      <c r="K30">
        <f t="shared" si="2"/>
        <v>110054.4278416849</v>
      </c>
      <c r="L30">
        <f t="shared" si="3"/>
        <v>110054.4278416849</v>
      </c>
      <c r="M30">
        <f t="shared" si="4"/>
        <v>0</v>
      </c>
      <c r="N30" s="29">
        <f t="shared" si="5"/>
        <v>110054.4278416849</v>
      </c>
      <c r="O30" s="29">
        <f t="shared" si="6"/>
        <v>110046.04952332319</v>
      </c>
      <c r="P30" s="29">
        <f t="shared" si="7"/>
        <v>110046.04952332319</v>
      </c>
      <c r="Q30">
        <f t="shared" si="8"/>
        <v>0</v>
      </c>
      <c r="R30" s="29">
        <f t="shared" si="9"/>
        <v>110046.04952332319</v>
      </c>
      <c r="S30" s="29">
        <f t="shared" si="10"/>
        <v>110046.04952332319</v>
      </c>
      <c r="T30" s="29">
        <f t="shared" si="11"/>
        <v>110046.04952332319</v>
      </c>
      <c r="U30">
        <f t="shared" si="12"/>
        <v>0</v>
      </c>
      <c r="V30" s="29">
        <f t="shared" si="13"/>
        <v>110046.04952332319</v>
      </c>
      <c r="W30" s="29">
        <f t="shared" si="14"/>
        <v>110046.04952332319</v>
      </c>
      <c r="X30" s="29">
        <f t="shared" si="15"/>
        <v>110046.04952332319</v>
      </c>
      <c r="Y30">
        <f t="shared" si="16"/>
        <v>0</v>
      </c>
    </row>
    <row r="31" spans="1:25" x14ac:dyDescent="0.25">
      <c r="A31" s="4" t="s">
        <v>8</v>
      </c>
      <c r="B31" s="7" t="s">
        <v>66</v>
      </c>
      <c r="C31" s="2" t="s">
        <v>713</v>
      </c>
      <c r="D31">
        <f>VLOOKUP(B31,'Model allocations'!$A$1:$L$317,6,FALSE)</f>
        <v>48733.432576510335</v>
      </c>
      <c r="E31" s="31">
        <f>VLOOKUP(B31,'Initial adjusted formula count'!$A$1:$P$317,12,FALSE)</f>
        <v>0.10646043117432499</v>
      </c>
      <c r="F31">
        <f>VLOOKUP(B31,'Model allocations'!$A$1:$L$317,11,FALSE)</f>
        <v>46830.118631613135</v>
      </c>
      <c r="G31" s="30">
        <f t="shared" si="17"/>
        <v>0.85</v>
      </c>
      <c r="H31">
        <f t="shared" si="18"/>
        <v>41423.417690033784</v>
      </c>
      <c r="I31">
        <f t="shared" si="0"/>
        <v>0</v>
      </c>
      <c r="J31">
        <f t="shared" si="1"/>
        <v>46830.118631613135</v>
      </c>
      <c r="K31">
        <f t="shared" si="2"/>
        <v>46802.804067613491</v>
      </c>
      <c r="L31">
        <f t="shared" si="3"/>
        <v>46802.804067613491</v>
      </c>
      <c r="M31">
        <f t="shared" si="4"/>
        <v>0</v>
      </c>
      <c r="N31" s="29">
        <f t="shared" si="5"/>
        <v>46802.804067613491</v>
      </c>
      <c r="O31" s="29">
        <f t="shared" si="6"/>
        <v>46799.24102339628</v>
      </c>
      <c r="P31" s="29">
        <f t="shared" si="7"/>
        <v>46799.24102339628</v>
      </c>
      <c r="Q31">
        <f t="shared" si="8"/>
        <v>0</v>
      </c>
      <c r="R31" s="29">
        <f t="shared" si="9"/>
        <v>46799.24102339628</v>
      </c>
      <c r="S31" s="29">
        <f t="shared" si="10"/>
        <v>46799.24102339628</v>
      </c>
      <c r="T31" s="29">
        <f t="shared" si="11"/>
        <v>46799.24102339628</v>
      </c>
      <c r="U31">
        <f t="shared" si="12"/>
        <v>0</v>
      </c>
      <c r="V31" s="29">
        <f t="shared" si="13"/>
        <v>46799.24102339628</v>
      </c>
      <c r="W31" s="29">
        <f t="shared" si="14"/>
        <v>46799.24102339628</v>
      </c>
      <c r="X31" s="29">
        <f t="shared" si="15"/>
        <v>46799.24102339628</v>
      </c>
      <c r="Y31">
        <f t="shared" si="16"/>
        <v>0</v>
      </c>
    </row>
    <row r="32" spans="1:25" x14ac:dyDescent="0.25">
      <c r="A32" s="4" t="s">
        <v>714</v>
      </c>
      <c r="B32" s="7" t="s">
        <v>334</v>
      </c>
      <c r="C32" s="2" t="s">
        <v>715</v>
      </c>
      <c r="D32">
        <f>VLOOKUP(B32,'Model allocations'!$A$1:$L$317,6,FALSE)</f>
        <v>23313.054423913203</v>
      </c>
      <c r="E32" s="31">
        <f>VLOOKUP(B32,'Initial adjusted formula count'!$A$1:$P$317,12,FALSE)</f>
        <v>0.25531914893617003</v>
      </c>
      <c r="F32">
        <f>VLOOKUP(B32,'Model allocations'!$A$1:$L$317,11,FALSE)</f>
        <v>20981.748981521883</v>
      </c>
      <c r="G32" s="30">
        <f t="shared" si="17"/>
        <v>0.9</v>
      </c>
      <c r="H32">
        <f t="shared" si="18"/>
        <v>20981.748981521883</v>
      </c>
      <c r="I32">
        <f t="shared" si="0"/>
        <v>0</v>
      </c>
      <c r="J32">
        <f t="shared" si="1"/>
        <v>20981.748981521883</v>
      </c>
      <c r="K32">
        <f t="shared" si="2"/>
        <v>20969.510974398978</v>
      </c>
      <c r="L32">
        <f t="shared" si="3"/>
        <v>20969.510974398978</v>
      </c>
      <c r="M32">
        <f t="shared" si="4"/>
        <v>20981.748981521883</v>
      </c>
      <c r="N32" s="29">
        <f t="shared" si="5"/>
        <v>0</v>
      </c>
      <c r="O32" s="29">
        <f t="shared" si="6"/>
        <v>0</v>
      </c>
      <c r="P32" s="29">
        <f t="shared" si="7"/>
        <v>20981.748981521883</v>
      </c>
      <c r="Q32">
        <f t="shared" si="8"/>
        <v>0</v>
      </c>
      <c r="R32" s="29">
        <f t="shared" si="9"/>
        <v>0</v>
      </c>
      <c r="S32" s="29">
        <f t="shared" si="10"/>
        <v>0</v>
      </c>
      <c r="T32" s="29">
        <f t="shared" si="11"/>
        <v>20981.748981521883</v>
      </c>
      <c r="U32">
        <f t="shared" si="12"/>
        <v>0</v>
      </c>
      <c r="V32" s="29">
        <f t="shared" si="13"/>
        <v>0</v>
      </c>
      <c r="W32" s="29">
        <f t="shared" si="14"/>
        <v>0</v>
      </c>
      <c r="X32" s="29">
        <f t="shared" si="15"/>
        <v>20981.748981521883</v>
      </c>
      <c r="Y32">
        <f t="shared" si="16"/>
        <v>0</v>
      </c>
    </row>
    <row r="33" spans="1:25" x14ac:dyDescent="0.25">
      <c r="A33" s="4" t="s">
        <v>716</v>
      </c>
      <c r="B33" s="7" t="s">
        <v>107</v>
      </c>
      <c r="C33" s="2" t="s">
        <v>717</v>
      </c>
      <c r="D33">
        <f>VLOOKUP(B33,'Model allocations'!$A$1:$L$317,6,FALSE)</f>
        <v>545331.6290562175</v>
      </c>
      <c r="E33" s="31">
        <f>VLOOKUP(B33,'Initial adjusted formula count'!$A$1:$P$317,12,FALSE)</f>
        <v>7.0280944259940803E-2</v>
      </c>
      <c r="F33">
        <f>VLOOKUP(B33,'Model allocations'!$A$1:$L$317,11,FALSE)</f>
        <v>472996.71694098524</v>
      </c>
      <c r="G33" s="30">
        <f t="shared" si="17"/>
        <v>0.85</v>
      </c>
      <c r="H33">
        <f t="shared" si="18"/>
        <v>463531.88469778484</v>
      </c>
      <c r="I33">
        <f t="shared" si="0"/>
        <v>0</v>
      </c>
      <c r="J33">
        <f t="shared" si="1"/>
        <v>472996.71694098524</v>
      </c>
      <c r="K33">
        <f t="shared" si="2"/>
        <v>472720.83254278119</v>
      </c>
      <c r="L33">
        <f t="shared" si="3"/>
        <v>472720.83254278119</v>
      </c>
      <c r="M33">
        <f t="shared" si="4"/>
        <v>0</v>
      </c>
      <c r="N33" s="29">
        <f t="shared" si="5"/>
        <v>472720.83254278119</v>
      </c>
      <c r="O33" s="29">
        <f t="shared" si="6"/>
        <v>472684.8448437042</v>
      </c>
      <c r="P33" s="29">
        <f t="shared" si="7"/>
        <v>472684.8448437042</v>
      </c>
      <c r="Q33">
        <f t="shared" si="8"/>
        <v>0</v>
      </c>
      <c r="R33" s="29">
        <f t="shared" si="9"/>
        <v>472684.8448437042</v>
      </c>
      <c r="S33" s="29">
        <f t="shared" si="10"/>
        <v>472684.8448437042</v>
      </c>
      <c r="T33" s="29">
        <f t="shared" si="11"/>
        <v>472684.8448437042</v>
      </c>
      <c r="U33">
        <f t="shared" si="12"/>
        <v>0</v>
      </c>
      <c r="V33" s="29">
        <f t="shared" si="13"/>
        <v>472684.8448437042</v>
      </c>
      <c r="W33" s="29">
        <f t="shared" si="14"/>
        <v>472684.8448437042</v>
      </c>
      <c r="X33" s="29">
        <f t="shared" si="15"/>
        <v>472684.8448437042</v>
      </c>
      <c r="Y33">
        <f t="shared" si="16"/>
        <v>0</v>
      </c>
    </row>
    <row r="34" spans="1:25" x14ac:dyDescent="0.25">
      <c r="A34" s="4" t="s">
        <v>718</v>
      </c>
      <c r="B34" s="7" t="s">
        <v>266</v>
      </c>
      <c r="C34" s="2" t="s">
        <v>719</v>
      </c>
      <c r="D34">
        <f>VLOOKUP(B34,'Model allocations'!$A$1:$L$317,6,FALSE)</f>
        <v>1376905.7936958857</v>
      </c>
      <c r="E34" s="31">
        <f>VLOOKUP(B34,'Initial adjusted formula count'!$A$1:$P$317,12,FALSE)</f>
        <v>8.3882634311380697E-2</v>
      </c>
      <c r="F34">
        <f>VLOOKUP(B34,'Model allocations'!$A$1:$L$317,11,FALSE)</f>
        <v>1170369.9246415028</v>
      </c>
      <c r="G34" s="30">
        <f t="shared" si="17"/>
        <v>0.85</v>
      </c>
      <c r="H34">
        <f t="shared" si="18"/>
        <v>1170369.9246415028</v>
      </c>
      <c r="I34">
        <f t="shared" si="0"/>
        <v>0</v>
      </c>
      <c r="J34">
        <f t="shared" si="1"/>
        <v>1170369.9246415028</v>
      </c>
      <c r="K34">
        <f t="shared" si="2"/>
        <v>1169687.2839576011</v>
      </c>
      <c r="L34">
        <f t="shared" si="3"/>
        <v>1169687.2839576011</v>
      </c>
      <c r="M34">
        <f t="shared" si="4"/>
        <v>1170369.9246415028</v>
      </c>
      <c r="N34" s="29">
        <f t="shared" si="5"/>
        <v>0</v>
      </c>
      <c r="O34" s="29">
        <f t="shared" si="6"/>
        <v>0</v>
      </c>
      <c r="P34" s="29">
        <f t="shared" si="7"/>
        <v>1170369.9246415028</v>
      </c>
      <c r="Q34">
        <f t="shared" si="8"/>
        <v>0</v>
      </c>
      <c r="R34" s="29">
        <f t="shared" si="9"/>
        <v>0</v>
      </c>
      <c r="S34" s="29">
        <f t="shared" si="10"/>
        <v>0</v>
      </c>
      <c r="T34" s="29">
        <f t="shared" si="11"/>
        <v>1170369.9246415028</v>
      </c>
      <c r="U34">
        <f t="shared" si="12"/>
        <v>0</v>
      </c>
      <c r="V34" s="29">
        <f t="shared" si="13"/>
        <v>0</v>
      </c>
      <c r="W34" s="29">
        <f t="shared" si="14"/>
        <v>0</v>
      </c>
      <c r="X34" s="29">
        <f t="shared" si="15"/>
        <v>1170369.9246415028</v>
      </c>
      <c r="Y34">
        <f t="shared" si="16"/>
        <v>0</v>
      </c>
    </row>
    <row r="35" spans="1:25" x14ac:dyDescent="0.25">
      <c r="A35" s="4" t="s">
        <v>720</v>
      </c>
      <c r="B35" s="7" t="s">
        <v>336</v>
      </c>
      <c r="C35" s="2" t="s">
        <v>721</v>
      </c>
      <c r="D35">
        <f>VLOOKUP(B35,'Model allocations'!$A$1:$L$317,6,FALSE)</f>
        <v>479757.8200187211</v>
      </c>
      <c r="E35" s="31">
        <f>VLOOKUP(B35,'Initial adjusted formula count'!$A$1:$P$317,12,FALSE)</f>
        <v>0.198892478080295</v>
      </c>
      <c r="F35">
        <f>VLOOKUP(B35,'Model allocations'!$A$1:$L$317,11,FALSE)</f>
        <v>571745.25143324328</v>
      </c>
      <c r="G35" s="30">
        <f t="shared" si="17"/>
        <v>0.9</v>
      </c>
      <c r="H35">
        <f t="shared" si="18"/>
        <v>431782.03801684902</v>
      </c>
      <c r="I35">
        <f t="shared" si="0"/>
        <v>0</v>
      </c>
      <c r="J35">
        <f t="shared" si="1"/>
        <v>571745.25143324328</v>
      </c>
      <c r="K35">
        <f t="shared" si="2"/>
        <v>571411.77006018476</v>
      </c>
      <c r="L35">
        <f t="shared" si="3"/>
        <v>571411.77006018476</v>
      </c>
      <c r="M35">
        <f t="shared" si="4"/>
        <v>0</v>
      </c>
      <c r="N35" s="29">
        <f t="shared" si="5"/>
        <v>571411.77006018476</v>
      </c>
      <c r="O35" s="29">
        <f t="shared" si="6"/>
        <v>571368.26913233404</v>
      </c>
      <c r="P35" s="29">
        <f t="shared" si="7"/>
        <v>571368.26913233404</v>
      </c>
      <c r="Q35">
        <f t="shared" si="8"/>
        <v>0</v>
      </c>
      <c r="R35" s="29">
        <f t="shared" si="9"/>
        <v>571368.26913233404</v>
      </c>
      <c r="S35" s="29">
        <f t="shared" si="10"/>
        <v>571368.26913233404</v>
      </c>
      <c r="T35" s="29">
        <f t="shared" si="11"/>
        <v>571368.26913233404</v>
      </c>
      <c r="U35">
        <f t="shared" si="12"/>
        <v>0</v>
      </c>
      <c r="V35" s="29">
        <f t="shared" si="13"/>
        <v>571368.26913233404</v>
      </c>
      <c r="W35" s="29">
        <f t="shared" si="14"/>
        <v>571368.26913233404</v>
      </c>
      <c r="X35" s="29">
        <f t="shared" si="15"/>
        <v>571368.26913233404</v>
      </c>
      <c r="Y35">
        <f t="shared" si="16"/>
        <v>0</v>
      </c>
    </row>
    <row r="36" spans="1:25" x14ac:dyDescent="0.25">
      <c r="A36" s="4" t="s">
        <v>722</v>
      </c>
      <c r="B36" s="7" t="s">
        <v>338</v>
      </c>
      <c r="C36" s="2" t="s">
        <v>723</v>
      </c>
      <c r="D36">
        <f>VLOOKUP(B36,'Model allocations'!$A$1:$L$317,6,FALSE)</f>
        <v>165711.53512075311</v>
      </c>
      <c r="E36" s="31">
        <f>VLOOKUP(B36,'Initial adjusted formula count'!$A$1:$P$317,12,FALSE)</f>
        <v>0.141131815044859</v>
      </c>
      <c r="F36">
        <f>VLOOKUP(B36,'Model allocations'!$A$1:$L$317,11,FALSE)</f>
        <v>233360.26203722917</v>
      </c>
      <c r="G36" s="30">
        <f t="shared" si="17"/>
        <v>0.85</v>
      </c>
      <c r="H36">
        <f t="shared" si="18"/>
        <v>140854.80485264014</v>
      </c>
      <c r="I36">
        <f t="shared" si="0"/>
        <v>0</v>
      </c>
      <c r="J36">
        <f t="shared" si="1"/>
        <v>233360.26203722917</v>
      </c>
      <c r="K36">
        <f t="shared" si="2"/>
        <v>233224.15019300062</v>
      </c>
      <c r="L36">
        <f t="shared" si="3"/>
        <v>233224.15019300062</v>
      </c>
      <c r="M36">
        <f t="shared" si="4"/>
        <v>0</v>
      </c>
      <c r="N36" s="29">
        <f t="shared" si="5"/>
        <v>233224.15019300062</v>
      </c>
      <c r="O36" s="29">
        <f t="shared" si="6"/>
        <v>233206.39510382994</v>
      </c>
      <c r="P36" s="29">
        <f t="shared" si="7"/>
        <v>233206.39510382994</v>
      </c>
      <c r="Q36">
        <f t="shared" si="8"/>
        <v>0</v>
      </c>
      <c r="R36" s="29">
        <f t="shared" si="9"/>
        <v>233206.39510382994</v>
      </c>
      <c r="S36" s="29">
        <f t="shared" si="10"/>
        <v>233206.39510382994</v>
      </c>
      <c r="T36" s="29">
        <f t="shared" si="11"/>
        <v>233206.39510382994</v>
      </c>
      <c r="U36">
        <f t="shared" si="12"/>
        <v>0</v>
      </c>
      <c r="V36" s="29">
        <f t="shared" si="13"/>
        <v>233206.39510382994</v>
      </c>
      <c r="W36" s="29">
        <f t="shared" si="14"/>
        <v>233206.39510382994</v>
      </c>
      <c r="X36" s="29">
        <f t="shared" si="15"/>
        <v>233206.39510382994</v>
      </c>
      <c r="Y36">
        <f t="shared" si="16"/>
        <v>0</v>
      </c>
    </row>
    <row r="37" spans="1:25" x14ac:dyDescent="0.25">
      <c r="A37" s="4" t="s">
        <v>724</v>
      </c>
      <c r="B37" s="7" t="s">
        <v>268</v>
      </c>
      <c r="C37" s="2" t="s">
        <v>725</v>
      </c>
      <c r="D37">
        <f>VLOOKUP(B37,'Model allocations'!$A$1:$L$317,6,FALSE)</f>
        <v>547877.26425409422</v>
      </c>
      <c r="E37" s="31">
        <f>VLOOKUP(B37,'Initial adjusted formula count'!$A$1:$P$317,12,FALSE)</f>
        <v>0.113426662424435</v>
      </c>
      <c r="F37">
        <f>VLOOKUP(B37,'Model allocations'!$A$1:$L$317,11,FALSE)</f>
        <v>465695.67461598007</v>
      </c>
      <c r="G37" s="30">
        <f t="shared" si="17"/>
        <v>0.85</v>
      </c>
      <c r="H37">
        <f t="shared" si="18"/>
        <v>465695.67461598007</v>
      </c>
      <c r="I37">
        <f t="shared" si="0"/>
        <v>0</v>
      </c>
      <c r="J37">
        <f t="shared" si="1"/>
        <v>465695.67461598007</v>
      </c>
      <c r="K37">
        <f t="shared" si="2"/>
        <v>465424.04869060667</v>
      </c>
      <c r="L37">
        <f t="shared" si="3"/>
        <v>465424.04869060667</v>
      </c>
      <c r="M37">
        <f t="shared" si="4"/>
        <v>465695.67461598007</v>
      </c>
      <c r="N37" s="29">
        <f t="shared" si="5"/>
        <v>0</v>
      </c>
      <c r="O37" s="29">
        <f t="shared" si="6"/>
        <v>0</v>
      </c>
      <c r="P37" s="29">
        <f t="shared" si="7"/>
        <v>465695.67461598007</v>
      </c>
      <c r="Q37">
        <f t="shared" si="8"/>
        <v>0</v>
      </c>
      <c r="R37" s="29">
        <f t="shared" si="9"/>
        <v>0</v>
      </c>
      <c r="S37" s="29">
        <f t="shared" si="10"/>
        <v>0</v>
      </c>
      <c r="T37" s="29">
        <f t="shared" si="11"/>
        <v>465695.67461598007</v>
      </c>
      <c r="U37">
        <f t="shared" si="12"/>
        <v>0</v>
      </c>
      <c r="V37" s="29">
        <f t="shared" si="13"/>
        <v>0</v>
      </c>
      <c r="W37" s="29">
        <f t="shared" si="14"/>
        <v>0</v>
      </c>
      <c r="X37" s="29">
        <f t="shared" si="15"/>
        <v>465695.67461598007</v>
      </c>
      <c r="Y37">
        <f t="shared" si="16"/>
        <v>0</v>
      </c>
    </row>
    <row r="38" spans="1:25" x14ac:dyDescent="0.25">
      <c r="A38" s="4" t="s">
        <v>726</v>
      </c>
      <c r="B38" s="7" t="s">
        <v>340</v>
      </c>
      <c r="C38" s="2" t="s">
        <v>727</v>
      </c>
      <c r="D38">
        <f>VLOOKUP(B38,'Model allocations'!$A$1:$L$317,6,FALSE)</f>
        <v>115225.9137046486</v>
      </c>
      <c r="E38" s="31">
        <f>VLOOKUP(B38,'Initial adjusted formula count'!$A$1:$P$317,12,FALSE)</f>
        <v>0.161904761904762</v>
      </c>
      <c r="F38">
        <f>VLOOKUP(B38,'Model allocations'!$A$1:$L$317,11,FALSE)</f>
        <v>103703.32233418374</v>
      </c>
      <c r="G38" s="30">
        <f t="shared" si="17"/>
        <v>0.9</v>
      </c>
      <c r="H38">
        <f t="shared" si="18"/>
        <v>103703.32233418374</v>
      </c>
      <c r="I38">
        <f t="shared" si="0"/>
        <v>0</v>
      </c>
      <c r="J38">
        <f t="shared" si="1"/>
        <v>103703.32233418374</v>
      </c>
      <c r="K38">
        <f t="shared" si="2"/>
        <v>103642.83538438215</v>
      </c>
      <c r="L38">
        <f t="shared" si="3"/>
        <v>103642.83538438215</v>
      </c>
      <c r="M38">
        <f t="shared" si="4"/>
        <v>103703.32233418374</v>
      </c>
      <c r="N38" s="29">
        <f t="shared" si="5"/>
        <v>0</v>
      </c>
      <c r="O38" s="29">
        <f t="shared" si="6"/>
        <v>0</v>
      </c>
      <c r="P38" s="29">
        <f t="shared" si="7"/>
        <v>103703.32233418374</v>
      </c>
      <c r="Q38">
        <f t="shared" si="8"/>
        <v>0</v>
      </c>
      <c r="R38" s="29">
        <f t="shared" si="9"/>
        <v>0</v>
      </c>
      <c r="S38" s="29">
        <f t="shared" si="10"/>
        <v>0</v>
      </c>
      <c r="T38" s="29">
        <f t="shared" si="11"/>
        <v>103703.32233418374</v>
      </c>
      <c r="U38">
        <f t="shared" si="12"/>
        <v>0</v>
      </c>
      <c r="V38" s="29">
        <f t="shared" si="13"/>
        <v>0</v>
      </c>
      <c r="W38" s="29">
        <f t="shared" si="14"/>
        <v>0</v>
      </c>
      <c r="X38" s="29">
        <f t="shared" si="15"/>
        <v>103703.32233418374</v>
      </c>
      <c r="Y38">
        <f t="shared" si="16"/>
        <v>0</v>
      </c>
    </row>
    <row r="39" spans="1:25" x14ac:dyDescent="0.25">
      <c r="A39" s="4" t="s">
        <v>728</v>
      </c>
      <c r="B39" s="7" t="s">
        <v>109</v>
      </c>
      <c r="C39" s="2" t="s">
        <v>729</v>
      </c>
      <c r="D39">
        <f>VLOOKUP(B39,'Model allocations'!$A$1:$L$317,6,FALSE)</f>
        <v>111059.38345106077</v>
      </c>
      <c r="E39" s="31">
        <f>VLOOKUP(B39,'Initial adjusted formula count'!$A$1:$P$317,12,FALSE)</f>
        <v>0.135957066189624</v>
      </c>
      <c r="F39">
        <f>VLOOKUP(B39,'Model allocations'!$A$1:$L$317,11,FALSE)</f>
        <v>94400.475933401656</v>
      </c>
      <c r="G39" s="30">
        <f t="shared" si="17"/>
        <v>0.85</v>
      </c>
      <c r="H39">
        <f t="shared" si="18"/>
        <v>94400.475933401656</v>
      </c>
      <c r="I39">
        <f t="shared" si="0"/>
        <v>0</v>
      </c>
      <c r="J39">
        <f t="shared" si="1"/>
        <v>94400.475933401656</v>
      </c>
      <c r="K39">
        <f t="shared" si="2"/>
        <v>94345.415047014336</v>
      </c>
      <c r="L39">
        <f t="shared" si="3"/>
        <v>94345.415047014336</v>
      </c>
      <c r="M39">
        <f t="shared" si="4"/>
        <v>94400.475933401656</v>
      </c>
      <c r="N39" s="29">
        <f t="shared" si="5"/>
        <v>0</v>
      </c>
      <c r="O39" s="29">
        <f t="shared" si="6"/>
        <v>0</v>
      </c>
      <c r="P39" s="29">
        <f t="shared" si="7"/>
        <v>94400.475933401656</v>
      </c>
      <c r="Q39">
        <f t="shared" si="8"/>
        <v>0</v>
      </c>
      <c r="R39" s="29">
        <f t="shared" si="9"/>
        <v>0</v>
      </c>
      <c r="S39" s="29">
        <f t="shared" si="10"/>
        <v>0</v>
      </c>
      <c r="T39" s="29">
        <f t="shared" si="11"/>
        <v>94400.475933401656</v>
      </c>
      <c r="U39">
        <f t="shared" si="12"/>
        <v>0</v>
      </c>
      <c r="V39" s="29">
        <f t="shared" si="13"/>
        <v>0</v>
      </c>
      <c r="W39" s="29">
        <f t="shared" si="14"/>
        <v>0</v>
      </c>
      <c r="X39" s="29">
        <f t="shared" si="15"/>
        <v>94400.475933401656</v>
      </c>
      <c r="Y39">
        <f t="shared" si="16"/>
        <v>0</v>
      </c>
    </row>
    <row r="40" spans="1:25" x14ac:dyDescent="0.25">
      <c r="A40" s="4" t="s">
        <v>730</v>
      </c>
      <c r="B40" s="7" t="s">
        <v>342</v>
      </c>
      <c r="C40" s="2" t="s">
        <v>731</v>
      </c>
      <c r="D40">
        <f>VLOOKUP(B40,'Model allocations'!$A$1:$L$317,6,FALSE)</f>
        <v>415167.22014915117</v>
      </c>
      <c r="E40" s="31">
        <f>VLOOKUP(B40,'Initial adjusted formula count'!$A$1:$P$317,12,FALSE)</f>
        <v>0.19076812116840999</v>
      </c>
      <c r="F40">
        <f>VLOOKUP(B40,'Model allocations'!$A$1:$L$317,11,FALSE)</f>
        <v>373743.36624498677</v>
      </c>
      <c r="G40" s="30">
        <f t="shared" si="17"/>
        <v>0.9</v>
      </c>
      <c r="H40">
        <f t="shared" si="18"/>
        <v>373650.49813423608</v>
      </c>
      <c r="I40">
        <f t="shared" si="0"/>
        <v>0</v>
      </c>
      <c r="J40">
        <f t="shared" si="1"/>
        <v>373743.36624498677</v>
      </c>
      <c r="K40">
        <f t="shared" si="2"/>
        <v>373525.37326536083</v>
      </c>
      <c r="L40">
        <f t="shared" si="3"/>
        <v>373525.37326536083</v>
      </c>
      <c r="M40">
        <f t="shared" si="4"/>
        <v>373650.49813423608</v>
      </c>
      <c r="N40" s="29">
        <f t="shared" si="5"/>
        <v>0</v>
      </c>
      <c r="O40" s="29">
        <f t="shared" si="6"/>
        <v>0</v>
      </c>
      <c r="P40" s="29">
        <f t="shared" si="7"/>
        <v>373650.49813423608</v>
      </c>
      <c r="Q40">
        <f t="shared" si="8"/>
        <v>0</v>
      </c>
      <c r="R40" s="29">
        <f t="shared" si="9"/>
        <v>0</v>
      </c>
      <c r="S40" s="29">
        <f t="shared" si="10"/>
        <v>0</v>
      </c>
      <c r="T40" s="29">
        <f t="shared" si="11"/>
        <v>373650.49813423608</v>
      </c>
      <c r="U40">
        <f t="shared" si="12"/>
        <v>0</v>
      </c>
      <c r="V40" s="29">
        <f t="shared" si="13"/>
        <v>0</v>
      </c>
      <c r="W40" s="29">
        <f t="shared" si="14"/>
        <v>0</v>
      </c>
      <c r="X40" s="29">
        <f t="shared" si="15"/>
        <v>373650.49813423608</v>
      </c>
      <c r="Y40">
        <f t="shared" si="16"/>
        <v>0</v>
      </c>
    </row>
    <row r="41" spans="1:25" x14ac:dyDescent="0.25">
      <c r="A41" s="4" t="s">
        <v>732</v>
      </c>
      <c r="B41" s="7" t="s">
        <v>344</v>
      </c>
      <c r="C41" s="2" t="s">
        <v>733</v>
      </c>
      <c r="D41">
        <f>VLOOKUP(B41,'Model allocations'!$A$1:$L$317,6,FALSE)</f>
        <v>84288.809885245253</v>
      </c>
      <c r="E41" s="31">
        <f>VLOOKUP(B41,'Initial adjusted formula count'!$A$1:$P$317,12,FALSE)</f>
        <v>0.141929499072356</v>
      </c>
      <c r="F41">
        <f>VLOOKUP(B41,'Model allocations'!$A$1:$L$317,11,FALSE)</f>
        <v>87296.13714351115</v>
      </c>
      <c r="G41" s="30">
        <f t="shared" si="17"/>
        <v>0.85</v>
      </c>
      <c r="H41">
        <f t="shared" si="18"/>
        <v>71645.488402458461</v>
      </c>
      <c r="I41">
        <f t="shared" si="0"/>
        <v>0</v>
      </c>
      <c r="J41">
        <f t="shared" si="1"/>
        <v>87296.13714351115</v>
      </c>
      <c r="K41">
        <f t="shared" si="2"/>
        <v>87245.219998848639</v>
      </c>
      <c r="L41">
        <f t="shared" si="3"/>
        <v>87245.219998848639</v>
      </c>
      <c r="M41">
        <f t="shared" si="4"/>
        <v>0</v>
      </c>
      <c r="N41" s="29">
        <f t="shared" si="5"/>
        <v>87245.219998848639</v>
      </c>
      <c r="O41" s="29">
        <f t="shared" si="6"/>
        <v>87238.578119525628</v>
      </c>
      <c r="P41" s="29">
        <f t="shared" si="7"/>
        <v>87238.578119525628</v>
      </c>
      <c r="Q41">
        <f t="shared" si="8"/>
        <v>0</v>
      </c>
      <c r="R41" s="29">
        <f t="shared" si="9"/>
        <v>87238.578119525628</v>
      </c>
      <c r="S41" s="29">
        <f t="shared" si="10"/>
        <v>87238.578119525628</v>
      </c>
      <c r="T41" s="29">
        <f t="shared" si="11"/>
        <v>87238.578119525628</v>
      </c>
      <c r="U41">
        <f t="shared" si="12"/>
        <v>0</v>
      </c>
      <c r="V41" s="29">
        <f t="shared" si="13"/>
        <v>87238.578119525628</v>
      </c>
      <c r="W41" s="29">
        <f t="shared" si="14"/>
        <v>87238.578119525628</v>
      </c>
      <c r="X41" s="29">
        <f t="shared" si="15"/>
        <v>87238.578119525628</v>
      </c>
      <c r="Y41">
        <f t="shared" si="16"/>
        <v>0</v>
      </c>
    </row>
    <row r="42" spans="1:25" x14ac:dyDescent="0.25">
      <c r="A42" s="4" t="s">
        <v>734</v>
      </c>
      <c r="B42" s="7" t="s">
        <v>346</v>
      </c>
      <c r="C42" s="2" t="s">
        <v>735</v>
      </c>
      <c r="D42">
        <f>VLOOKUP(B42,'Model allocations'!$A$1:$L$317,6,FALSE)</f>
        <v>1494853.5578641649</v>
      </c>
      <c r="E42" s="31">
        <f>VLOOKUP(B42,'Initial adjusted formula count'!$A$1:$P$317,12,FALSE)</f>
        <v>0.150844876350714</v>
      </c>
      <c r="F42">
        <f>VLOOKUP(B42,'Model allocations'!$A$1:$L$317,11,FALSE)</f>
        <v>1583027.0098344553</v>
      </c>
      <c r="G42" s="30">
        <f t="shared" si="17"/>
        <v>0.9</v>
      </c>
      <c r="H42">
        <f t="shared" si="18"/>
        <v>1345368.2020777485</v>
      </c>
      <c r="I42">
        <f t="shared" si="0"/>
        <v>0</v>
      </c>
      <c r="J42">
        <f t="shared" si="1"/>
        <v>1583027.0098344553</v>
      </c>
      <c r="K42">
        <f t="shared" si="2"/>
        <v>1582103.678998729</v>
      </c>
      <c r="L42">
        <f t="shared" si="3"/>
        <v>1582103.678998729</v>
      </c>
      <c r="M42">
        <f t="shared" si="4"/>
        <v>0</v>
      </c>
      <c r="N42" s="29">
        <f t="shared" si="5"/>
        <v>1582103.678998729</v>
      </c>
      <c r="O42" s="29">
        <f t="shared" si="6"/>
        <v>1581983.2352459074</v>
      </c>
      <c r="P42" s="29">
        <f t="shared" si="7"/>
        <v>1581983.2352459074</v>
      </c>
      <c r="Q42">
        <f t="shared" si="8"/>
        <v>0</v>
      </c>
      <c r="R42" s="29">
        <f t="shared" si="9"/>
        <v>1581983.2352459074</v>
      </c>
      <c r="S42" s="29">
        <f t="shared" si="10"/>
        <v>1581983.2352459074</v>
      </c>
      <c r="T42" s="29">
        <f t="shared" si="11"/>
        <v>1581983.2352459074</v>
      </c>
      <c r="U42">
        <f t="shared" si="12"/>
        <v>0</v>
      </c>
      <c r="V42" s="29">
        <f t="shared" si="13"/>
        <v>1581983.2352459074</v>
      </c>
      <c r="W42" s="29">
        <f t="shared" si="14"/>
        <v>1581983.2352459074</v>
      </c>
      <c r="X42" s="29">
        <f t="shared" si="15"/>
        <v>1581983.2352459074</v>
      </c>
      <c r="Y42">
        <f t="shared" si="16"/>
        <v>0</v>
      </c>
    </row>
    <row r="43" spans="1:25" x14ac:dyDescent="0.25">
      <c r="A43" s="4" t="s">
        <v>736</v>
      </c>
      <c r="B43" s="7" t="s">
        <v>270</v>
      </c>
      <c r="C43" s="2" t="s">
        <v>737</v>
      </c>
      <c r="D43">
        <f>VLOOKUP(B43,'Model allocations'!$A$1:$L$317,6,FALSE)</f>
        <v>25456.351978765349</v>
      </c>
      <c r="E43" s="31">
        <f>VLOOKUP(B43,'Initial adjusted formula count'!$A$1:$P$317,12,FALSE)</f>
        <v>9.8070739549839206E-2</v>
      </c>
      <c r="F43">
        <f>VLOOKUP(B43,'Model allocations'!$A$1:$L$317,11,FALSE)</f>
        <v>34804.342259831254</v>
      </c>
      <c r="G43" s="30">
        <f t="shared" si="17"/>
        <v>0.85</v>
      </c>
      <c r="H43">
        <f t="shared" si="18"/>
        <v>21637.899181950546</v>
      </c>
      <c r="I43">
        <f t="shared" si="0"/>
        <v>0</v>
      </c>
      <c r="J43">
        <f t="shared" si="1"/>
        <v>34804.342259831254</v>
      </c>
      <c r="K43">
        <f t="shared" si="2"/>
        <v>34784.041960325289</v>
      </c>
      <c r="L43">
        <f t="shared" si="3"/>
        <v>34784.041960325289</v>
      </c>
      <c r="M43">
        <f t="shared" si="4"/>
        <v>0</v>
      </c>
      <c r="N43" s="29">
        <f t="shared" si="5"/>
        <v>34784.041960325289</v>
      </c>
      <c r="O43" s="29">
        <f t="shared" si="6"/>
        <v>34781.393890791274</v>
      </c>
      <c r="P43" s="29">
        <f t="shared" si="7"/>
        <v>34781.393890791274</v>
      </c>
      <c r="Q43">
        <f t="shared" si="8"/>
        <v>0</v>
      </c>
      <c r="R43" s="29">
        <f t="shared" si="9"/>
        <v>34781.393890791274</v>
      </c>
      <c r="S43" s="29">
        <f t="shared" si="10"/>
        <v>34781.393890791274</v>
      </c>
      <c r="T43" s="29">
        <f t="shared" si="11"/>
        <v>34781.393890791274</v>
      </c>
      <c r="U43">
        <f t="shared" si="12"/>
        <v>0</v>
      </c>
      <c r="V43" s="29">
        <f t="shared" si="13"/>
        <v>34781.393890791274</v>
      </c>
      <c r="W43" s="29">
        <f t="shared" si="14"/>
        <v>34781.393890791274</v>
      </c>
      <c r="X43" s="29">
        <f t="shared" si="15"/>
        <v>34781.393890791274</v>
      </c>
      <c r="Y43">
        <f t="shared" si="16"/>
        <v>0</v>
      </c>
    </row>
    <row r="44" spans="1:25" x14ac:dyDescent="0.25">
      <c r="A44" s="4" t="s">
        <v>738</v>
      </c>
      <c r="B44" s="7" t="s">
        <v>348</v>
      </c>
      <c r="C44" s="2" t="s">
        <v>739</v>
      </c>
      <c r="D44">
        <f>VLOOKUP(B44,'Model allocations'!$A$1:$L$317,6,FALSE)</f>
        <v>122756.18620871288</v>
      </c>
      <c r="E44" s="31">
        <f>VLOOKUP(B44,'Initial adjusted formula count'!$A$1:$P$317,12,FALSE)</f>
        <v>0.13999021047479199</v>
      </c>
      <c r="F44">
        <f>VLOOKUP(B44,'Model allocations'!$A$1:$L$317,11,FALSE)</f>
        <v>163181.01452970059</v>
      </c>
      <c r="G44" s="30">
        <f t="shared" si="17"/>
        <v>0.85</v>
      </c>
      <c r="H44">
        <f t="shared" si="18"/>
        <v>104342.75827740594</v>
      </c>
      <c r="I44">
        <f t="shared" si="0"/>
        <v>0</v>
      </c>
      <c r="J44">
        <f t="shared" si="1"/>
        <v>163181.01452970059</v>
      </c>
      <c r="K44">
        <f t="shared" si="2"/>
        <v>163085.83607627917</v>
      </c>
      <c r="L44">
        <f t="shared" si="3"/>
        <v>163085.83607627917</v>
      </c>
      <c r="M44">
        <f t="shared" si="4"/>
        <v>0</v>
      </c>
      <c r="N44" s="29">
        <f t="shared" si="5"/>
        <v>163085.83607627917</v>
      </c>
      <c r="O44" s="29">
        <f t="shared" si="6"/>
        <v>163073.42053715247</v>
      </c>
      <c r="P44" s="29">
        <f t="shared" si="7"/>
        <v>163073.42053715247</v>
      </c>
      <c r="Q44">
        <f t="shared" si="8"/>
        <v>0</v>
      </c>
      <c r="R44" s="29">
        <f t="shared" si="9"/>
        <v>163073.42053715247</v>
      </c>
      <c r="S44" s="29">
        <f t="shared" si="10"/>
        <v>163073.42053715247</v>
      </c>
      <c r="T44" s="29">
        <f t="shared" si="11"/>
        <v>163073.42053715247</v>
      </c>
      <c r="U44">
        <f t="shared" si="12"/>
        <v>0</v>
      </c>
      <c r="V44" s="29">
        <f t="shared" si="13"/>
        <v>163073.42053715247</v>
      </c>
      <c r="W44" s="29">
        <f t="shared" si="14"/>
        <v>163073.42053715247</v>
      </c>
      <c r="X44" s="29">
        <f t="shared" si="15"/>
        <v>163073.42053715247</v>
      </c>
      <c r="Y44">
        <f t="shared" si="16"/>
        <v>0</v>
      </c>
    </row>
    <row r="45" spans="1:25" x14ac:dyDescent="0.25">
      <c r="A45" s="4" t="s">
        <v>740</v>
      </c>
      <c r="B45" s="7" t="s">
        <v>350</v>
      </c>
      <c r="C45" s="2" t="s">
        <v>741</v>
      </c>
      <c r="D45">
        <f>VLOOKUP(B45,'Model allocations'!$A$1:$L$317,6,FALSE)</f>
        <v>9616.8440808669056</v>
      </c>
      <c r="E45" s="31">
        <f>VLOOKUP(B45,'Initial adjusted formula count'!$A$1:$P$317,12,FALSE)</f>
        <v>3.5999999999999997E-2</v>
      </c>
      <c r="F45">
        <f>VLOOKUP(B45,'Model allocations'!$A$1:$L$317,11,FALSE)</f>
        <v>0</v>
      </c>
      <c r="G45" s="30">
        <f t="shared" si="17"/>
        <v>0.85</v>
      </c>
      <c r="H45">
        <f t="shared" si="1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3"/>
        <v>0</v>
      </c>
      <c r="M45">
        <f t="shared" si="4"/>
        <v>0</v>
      </c>
      <c r="N45" s="29">
        <f t="shared" si="5"/>
        <v>0</v>
      </c>
      <c r="O45" s="29">
        <f t="shared" si="6"/>
        <v>0</v>
      </c>
      <c r="P45" s="29">
        <f t="shared" si="7"/>
        <v>0</v>
      </c>
      <c r="Q45">
        <f t="shared" si="8"/>
        <v>0</v>
      </c>
      <c r="R45" s="29">
        <f t="shared" si="9"/>
        <v>0</v>
      </c>
      <c r="S45" s="29">
        <f t="shared" si="10"/>
        <v>0</v>
      </c>
      <c r="T45" s="29">
        <f t="shared" si="11"/>
        <v>0</v>
      </c>
      <c r="U45">
        <f t="shared" si="12"/>
        <v>0</v>
      </c>
      <c r="V45" s="29">
        <f t="shared" si="13"/>
        <v>0</v>
      </c>
      <c r="W45" s="29">
        <f t="shared" si="14"/>
        <v>0</v>
      </c>
      <c r="X45" s="29">
        <f t="shared" si="15"/>
        <v>0</v>
      </c>
      <c r="Y45">
        <f t="shared" si="16"/>
        <v>0</v>
      </c>
    </row>
    <row r="46" spans="1:25" x14ac:dyDescent="0.25">
      <c r="A46" s="4" t="s">
        <v>742</v>
      </c>
      <c r="B46" s="7" t="s">
        <v>352</v>
      </c>
      <c r="C46" s="2" t="s">
        <v>743</v>
      </c>
      <c r="D46">
        <f>VLOOKUP(B46,'Model allocations'!$A$1:$L$317,6,FALSE)</f>
        <v>29017.837044772285</v>
      </c>
      <c r="E46" s="31">
        <f>VLOOKUP(B46,'Initial adjusted formula count'!$A$1:$P$317,12,FALSE)</f>
        <v>0.18446601941747601</v>
      </c>
      <c r="F46">
        <f>VLOOKUP(B46,'Model allocations'!$A$1:$L$317,11,FALSE)</f>
        <v>26116.053340295057</v>
      </c>
      <c r="G46" s="30">
        <f t="shared" si="17"/>
        <v>0.9</v>
      </c>
      <c r="H46">
        <f t="shared" si="18"/>
        <v>26116.053340295057</v>
      </c>
      <c r="I46">
        <f t="shared" si="0"/>
        <v>0</v>
      </c>
      <c r="J46">
        <f t="shared" si="1"/>
        <v>26116.053340295057</v>
      </c>
      <c r="K46">
        <f t="shared" si="2"/>
        <v>26100.820651776943</v>
      </c>
      <c r="L46">
        <f t="shared" si="3"/>
        <v>26100.820651776943</v>
      </c>
      <c r="M46">
        <f t="shared" si="4"/>
        <v>26116.053340295057</v>
      </c>
      <c r="N46" s="29">
        <f t="shared" si="5"/>
        <v>0</v>
      </c>
      <c r="O46" s="29">
        <f t="shared" si="6"/>
        <v>0</v>
      </c>
      <c r="P46" s="29">
        <f t="shared" si="7"/>
        <v>26116.053340295057</v>
      </c>
      <c r="Q46">
        <f t="shared" si="8"/>
        <v>0</v>
      </c>
      <c r="R46" s="29">
        <f t="shared" si="9"/>
        <v>0</v>
      </c>
      <c r="S46" s="29">
        <f t="shared" si="10"/>
        <v>0</v>
      </c>
      <c r="T46" s="29">
        <f t="shared" si="11"/>
        <v>26116.053340295057</v>
      </c>
      <c r="U46">
        <f t="shared" si="12"/>
        <v>0</v>
      </c>
      <c r="V46" s="29">
        <f t="shared" si="13"/>
        <v>0</v>
      </c>
      <c r="W46" s="29">
        <f t="shared" si="14"/>
        <v>0</v>
      </c>
      <c r="X46" s="29">
        <f t="shared" si="15"/>
        <v>26116.053340295057</v>
      </c>
      <c r="Y46">
        <f t="shared" si="16"/>
        <v>0</v>
      </c>
    </row>
    <row r="47" spans="1:25" x14ac:dyDescent="0.25">
      <c r="A47" s="4" t="s">
        <v>744</v>
      </c>
      <c r="B47" s="7" t="s">
        <v>353</v>
      </c>
      <c r="C47" s="2" t="s">
        <v>745</v>
      </c>
      <c r="D47">
        <f>VLOOKUP(B47,'Model allocations'!$A$1:$L$317,6,FALSE)</f>
        <v>56948.100454925217</v>
      </c>
      <c r="E47" s="31">
        <f>VLOOKUP(B47,'Initial adjusted formula count'!$A$1:$P$317,12,FALSE)</f>
        <v>0.140974967061924</v>
      </c>
      <c r="F47">
        <f>VLOOKUP(B47,'Model allocations'!$A$1:$L$317,11,FALSE)</f>
        <v>61050.239701671206</v>
      </c>
      <c r="G47" s="30">
        <f t="shared" si="17"/>
        <v>0.85</v>
      </c>
      <c r="H47">
        <f t="shared" si="18"/>
        <v>48405.88538668643</v>
      </c>
      <c r="I47">
        <f t="shared" si="0"/>
        <v>0</v>
      </c>
      <c r="J47">
        <f t="shared" si="1"/>
        <v>61050.239701671206</v>
      </c>
      <c r="K47">
        <f t="shared" si="2"/>
        <v>61014.630979586967</v>
      </c>
      <c r="L47">
        <f t="shared" si="3"/>
        <v>61014.630979586967</v>
      </c>
      <c r="M47">
        <f t="shared" si="4"/>
        <v>0</v>
      </c>
      <c r="N47" s="29">
        <f t="shared" si="5"/>
        <v>61014.630979586967</v>
      </c>
      <c r="O47" s="29">
        <f t="shared" si="6"/>
        <v>61009.986005158462</v>
      </c>
      <c r="P47" s="29">
        <f t="shared" si="7"/>
        <v>61009.986005158462</v>
      </c>
      <c r="Q47">
        <f t="shared" si="8"/>
        <v>0</v>
      </c>
      <c r="R47" s="29">
        <f t="shared" si="9"/>
        <v>61009.986005158462</v>
      </c>
      <c r="S47" s="29">
        <f t="shared" si="10"/>
        <v>61009.986005158462</v>
      </c>
      <c r="T47" s="29">
        <f t="shared" si="11"/>
        <v>61009.986005158462</v>
      </c>
      <c r="U47">
        <f t="shared" si="12"/>
        <v>0</v>
      </c>
      <c r="V47" s="29">
        <f t="shared" si="13"/>
        <v>61009.986005158462</v>
      </c>
      <c r="W47" s="29">
        <f t="shared" si="14"/>
        <v>61009.986005158462</v>
      </c>
      <c r="X47" s="29">
        <f t="shared" si="15"/>
        <v>61009.986005158462</v>
      </c>
      <c r="Y47">
        <f t="shared" si="16"/>
        <v>0</v>
      </c>
    </row>
    <row r="48" spans="1:25" x14ac:dyDescent="0.25">
      <c r="A48" s="4" t="s">
        <v>746</v>
      </c>
      <c r="B48" s="7" t="s">
        <v>354</v>
      </c>
      <c r="C48" s="2" t="s">
        <v>747</v>
      </c>
      <c r="D48">
        <f>VLOOKUP(B48,'Model allocations'!$A$1:$L$317,6,FALSE)</f>
        <v>192240.19730086092</v>
      </c>
      <c r="E48" s="31">
        <f>VLOOKUP(B48,'Initial adjusted formula count'!$A$1:$P$317,12,FALSE)</f>
        <v>0.16998011928429399</v>
      </c>
      <c r="F48">
        <f>VLOOKUP(B48,'Model allocations'!$A$1:$L$317,11,FALSE)</f>
        <v>207341.33455196244</v>
      </c>
      <c r="G48" s="30">
        <f t="shared" si="17"/>
        <v>0.9</v>
      </c>
      <c r="H48">
        <f t="shared" si="18"/>
        <v>173016.17757077483</v>
      </c>
      <c r="I48">
        <f t="shared" si="0"/>
        <v>0</v>
      </c>
      <c r="J48">
        <f t="shared" si="1"/>
        <v>207341.33455196244</v>
      </c>
      <c r="K48">
        <f t="shared" si="2"/>
        <v>207220.39874573605</v>
      </c>
      <c r="L48">
        <f t="shared" si="3"/>
        <v>207220.39874573605</v>
      </c>
      <c r="M48">
        <f t="shared" si="4"/>
        <v>0</v>
      </c>
      <c r="N48" s="29">
        <f t="shared" si="5"/>
        <v>207220.39874573605</v>
      </c>
      <c r="O48" s="29">
        <f t="shared" si="6"/>
        <v>207204.62329257364</v>
      </c>
      <c r="P48" s="29">
        <f t="shared" si="7"/>
        <v>207204.62329257364</v>
      </c>
      <c r="Q48">
        <f t="shared" si="8"/>
        <v>0</v>
      </c>
      <c r="R48" s="29">
        <f t="shared" si="9"/>
        <v>207204.62329257364</v>
      </c>
      <c r="S48" s="29">
        <f t="shared" si="10"/>
        <v>207204.62329257364</v>
      </c>
      <c r="T48" s="29">
        <f t="shared" si="11"/>
        <v>207204.62329257364</v>
      </c>
      <c r="U48">
        <f t="shared" si="12"/>
        <v>0</v>
      </c>
      <c r="V48" s="29">
        <f t="shared" si="13"/>
        <v>207204.62329257364</v>
      </c>
      <c r="W48" s="29">
        <f t="shared" si="14"/>
        <v>207204.62329257364</v>
      </c>
      <c r="X48" s="29">
        <f t="shared" si="15"/>
        <v>207204.62329257364</v>
      </c>
      <c r="Y48">
        <f t="shared" si="16"/>
        <v>0</v>
      </c>
    </row>
    <row r="49" spans="1:25" x14ac:dyDescent="0.25">
      <c r="A49" s="4" t="s">
        <v>748</v>
      </c>
      <c r="B49" s="7" t="s">
        <v>356</v>
      </c>
      <c r="C49" s="2" t="s">
        <v>749</v>
      </c>
      <c r="D49">
        <f>VLOOKUP(B49,'Model allocations'!$A$1:$L$317,6,FALSE)</f>
        <v>92256.874333283035</v>
      </c>
      <c r="E49" s="31">
        <f>VLOOKUP(B49,'Initial adjusted formula count'!$A$1:$P$317,12,FALSE)</f>
        <v>0.13881019830028299</v>
      </c>
      <c r="F49">
        <f>VLOOKUP(B49,'Model allocations'!$A$1:$L$317,11,FALSE)</f>
        <v>78418.343183290577</v>
      </c>
      <c r="G49" s="30">
        <f t="shared" si="17"/>
        <v>0.85</v>
      </c>
      <c r="H49">
        <f t="shared" si="18"/>
        <v>78418.343183290577</v>
      </c>
      <c r="I49">
        <f t="shared" si="0"/>
        <v>0</v>
      </c>
      <c r="J49">
        <f t="shared" si="1"/>
        <v>78418.343183290577</v>
      </c>
      <c r="K49">
        <f t="shared" si="2"/>
        <v>78372.604182062001</v>
      </c>
      <c r="L49">
        <f t="shared" si="3"/>
        <v>78372.604182062001</v>
      </c>
      <c r="M49">
        <f t="shared" si="4"/>
        <v>78418.343183290577</v>
      </c>
      <c r="N49" s="29">
        <f t="shared" si="5"/>
        <v>0</v>
      </c>
      <c r="O49" s="29">
        <f t="shared" si="6"/>
        <v>0</v>
      </c>
      <c r="P49" s="29">
        <f t="shared" si="7"/>
        <v>78418.343183290577</v>
      </c>
      <c r="Q49">
        <f t="shared" si="8"/>
        <v>0</v>
      </c>
      <c r="R49" s="29">
        <f t="shared" si="9"/>
        <v>0</v>
      </c>
      <c r="S49" s="29">
        <f t="shared" si="10"/>
        <v>0</v>
      </c>
      <c r="T49" s="29">
        <f t="shared" si="11"/>
        <v>78418.343183290577</v>
      </c>
      <c r="U49">
        <f t="shared" si="12"/>
        <v>0</v>
      </c>
      <c r="V49" s="29">
        <f t="shared" si="13"/>
        <v>0</v>
      </c>
      <c r="W49" s="29">
        <f t="shared" si="14"/>
        <v>0</v>
      </c>
      <c r="X49" s="29">
        <f t="shared" si="15"/>
        <v>78418.343183290577</v>
      </c>
      <c r="Y49">
        <f t="shared" si="16"/>
        <v>0</v>
      </c>
    </row>
    <row r="50" spans="1:25" x14ac:dyDescent="0.25">
      <c r="A50" s="4" t="s">
        <v>750</v>
      </c>
      <c r="B50" s="7" t="s">
        <v>111</v>
      </c>
      <c r="C50" s="2" t="s">
        <v>751</v>
      </c>
      <c r="D50">
        <f>VLOOKUP(B50,'Model allocations'!$A$1:$L$317,6,FALSE)</f>
        <v>33376.105927714569</v>
      </c>
      <c r="E50" s="31">
        <f>VLOOKUP(B50,'Initial adjusted formula count'!$A$1:$P$317,12,FALSE)</f>
        <v>8.6142322097378293E-2</v>
      </c>
      <c r="F50">
        <f>VLOOKUP(B50,'Model allocations'!$A$1:$L$317,11,FALSE)</f>
        <v>28369.690038557383</v>
      </c>
      <c r="G50" s="30">
        <f t="shared" si="17"/>
        <v>0.85</v>
      </c>
      <c r="H50">
        <f t="shared" si="18"/>
        <v>28369.690038557383</v>
      </c>
      <c r="I50">
        <f t="shared" si="0"/>
        <v>0</v>
      </c>
      <c r="J50">
        <f t="shared" si="1"/>
        <v>28369.690038557383</v>
      </c>
      <c r="K50">
        <f t="shared" si="2"/>
        <v>28353.142873253277</v>
      </c>
      <c r="L50">
        <f t="shared" si="3"/>
        <v>28353.142873253277</v>
      </c>
      <c r="M50">
        <f t="shared" si="4"/>
        <v>28369.690038557383</v>
      </c>
      <c r="N50" s="29">
        <f t="shared" si="5"/>
        <v>0</v>
      </c>
      <c r="O50" s="29">
        <f t="shared" si="6"/>
        <v>0</v>
      </c>
      <c r="P50" s="29">
        <f t="shared" si="7"/>
        <v>28369.690038557383</v>
      </c>
      <c r="Q50">
        <f t="shared" si="8"/>
        <v>0</v>
      </c>
      <c r="R50" s="29">
        <f t="shared" si="9"/>
        <v>0</v>
      </c>
      <c r="S50" s="29">
        <f t="shared" si="10"/>
        <v>0</v>
      </c>
      <c r="T50" s="29">
        <f t="shared" si="11"/>
        <v>28369.690038557383</v>
      </c>
      <c r="U50">
        <f t="shared" si="12"/>
        <v>0</v>
      </c>
      <c r="V50" s="29">
        <f t="shared" si="13"/>
        <v>0</v>
      </c>
      <c r="W50" s="29">
        <f t="shared" si="14"/>
        <v>0</v>
      </c>
      <c r="X50" s="29">
        <f t="shared" si="15"/>
        <v>28369.690038557383</v>
      </c>
      <c r="Y50">
        <f t="shared" si="16"/>
        <v>0</v>
      </c>
    </row>
    <row r="51" spans="1:25" x14ac:dyDescent="0.25">
      <c r="A51" s="4" t="s">
        <v>752</v>
      </c>
      <c r="B51" s="7" t="s">
        <v>113</v>
      </c>
      <c r="C51" s="2" t="s">
        <v>753</v>
      </c>
      <c r="D51">
        <f>VLOOKUP(B51,'Model allocations'!$A$1:$L$317,6,FALSE)</f>
        <v>27153.442110683045</v>
      </c>
      <c r="E51" s="31">
        <f>VLOOKUP(B51,'Initial adjusted formula count'!$A$1:$P$317,12,FALSE)</f>
        <v>0.104761904761905</v>
      </c>
      <c r="F51">
        <f>VLOOKUP(B51,'Model allocations'!$A$1:$L$317,11,FALSE)</f>
        <v>23227.788450643457</v>
      </c>
      <c r="G51" s="30">
        <f t="shared" si="17"/>
        <v>0.85</v>
      </c>
      <c r="H51">
        <f t="shared" si="18"/>
        <v>23080.425794080587</v>
      </c>
      <c r="I51">
        <f t="shared" si="0"/>
        <v>0</v>
      </c>
      <c r="J51">
        <f t="shared" si="1"/>
        <v>23227.788450643457</v>
      </c>
      <c r="K51">
        <f t="shared" si="2"/>
        <v>23214.240397964022</v>
      </c>
      <c r="L51">
        <f t="shared" si="3"/>
        <v>23214.240397964022</v>
      </c>
      <c r="M51">
        <f t="shared" si="4"/>
        <v>0</v>
      </c>
      <c r="N51" s="29">
        <f t="shared" si="5"/>
        <v>23214.240397964022</v>
      </c>
      <c r="O51" s="29">
        <f t="shared" si="6"/>
        <v>23212.473124257784</v>
      </c>
      <c r="P51" s="29">
        <f t="shared" si="7"/>
        <v>23212.473124257784</v>
      </c>
      <c r="Q51">
        <f t="shared" si="8"/>
        <v>0</v>
      </c>
      <c r="R51" s="29">
        <f t="shared" si="9"/>
        <v>23212.473124257784</v>
      </c>
      <c r="S51" s="29">
        <f t="shared" si="10"/>
        <v>23212.473124257784</v>
      </c>
      <c r="T51" s="29">
        <f t="shared" si="11"/>
        <v>23212.473124257784</v>
      </c>
      <c r="U51">
        <f t="shared" si="12"/>
        <v>0</v>
      </c>
      <c r="V51" s="29">
        <f t="shared" si="13"/>
        <v>23212.473124257784</v>
      </c>
      <c r="W51" s="29">
        <f t="shared" si="14"/>
        <v>23212.473124257784</v>
      </c>
      <c r="X51" s="29">
        <f t="shared" si="15"/>
        <v>23212.473124257784</v>
      </c>
      <c r="Y51">
        <f t="shared" si="16"/>
        <v>0</v>
      </c>
    </row>
    <row r="52" spans="1:25" x14ac:dyDescent="0.25">
      <c r="A52" s="4" t="s">
        <v>754</v>
      </c>
      <c r="B52" s="7" t="s">
        <v>358</v>
      </c>
      <c r="C52" s="2" t="s">
        <v>755</v>
      </c>
      <c r="D52">
        <f>VLOOKUP(B52,'Model allocations'!$A$1:$L$317,6,FALSE)</f>
        <v>23271.659567112169</v>
      </c>
      <c r="E52" s="31">
        <f>VLOOKUP(B52,'Initial adjusted formula count'!$A$1:$P$317,12,FALSE)</f>
        <v>0.19758064516129001</v>
      </c>
      <c r="F52">
        <f>VLOOKUP(B52,'Model allocations'!$A$1:$L$317,11,FALSE)</f>
        <v>32391.545496743132</v>
      </c>
      <c r="G52" s="30">
        <f t="shared" si="17"/>
        <v>0.9</v>
      </c>
      <c r="H52">
        <f t="shared" si="18"/>
        <v>20944.493610400954</v>
      </c>
      <c r="I52">
        <f t="shared" si="0"/>
        <v>0</v>
      </c>
      <c r="J52">
        <f t="shared" si="1"/>
        <v>32391.545496743132</v>
      </c>
      <c r="K52">
        <f t="shared" si="2"/>
        <v>32372.652507180621</v>
      </c>
      <c r="L52">
        <f t="shared" si="3"/>
        <v>32372.652507180621</v>
      </c>
      <c r="M52">
        <f t="shared" si="4"/>
        <v>0</v>
      </c>
      <c r="N52" s="29">
        <f t="shared" si="5"/>
        <v>32372.652507180621</v>
      </c>
      <c r="O52" s="29">
        <f t="shared" si="6"/>
        <v>32370.18801398178</v>
      </c>
      <c r="P52" s="29">
        <f t="shared" si="7"/>
        <v>32370.18801398178</v>
      </c>
      <c r="Q52">
        <f t="shared" si="8"/>
        <v>0</v>
      </c>
      <c r="R52" s="29">
        <f t="shared" si="9"/>
        <v>32370.18801398178</v>
      </c>
      <c r="S52" s="29">
        <f t="shared" si="10"/>
        <v>32370.18801398178</v>
      </c>
      <c r="T52" s="29">
        <f t="shared" si="11"/>
        <v>32370.18801398178</v>
      </c>
      <c r="U52">
        <f t="shared" si="12"/>
        <v>0</v>
      </c>
      <c r="V52" s="29">
        <f t="shared" si="13"/>
        <v>32370.18801398178</v>
      </c>
      <c r="W52" s="29">
        <f t="shared" si="14"/>
        <v>32370.18801398178</v>
      </c>
      <c r="X52" s="29">
        <f t="shared" si="15"/>
        <v>32370.18801398178</v>
      </c>
      <c r="Y52">
        <f t="shared" si="16"/>
        <v>0</v>
      </c>
    </row>
    <row r="53" spans="1:25" x14ac:dyDescent="0.25">
      <c r="A53" s="4" t="s">
        <v>756</v>
      </c>
      <c r="B53" s="7" t="s">
        <v>360</v>
      </c>
      <c r="C53" s="2" t="s">
        <v>757</v>
      </c>
      <c r="D53">
        <f>VLOOKUP(B53,'Model allocations'!$A$1:$L$317,6,FALSE)</f>
        <v>56618.107832923997</v>
      </c>
      <c r="E53" s="31">
        <f>VLOOKUP(B53,'Initial adjusted formula count'!$A$1:$P$317,12,FALSE)</f>
        <v>0.10175763182238701</v>
      </c>
      <c r="F53">
        <f>VLOOKUP(B53,'Model allocations'!$A$1:$L$317,11,FALSE)</f>
        <v>62761.92866526945</v>
      </c>
      <c r="G53" s="30">
        <f t="shared" si="17"/>
        <v>0.85</v>
      </c>
      <c r="H53">
        <f t="shared" si="18"/>
        <v>48125.391657985398</v>
      </c>
      <c r="I53">
        <f t="shared" si="0"/>
        <v>0</v>
      </c>
      <c r="J53">
        <f t="shared" si="1"/>
        <v>62761.92866526945</v>
      </c>
      <c r="K53">
        <f t="shared" si="2"/>
        <v>62725.321567799678</v>
      </c>
      <c r="L53">
        <f t="shared" si="3"/>
        <v>62725.321567799678</v>
      </c>
      <c r="M53">
        <f t="shared" si="4"/>
        <v>0</v>
      </c>
      <c r="N53" s="29">
        <f t="shared" si="5"/>
        <v>62725.321567799678</v>
      </c>
      <c r="O53" s="29">
        <f t="shared" si="6"/>
        <v>62720.546360443266</v>
      </c>
      <c r="P53" s="29">
        <f t="shared" si="7"/>
        <v>62720.546360443266</v>
      </c>
      <c r="Q53">
        <f t="shared" si="8"/>
        <v>0</v>
      </c>
      <c r="R53" s="29">
        <f t="shared" si="9"/>
        <v>62720.546360443266</v>
      </c>
      <c r="S53" s="29">
        <f t="shared" si="10"/>
        <v>62720.546360443266</v>
      </c>
      <c r="T53" s="29">
        <f t="shared" si="11"/>
        <v>62720.546360443266</v>
      </c>
      <c r="U53">
        <f t="shared" si="12"/>
        <v>0</v>
      </c>
      <c r="V53" s="29">
        <f t="shared" si="13"/>
        <v>62720.546360443266</v>
      </c>
      <c r="W53" s="29">
        <f t="shared" si="14"/>
        <v>62720.546360443266</v>
      </c>
      <c r="X53" s="29">
        <f t="shared" si="15"/>
        <v>62720.546360443266</v>
      </c>
      <c r="Y53">
        <f t="shared" si="16"/>
        <v>0</v>
      </c>
    </row>
    <row r="54" spans="1:25" x14ac:dyDescent="0.25">
      <c r="A54" s="4" t="s">
        <v>758</v>
      </c>
      <c r="B54" s="7" t="s">
        <v>362</v>
      </c>
      <c r="C54" s="2" t="s">
        <v>759</v>
      </c>
      <c r="D54">
        <f>VLOOKUP(B54,'Model allocations'!$A$1:$L$317,6,FALSE)</f>
        <v>43522.866402272775</v>
      </c>
      <c r="E54" s="31">
        <f>VLOOKUP(B54,'Initial adjusted formula count'!$A$1:$P$317,12,FALSE)</f>
        <v>0.178362573099415</v>
      </c>
      <c r="F54">
        <f>VLOOKUP(B54,'Model allocations'!$A$1:$L$317,11,FALSE)</f>
        <v>39170.579762045498</v>
      </c>
      <c r="G54" s="30">
        <f t="shared" si="17"/>
        <v>0.9</v>
      </c>
      <c r="H54">
        <f t="shared" si="18"/>
        <v>39170.579762045498</v>
      </c>
      <c r="I54">
        <f t="shared" si="0"/>
        <v>0</v>
      </c>
      <c r="J54">
        <f t="shared" si="1"/>
        <v>39170.579762045498</v>
      </c>
      <c r="K54">
        <f t="shared" si="2"/>
        <v>39147.732770855277</v>
      </c>
      <c r="L54">
        <f t="shared" si="3"/>
        <v>39147.732770855277</v>
      </c>
      <c r="M54">
        <f t="shared" si="4"/>
        <v>39170.579762045498</v>
      </c>
      <c r="N54" s="29">
        <f t="shared" si="5"/>
        <v>0</v>
      </c>
      <c r="O54" s="29">
        <f t="shared" si="6"/>
        <v>0</v>
      </c>
      <c r="P54" s="29">
        <f t="shared" si="7"/>
        <v>39170.579762045498</v>
      </c>
      <c r="Q54">
        <f t="shared" si="8"/>
        <v>0</v>
      </c>
      <c r="R54" s="29">
        <f t="shared" si="9"/>
        <v>0</v>
      </c>
      <c r="S54" s="29">
        <f t="shared" si="10"/>
        <v>0</v>
      </c>
      <c r="T54" s="29">
        <f t="shared" si="11"/>
        <v>39170.579762045498</v>
      </c>
      <c r="U54">
        <f t="shared" si="12"/>
        <v>0</v>
      </c>
      <c r="V54" s="29">
        <f t="shared" si="13"/>
        <v>0</v>
      </c>
      <c r="W54" s="29">
        <f t="shared" si="14"/>
        <v>0</v>
      </c>
      <c r="X54" s="29">
        <f t="shared" si="15"/>
        <v>39170.579762045498</v>
      </c>
      <c r="Y54">
        <f t="shared" si="16"/>
        <v>0</v>
      </c>
    </row>
    <row r="55" spans="1:25" x14ac:dyDescent="0.25">
      <c r="A55" s="8" t="s">
        <v>760</v>
      </c>
      <c r="B55" s="7" t="s">
        <v>364</v>
      </c>
      <c r="C55" s="2" t="s">
        <v>761</v>
      </c>
      <c r="D55">
        <f>VLOOKUP(B55,'Model allocations'!$A$1:$L$317,6,FALSE)</f>
        <v>9388.7092391401129</v>
      </c>
      <c r="E55" s="31">
        <f>VLOOKUP(B55,'Initial adjusted formula count'!$A$1:$P$317,12,FALSE)</f>
        <v>0.12280701754386</v>
      </c>
      <c r="F55">
        <f>VLOOKUP(B55,'Model allocations'!$A$1:$L$317,11,FALSE)</f>
        <v>7987.8818301252049</v>
      </c>
      <c r="G55" s="30">
        <f t="shared" si="17"/>
        <v>0.85</v>
      </c>
      <c r="H55">
        <f t="shared" si="18"/>
        <v>7980.4028532690954</v>
      </c>
      <c r="I55">
        <f t="shared" si="0"/>
        <v>0</v>
      </c>
      <c r="J55">
        <f t="shared" si="1"/>
        <v>7987.8818301252049</v>
      </c>
      <c r="K55">
        <f t="shared" si="2"/>
        <v>7983.2227449926877</v>
      </c>
      <c r="L55">
        <f t="shared" si="3"/>
        <v>7983.2227449926877</v>
      </c>
      <c r="M55">
        <f t="shared" si="4"/>
        <v>0</v>
      </c>
      <c r="N55" s="29">
        <f t="shared" si="5"/>
        <v>7983.2227449926877</v>
      </c>
      <c r="O55" s="29">
        <f t="shared" si="6"/>
        <v>7982.6149913291438</v>
      </c>
      <c r="P55" s="29">
        <f t="shared" si="7"/>
        <v>7982.6149913291438</v>
      </c>
      <c r="Q55">
        <f t="shared" si="8"/>
        <v>0</v>
      </c>
      <c r="R55" s="29">
        <f t="shared" si="9"/>
        <v>7982.6149913291438</v>
      </c>
      <c r="S55" s="29">
        <f t="shared" si="10"/>
        <v>7982.6149913291438</v>
      </c>
      <c r="T55" s="29">
        <f t="shared" si="11"/>
        <v>7982.6149913291438</v>
      </c>
      <c r="U55">
        <f t="shared" si="12"/>
        <v>0</v>
      </c>
      <c r="V55" s="29">
        <f t="shared" si="13"/>
        <v>7982.6149913291438</v>
      </c>
      <c r="W55" s="29">
        <f t="shared" si="14"/>
        <v>7982.6149913291438</v>
      </c>
      <c r="X55" s="29">
        <f t="shared" si="15"/>
        <v>7982.6149913291438</v>
      </c>
      <c r="Y55">
        <f t="shared" si="16"/>
        <v>0</v>
      </c>
    </row>
    <row r="56" spans="1:25" x14ac:dyDescent="0.25">
      <c r="A56" s="4" t="s">
        <v>762</v>
      </c>
      <c r="B56" s="7" t="s">
        <v>366</v>
      </c>
      <c r="C56" s="2" t="s">
        <v>763</v>
      </c>
      <c r="D56">
        <f>VLOOKUP(B56,'Model allocations'!$A$1:$L$317,6,FALSE)</f>
        <v>41772.52708652999</v>
      </c>
      <c r="E56" s="31">
        <f>VLOOKUP(B56,'Initial adjusted formula count'!$A$1:$P$317,12,FALSE)</f>
        <v>0.33333333333333298</v>
      </c>
      <c r="F56">
        <f>VLOOKUP(B56,'Model allocations'!$A$1:$L$317,11,FALSE)</f>
        <v>54081.16940675435</v>
      </c>
      <c r="G56" s="30">
        <f t="shared" si="17"/>
        <v>0.95</v>
      </c>
      <c r="H56">
        <f t="shared" si="18"/>
        <v>39683.900732203489</v>
      </c>
      <c r="I56">
        <f t="shared" si="0"/>
        <v>0</v>
      </c>
      <c r="J56">
        <f t="shared" si="1"/>
        <v>54081.16940675435</v>
      </c>
      <c r="K56">
        <f t="shared" si="2"/>
        <v>54049.625528453369</v>
      </c>
      <c r="L56">
        <f t="shared" si="3"/>
        <v>54049.625528453369</v>
      </c>
      <c r="M56">
        <f t="shared" si="4"/>
        <v>0</v>
      </c>
      <c r="N56" s="29">
        <f t="shared" si="5"/>
        <v>54049.625528453369</v>
      </c>
      <c r="O56" s="29">
        <f t="shared" si="6"/>
        <v>54045.510791964443</v>
      </c>
      <c r="P56" s="29">
        <f t="shared" si="7"/>
        <v>54045.510791964443</v>
      </c>
      <c r="Q56">
        <f t="shared" si="8"/>
        <v>0</v>
      </c>
      <c r="R56" s="29">
        <f t="shared" si="9"/>
        <v>54045.510791964443</v>
      </c>
      <c r="S56" s="29">
        <f t="shared" si="10"/>
        <v>54045.510791964443</v>
      </c>
      <c r="T56" s="29">
        <f t="shared" si="11"/>
        <v>54045.510791964443</v>
      </c>
      <c r="U56">
        <f t="shared" si="12"/>
        <v>0</v>
      </c>
      <c r="V56" s="29">
        <f t="shared" si="13"/>
        <v>54045.510791964443</v>
      </c>
      <c r="W56" s="29">
        <f t="shared" si="14"/>
        <v>54045.510791964443</v>
      </c>
      <c r="X56" s="29">
        <f t="shared" si="15"/>
        <v>54045.510791964443</v>
      </c>
      <c r="Y56">
        <f t="shared" si="16"/>
        <v>0</v>
      </c>
    </row>
    <row r="57" spans="1:25" x14ac:dyDescent="0.25">
      <c r="A57" s="4" t="s">
        <v>764</v>
      </c>
      <c r="B57" s="7" t="s">
        <v>368</v>
      </c>
      <c r="C57" s="2" t="s">
        <v>765</v>
      </c>
      <c r="D57">
        <f>VLOOKUP(B57,'Model allocations'!$A$1:$L$317,6,FALSE)</f>
        <v>74511.21780435952</v>
      </c>
      <c r="E57" s="31">
        <f>VLOOKUP(B57,'Initial adjusted formula count'!$A$1:$P$317,12,FALSE)</f>
        <v>0.24148606811145501</v>
      </c>
      <c r="F57">
        <f>VLOOKUP(B57,'Model allocations'!$A$1:$L$317,11,FALSE)</f>
        <v>67060.096023923572</v>
      </c>
      <c r="G57" s="30">
        <f t="shared" si="17"/>
        <v>0.9</v>
      </c>
      <c r="H57">
        <f t="shared" si="18"/>
        <v>67060.096023923572</v>
      </c>
      <c r="I57">
        <f t="shared" si="0"/>
        <v>0</v>
      </c>
      <c r="J57">
        <f t="shared" si="1"/>
        <v>67060.096023923572</v>
      </c>
      <c r="K57">
        <f t="shared" si="2"/>
        <v>67020.981937985052</v>
      </c>
      <c r="L57">
        <f t="shared" si="3"/>
        <v>67020.981937985052</v>
      </c>
      <c r="M57">
        <f t="shared" si="4"/>
        <v>67060.096023923572</v>
      </c>
      <c r="N57" s="29">
        <f t="shared" si="5"/>
        <v>0</v>
      </c>
      <c r="O57" s="29">
        <f t="shared" si="6"/>
        <v>0</v>
      </c>
      <c r="P57" s="29">
        <f t="shared" si="7"/>
        <v>67060.096023923572</v>
      </c>
      <c r="Q57">
        <f t="shared" si="8"/>
        <v>0</v>
      </c>
      <c r="R57" s="29">
        <f t="shared" si="9"/>
        <v>0</v>
      </c>
      <c r="S57" s="29">
        <f t="shared" si="10"/>
        <v>0</v>
      </c>
      <c r="T57" s="29">
        <f t="shared" si="11"/>
        <v>67060.096023923572</v>
      </c>
      <c r="U57">
        <f t="shared" si="12"/>
        <v>0</v>
      </c>
      <c r="V57" s="29">
        <f t="shared" si="13"/>
        <v>0</v>
      </c>
      <c r="W57" s="29">
        <f t="shared" si="14"/>
        <v>0</v>
      </c>
      <c r="X57" s="29">
        <f t="shared" si="15"/>
        <v>67060.096023923572</v>
      </c>
      <c r="Y57">
        <f t="shared" si="16"/>
        <v>0</v>
      </c>
    </row>
    <row r="58" spans="1:25" x14ac:dyDescent="0.25">
      <c r="A58" s="4" t="s">
        <v>766</v>
      </c>
      <c r="B58" s="7" t="s">
        <v>115</v>
      </c>
      <c r="C58" s="2" t="s">
        <v>767</v>
      </c>
      <c r="D58">
        <f>VLOOKUP(B58,'Model allocations'!$A$1:$L$317,6,FALSE)</f>
        <v>0</v>
      </c>
      <c r="E58" s="31">
        <f>VLOOKUP(B58,'Initial adjusted formula count'!$A$1:$P$317,12,FALSE)</f>
        <v>2.6548672566371698E-2</v>
      </c>
      <c r="F58">
        <f>VLOOKUP(B58,'Model allocations'!$A$1:$L$317,11,FALSE)</f>
        <v>0</v>
      </c>
      <c r="G58" s="30">
        <f t="shared" si="17"/>
        <v>0.85</v>
      </c>
      <c r="H58">
        <f t="shared" si="1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3"/>
        <v>0</v>
      </c>
      <c r="M58">
        <f t="shared" si="4"/>
        <v>0</v>
      </c>
      <c r="N58" s="29">
        <f t="shared" si="5"/>
        <v>0</v>
      </c>
      <c r="O58" s="29">
        <f t="shared" si="6"/>
        <v>0</v>
      </c>
      <c r="P58" s="29">
        <f t="shared" si="7"/>
        <v>0</v>
      </c>
      <c r="Q58">
        <f t="shared" si="8"/>
        <v>0</v>
      </c>
      <c r="R58" s="29">
        <f t="shared" si="9"/>
        <v>0</v>
      </c>
      <c r="S58" s="29">
        <f t="shared" si="10"/>
        <v>0</v>
      </c>
      <c r="T58" s="29">
        <f t="shared" si="11"/>
        <v>0</v>
      </c>
      <c r="U58">
        <f t="shared" si="12"/>
        <v>0</v>
      </c>
      <c r="V58" s="29">
        <f t="shared" si="13"/>
        <v>0</v>
      </c>
      <c r="W58" s="29">
        <f t="shared" si="14"/>
        <v>0</v>
      </c>
      <c r="X58" s="29">
        <f t="shared" si="15"/>
        <v>0</v>
      </c>
      <c r="Y58">
        <f t="shared" si="16"/>
        <v>0</v>
      </c>
    </row>
    <row r="59" spans="1:25" x14ac:dyDescent="0.25">
      <c r="A59" s="4" t="s">
        <v>768</v>
      </c>
      <c r="B59" s="7" t="s">
        <v>272</v>
      </c>
      <c r="C59" s="2" t="s">
        <v>769</v>
      </c>
      <c r="D59">
        <f>VLOOKUP(B59,'Model allocations'!$A$1:$L$317,6,FALSE)</f>
        <v>39428.528077974399</v>
      </c>
      <c r="E59" s="31">
        <f>VLOOKUP(B59,'Initial adjusted formula count'!$A$1:$P$317,12,FALSE)</f>
        <v>9.4861660079051405E-2</v>
      </c>
      <c r="F59">
        <f>VLOOKUP(B59,'Model allocations'!$A$1:$L$317,11,FALSE)</f>
        <v>33514.248866278242</v>
      </c>
      <c r="G59" s="30">
        <f t="shared" si="17"/>
        <v>0.85</v>
      </c>
      <c r="H59">
        <f t="shared" si="18"/>
        <v>33514.248866278242</v>
      </c>
      <c r="I59">
        <f t="shared" si="0"/>
        <v>0</v>
      </c>
      <c r="J59">
        <f t="shared" si="1"/>
        <v>33514.248866278242</v>
      </c>
      <c r="K59">
        <f t="shared" si="2"/>
        <v>33494.701038463434</v>
      </c>
      <c r="L59">
        <f t="shared" si="3"/>
        <v>33494.701038463434</v>
      </c>
      <c r="M59">
        <f t="shared" si="4"/>
        <v>33514.248866278242</v>
      </c>
      <c r="N59" s="29">
        <f t="shared" si="5"/>
        <v>0</v>
      </c>
      <c r="O59" s="29">
        <f t="shared" si="6"/>
        <v>0</v>
      </c>
      <c r="P59" s="29">
        <f t="shared" si="7"/>
        <v>33514.248866278242</v>
      </c>
      <c r="Q59">
        <f t="shared" si="8"/>
        <v>0</v>
      </c>
      <c r="R59" s="29">
        <f t="shared" si="9"/>
        <v>0</v>
      </c>
      <c r="S59" s="29">
        <f t="shared" si="10"/>
        <v>0</v>
      </c>
      <c r="T59" s="29">
        <f t="shared" si="11"/>
        <v>33514.248866278242</v>
      </c>
      <c r="U59">
        <f t="shared" si="12"/>
        <v>0</v>
      </c>
      <c r="V59" s="29">
        <f t="shared" si="13"/>
        <v>0</v>
      </c>
      <c r="W59" s="29">
        <f t="shared" si="14"/>
        <v>0</v>
      </c>
      <c r="X59" s="29">
        <f t="shared" si="15"/>
        <v>33514.248866278242</v>
      </c>
      <c r="Y59">
        <f t="shared" si="16"/>
        <v>0</v>
      </c>
    </row>
    <row r="60" spans="1:25" x14ac:dyDescent="0.25">
      <c r="A60" s="4" t="s">
        <v>770</v>
      </c>
      <c r="B60" s="7" t="s">
        <v>370</v>
      </c>
      <c r="C60" s="2" t="s">
        <v>771</v>
      </c>
      <c r="D60">
        <f>VLOOKUP(B60,'Model allocations'!$A$1:$L$317,6,FALSE)</f>
        <v>45821.433561777616</v>
      </c>
      <c r="E60" s="31">
        <f>VLOOKUP(B60,'Initial adjusted formula count'!$A$1:$P$317,12,FALSE)</f>
        <v>0.13945578231292499</v>
      </c>
      <c r="F60">
        <f>VLOOKUP(B60,'Model allocations'!$A$1:$L$317,11,FALSE)</f>
        <v>46786.165005019051</v>
      </c>
      <c r="G60" s="30">
        <f t="shared" si="17"/>
        <v>0.85</v>
      </c>
      <c r="H60">
        <f t="shared" si="18"/>
        <v>38948.218527510973</v>
      </c>
      <c r="I60">
        <f t="shared" si="0"/>
        <v>0</v>
      </c>
      <c r="J60">
        <f t="shared" si="1"/>
        <v>46786.165005019051</v>
      </c>
      <c r="K60">
        <f t="shared" si="2"/>
        <v>46758.876077814311</v>
      </c>
      <c r="L60">
        <f t="shared" si="3"/>
        <v>46758.876077814311</v>
      </c>
      <c r="M60">
        <f t="shared" si="4"/>
        <v>0</v>
      </c>
      <c r="N60" s="29">
        <f t="shared" si="5"/>
        <v>46758.876077814311</v>
      </c>
      <c r="O60" s="29">
        <f t="shared" si="6"/>
        <v>46755.316377784984</v>
      </c>
      <c r="P60" s="29">
        <f t="shared" si="7"/>
        <v>46755.316377784984</v>
      </c>
      <c r="Q60">
        <f t="shared" si="8"/>
        <v>0</v>
      </c>
      <c r="R60" s="29">
        <f t="shared" si="9"/>
        <v>46755.316377784984</v>
      </c>
      <c r="S60" s="29">
        <f t="shared" si="10"/>
        <v>46755.316377784984</v>
      </c>
      <c r="T60" s="29">
        <f t="shared" si="11"/>
        <v>46755.316377784984</v>
      </c>
      <c r="U60">
        <f t="shared" si="12"/>
        <v>0</v>
      </c>
      <c r="V60" s="29">
        <f t="shared" si="13"/>
        <v>46755.316377784984</v>
      </c>
      <c r="W60" s="29">
        <f t="shared" si="14"/>
        <v>46755.316377784984</v>
      </c>
      <c r="X60" s="29">
        <f t="shared" si="15"/>
        <v>46755.316377784984</v>
      </c>
      <c r="Y60">
        <f t="shared" si="16"/>
        <v>0</v>
      </c>
    </row>
    <row r="61" spans="1:25" x14ac:dyDescent="0.25">
      <c r="A61" s="4" t="s">
        <v>772</v>
      </c>
      <c r="B61" s="7" t="s">
        <v>372</v>
      </c>
      <c r="C61" s="2" t="s">
        <v>773</v>
      </c>
      <c r="D61">
        <f>VLOOKUP(B61,'Model allocations'!$A$1:$L$317,6,FALSE)</f>
        <v>53121.479364421146</v>
      </c>
      <c r="E61" s="31">
        <f>VLOOKUP(B61,'Initial adjusted formula count'!$A$1:$P$317,12,FALSE)</f>
        <v>0.17601547388781399</v>
      </c>
      <c r="F61">
        <f>VLOOKUP(B61,'Model allocations'!$A$1:$L$317,11,FALSE)</f>
        <v>56393.618404351524</v>
      </c>
      <c r="G61" s="30">
        <f t="shared" si="17"/>
        <v>0.9</v>
      </c>
      <c r="H61">
        <f t="shared" si="18"/>
        <v>47809.331427979036</v>
      </c>
      <c r="I61">
        <f t="shared" si="0"/>
        <v>0</v>
      </c>
      <c r="J61">
        <f t="shared" si="1"/>
        <v>56393.618404351524</v>
      </c>
      <c r="K61">
        <f t="shared" si="2"/>
        <v>56360.72574586406</v>
      </c>
      <c r="L61">
        <f t="shared" si="3"/>
        <v>56360.72574586406</v>
      </c>
      <c r="M61">
        <f t="shared" si="4"/>
        <v>0</v>
      </c>
      <c r="N61" s="29">
        <f t="shared" si="5"/>
        <v>56360.72574586406</v>
      </c>
      <c r="O61" s="29">
        <f t="shared" si="6"/>
        <v>56356.435067945356</v>
      </c>
      <c r="P61" s="29">
        <f t="shared" si="7"/>
        <v>56356.435067945356</v>
      </c>
      <c r="Q61">
        <f t="shared" si="8"/>
        <v>0</v>
      </c>
      <c r="R61" s="29">
        <f t="shared" si="9"/>
        <v>56356.435067945356</v>
      </c>
      <c r="S61" s="29">
        <f t="shared" si="10"/>
        <v>56356.435067945356</v>
      </c>
      <c r="T61" s="29">
        <f t="shared" si="11"/>
        <v>56356.435067945356</v>
      </c>
      <c r="U61">
        <f t="shared" si="12"/>
        <v>0</v>
      </c>
      <c r="V61" s="29">
        <f t="shared" si="13"/>
        <v>56356.435067945356</v>
      </c>
      <c r="W61" s="29">
        <f t="shared" si="14"/>
        <v>56356.435067945356</v>
      </c>
      <c r="X61" s="29">
        <f t="shared" si="15"/>
        <v>56356.435067945356</v>
      </c>
      <c r="Y61">
        <f t="shared" si="16"/>
        <v>0</v>
      </c>
    </row>
    <row r="62" spans="1:25" x14ac:dyDescent="0.25">
      <c r="A62" s="4" t="s">
        <v>774</v>
      </c>
      <c r="B62" s="7" t="s">
        <v>374</v>
      </c>
      <c r="C62" s="2" t="s">
        <v>775</v>
      </c>
      <c r="D62">
        <f>VLOOKUP(B62,'Model allocations'!$A$1:$L$317,6,FALSE)</f>
        <v>191205.48819605962</v>
      </c>
      <c r="E62" s="31">
        <f>VLOOKUP(B62,'Initial adjusted formula count'!$A$1:$P$317,12,FALSE)</f>
        <v>9.8449937159614601E-2</v>
      </c>
      <c r="F62">
        <f>VLOOKUP(B62,'Model allocations'!$A$1:$L$317,11,FALSE)</f>
        <v>162524.66496665069</v>
      </c>
      <c r="G62" s="30">
        <f t="shared" si="17"/>
        <v>0.85</v>
      </c>
      <c r="H62">
        <f t="shared" si="18"/>
        <v>162524.66496665069</v>
      </c>
      <c r="I62">
        <f t="shared" si="0"/>
        <v>0</v>
      </c>
      <c r="J62">
        <f t="shared" si="1"/>
        <v>162524.66496665069</v>
      </c>
      <c r="K62">
        <f t="shared" si="2"/>
        <v>162429.86934168817</v>
      </c>
      <c r="L62">
        <f t="shared" si="3"/>
        <v>162429.86934168817</v>
      </c>
      <c r="M62">
        <f t="shared" si="4"/>
        <v>162524.66496665069</v>
      </c>
      <c r="N62" s="29">
        <f t="shared" si="5"/>
        <v>0</v>
      </c>
      <c r="O62" s="29">
        <f t="shared" si="6"/>
        <v>0</v>
      </c>
      <c r="P62" s="29">
        <f t="shared" si="7"/>
        <v>162524.66496665069</v>
      </c>
      <c r="Q62">
        <f t="shared" si="8"/>
        <v>0</v>
      </c>
      <c r="R62" s="29">
        <f t="shared" si="9"/>
        <v>0</v>
      </c>
      <c r="S62" s="29">
        <f t="shared" si="10"/>
        <v>0</v>
      </c>
      <c r="T62" s="29">
        <f t="shared" si="11"/>
        <v>162524.66496665069</v>
      </c>
      <c r="U62">
        <f t="shared" si="12"/>
        <v>0</v>
      </c>
      <c r="V62" s="29">
        <f t="shared" si="13"/>
        <v>0</v>
      </c>
      <c r="W62" s="29">
        <f t="shared" si="14"/>
        <v>0</v>
      </c>
      <c r="X62" s="29">
        <f t="shared" si="15"/>
        <v>162524.66496665069</v>
      </c>
      <c r="Y62">
        <f t="shared" si="16"/>
        <v>0</v>
      </c>
    </row>
    <row r="63" spans="1:25" x14ac:dyDescent="0.25">
      <c r="A63" s="4" t="s">
        <v>776</v>
      </c>
      <c r="B63" s="7" t="s">
        <v>274</v>
      </c>
      <c r="C63" s="2" t="s">
        <v>777</v>
      </c>
      <c r="D63">
        <f>VLOOKUP(B63,'Model allocations'!$A$1:$L$317,6,FALSE)</f>
        <v>0</v>
      </c>
      <c r="E63" s="31">
        <f>VLOOKUP(B63,'Initial adjusted formula count'!$A$1:$P$317,12,FALSE)</f>
        <v>4.4483209768861803E-2</v>
      </c>
      <c r="F63">
        <f>VLOOKUP(B63,'Model allocations'!$A$1:$L$317,11,FALSE)</f>
        <v>0</v>
      </c>
      <c r="G63" s="30">
        <f t="shared" si="17"/>
        <v>0.85</v>
      </c>
      <c r="H63">
        <f t="shared" si="1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3"/>
        <v>0</v>
      </c>
      <c r="M63">
        <f t="shared" si="4"/>
        <v>0</v>
      </c>
      <c r="N63" s="29">
        <f t="shared" si="5"/>
        <v>0</v>
      </c>
      <c r="O63" s="29">
        <f t="shared" si="6"/>
        <v>0</v>
      </c>
      <c r="P63" s="29">
        <f t="shared" si="7"/>
        <v>0</v>
      </c>
      <c r="Q63">
        <f t="shared" si="8"/>
        <v>0</v>
      </c>
      <c r="R63" s="29">
        <f t="shared" si="9"/>
        <v>0</v>
      </c>
      <c r="S63" s="29">
        <f t="shared" si="10"/>
        <v>0</v>
      </c>
      <c r="T63" s="29">
        <f t="shared" si="11"/>
        <v>0</v>
      </c>
      <c r="U63">
        <f t="shared" si="12"/>
        <v>0</v>
      </c>
      <c r="V63" s="29">
        <f t="shared" si="13"/>
        <v>0</v>
      </c>
      <c r="W63" s="29">
        <f t="shared" si="14"/>
        <v>0</v>
      </c>
      <c r="X63" s="29">
        <f t="shared" si="15"/>
        <v>0</v>
      </c>
      <c r="Y63">
        <f t="shared" si="16"/>
        <v>0</v>
      </c>
    </row>
    <row r="64" spans="1:25" x14ac:dyDescent="0.25">
      <c r="A64" s="4" t="s">
        <v>778</v>
      </c>
      <c r="B64" s="7" t="s">
        <v>376</v>
      </c>
      <c r="C64" s="2" t="s">
        <v>779</v>
      </c>
      <c r="D64">
        <f>VLOOKUP(B64,'Model allocations'!$A$1:$L$317,6,FALSE)</f>
        <v>0</v>
      </c>
      <c r="E64" s="31">
        <f>VLOOKUP(B64,'Initial adjusted formula count'!$A$1:$P$317,12,FALSE)</f>
        <v>0.08</v>
      </c>
      <c r="F64">
        <f>VLOOKUP(B64,'Model allocations'!$A$1:$L$317,11,FALSE)</f>
        <v>0</v>
      </c>
      <c r="G64" s="30">
        <f t="shared" si="17"/>
        <v>0.85</v>
      </c>
      <c r="H64">
        <f t="shared" si="18"/>
        <v>0</v>
      </c>
      <c r="I64">
        <f t="shared" si="0"/>
        <v>0</v>
      </c>
      <c r="J64">
        <f t="shared" si="1"/>
        <v>0</v>
      </c>
      <c r="K64">
        <f t="shared" si="2"/>
        <v>0</v>
      </c>
      <c r="L64">
        <f t="shared" si="3"/>
        <v>0</v>
      </c>
      <c r="M64">
        <f t="shared" si="4"/>
        <v>0</v>
      </c>
      <c r="N64" s="29">
        <f t="shared" si="5"/>
        <v>0</v>
      </c>
      <c r="O64" s="29">
        <f t="shared" si="6"/>
        <v>0</v>
      </c>
      <c r="P64" s="29">
        <f t="shared" si="7"/>
        <v>0</v>
      </c>
      <c r="Q64">
        <f t="shared" si="8"/>
        <v>0</v>
      </c>
      <c r="R64" s="29">
        <f t="shared" si="9"/>
        <v>0</v>
      </c>
      <c r="S64" s="29">
        <f t="shared" si="10"/>
        <v>0</v>
      </c>
      <c r="T64" s="29">
        <f t="shared" si="11"/>
        <v>0</v>
      </c>
      <c r="U64">
        <f t="shared" si="12"/>
        <v>0</v>
      </c>
      <c r="V64" s="29">
        <f t="shared" si="13"/>
        <v>0</v>
      </c>
      <c r="W64" s="29">
        <f t="shared" si="14"/>
        <v>0</v>
      </c>
      <c r="X64" s="29">
        <f t="shared" si="15"/>
        <v>0</v>
      </c>
      <c r="Y64">
        <f t="shared" si="16"/>
        <v>0</v>
      </c>
    </row>
    <row r="65" spans="1:25" x14ac:dyDescent="0.25">
      <c r="A65" s="4" t="s">
        <v>780</v>
      </c>
      <c r="B65" s="7" t="s">
        <v>378</v>
      </c>
      <c r="C65" s="2" t="s">
        <v>781</v>
      </c>
      <c r="D65">
        <f>VLOOKUP(B65,'Model allocations'!$A$1:$L$317,6,FALSE)</f>
        <v>492585.41720499872</v>
      </c>
      <c r="E65" s="31">
        <f>VLOOKUP(B65,'Initial adjusted formula count'!$A$1:$P$317,12,FALSE)</f>
        <v>0.12985359643539099</v>
      </c>
      <c r="F65">
        <f>VLOOKUP(B65,'Model allocations'!$A$1:$L$317,11,FALSE)</f>
        <v>418697.60462424892</v>
      </c>
      <c r="G65" s="30">
        <f t="shared" si="17"/>
        <v>0.85</v>
      </c>
      <c r="H65">
        <f t="shared" si="18"/>
        <v>418697.60462424892</v>
      </c>
      <c r="I65">
        <f t="shared" si="0"/>
        <v>0</v>
      </c>
      <c r="J65">
        <f t="shared" si="1"/>
        <v>418697.60462424892</v>
      </c>
      <c r="K65">
        <f t="shared" si="2"/>
        <v>418453.39122372412</v>
      </c>
      <c r="L65">
        <f t="shared" si="3"/>
        <v>418453.39122372412</v>
      </c>
      <c r="M65">
        <f t="shared" si="4"/>
        <v>418697.60462424892</v>
      </c>
      <c r="N65" s="29">
        <f t="shared" si="5"/>
        <v>0</v>
      </c>
      <c r="O65" s="29">
        <f t="shared" si="6"/>
        <v>0</v>
      </c>
      <c r="P65" s="29">
        <f t="shared" si="7"/>
        <v>418697.60462424892</v>
      </c>
      <c r="Q65">
        <f t="shared" si="8"/>
        <v>0</v>
      </c>
      <c r="R65" s="29">
        <f t="shared" si="9"/>
        <v>0</v>
      </c>
      <c r="S65" s="29">
        <f t="shared" si="10"/>
        <v>0</v>
      </c>
      <c r="T65" s="29">
        <f t="shared" si="11"/>
        <v>418697.60462424892</v>
      </c>
      <c r="U65">
        <f t="shared" si="12"/>
        <v>0</v>
      </c>
      <c r="V65" s="29">
        <f t="shared" si="13"/>
        <v>0</v>
      </c>
      <c r="W65" s="29">
        <f t="shared" si="14"/>
        <v>0</v>
      </c>
      <c r="X65" s="29">
        <f t="shared" si="15"/>
        <v>418697.60462424892</v>
      </c>
      <c r="Y65">
        <f t="shared" si="16"/>
        <v>0</v>
      </c>
    </row>
    <row r="66" spans="1:25" x14ac:dyDescent="0.25">
      <c r="A66" s="4" t="s">
        <v>782</v>
      </c>
      <c r="B66" s="7" t="s">
        <v>380</v>
      </c>
      <c r="C66" s="2" t="s">
        <v>783</v>
      </c>
      <c r="D66">
        <f>VLOOKUP(B66,'Model allocations'!$A$1:$L$317,6,FALSE)</f>
        <v>237592.61846847655</v>
      </c>
      <c r="E66" s="31">
        <f>VLOOKUP(B66,'Initial adjusted formula count'!$A$1:$P$317,12,FALSE)</f>
        <v>0.137717818999438</v>
      </c>
      <c r="F66">
        <f>VLOOKUP(B66,'Model allocations'!$A$1:$L$317,11,FALSE)</f>
        <v>279575.86405438214</v>
      </c>
      <c r="G66" s="30">
        <f t="shared" si="17"/>
        <v>0.85</v>
      </c>
      <c r="H66">
        <f t="shared" si="18"/>
        <v>201953.72569820506</v>
      </c>
      <c r="I66">
        <f t="shared" si="0"/>
        <v>0</v>
      </c>
      <c r="J66">
        <f t="shared" si="1"/>
        <v>279575.86405438214</v>
      </c>
      <c r="K66">
        <f t="shared" si="2"/>
        <v>279412.79607474402</v>
      </c>
      <c r="L66">
        <f t="shared" si="3"/>
        <v>279412.79607474402</v>
      </c>
      <c r="M66">
        <f t="shared" si="4"/>
        <v>0</v>
      </c>
      <c r="N66" s="29">
        <f t="shared" si="5"/>
        <v>279412.79607474402</v>
      </c>
      <c r="O66" s="29">
        <f t="shared" si="6"/>
        <v>279391.52469652001</v>
      </c>
      <c r="P66" s="29">
        <f t="shared" si="7"/>
        <v>279391.52469652001</v>
      </c>
      <c r="Q66">
        <f t="shared" si="8"/>
        <v>0</v>
      </c>
      <c r="R66" s="29">
        <f t="shared" si="9"/>
        <v>279391.52469652001</v>
      </c>
      <c r="S66" s="29">
        <f t="shared" si="10"/>
        <v>279391.52469652001</v>
      </c>
      <c r="T66" s="29">
        <f t="shared" si="11"/>
        <v>279391.52469652001</v>
      </c>
      <c r="U66">
        <f t="shared" si="12"/>
        <v>0</v>
      </c>
      <c r="V66" s="29">
        <f t="shared" si="13"/>
        <v>279391.52469652001</v>
      </c>
      <c r="W66" s="29">
        <f t="shared" si="14"/>
        <v>279391.52469652001</v>
      </c>
      <c r="X66" s="29">
        <f t="shared" si="15"/>
        <v>279391.52469652001</v>
      </c>
      <c r="Y66">
        <f t="shared" si="16"/>
        <v>0</v>
      </c>
    </row>
    <row r="67" spans="1:25" x14ac:dyDescent="0.25">
      <c r="A67" s="4" t="s">
        <v>784</v>
      </c>
      <c r="B67" s="7" t="s">
        <v>382</v>
      </c>
      <c r="C67" s="2" t="s">
        <v>785</v>
      </c>
      <c r="D67">
        <f>VLOOKUP(B67,'Model allocations'!$A$1:$L$317,6,FALSE)</f>
        <v>360348.80467718944</v>
      </c>
      <c r="E67" s="31">
        <f>VLOOKUP(B67,'Initial adjusted formula count'!$A$1:$P$317,12,FALSE)</f>
        <v>0.14135879774577301</v>
      </c>
      <c r="F67">
        <f>VLOOKUP(B67,'Model allocations'!$A$1:$L$317,11,FALSE)</f>
        <v>575698.05475688085</v>
      </c>
      <c r="G67" s="30">
        <f t="shared" si="17"/>
        <v>0.85</v>
      </c>
      <c r="H67">
        <f t="shared" si="18"/>
        <v>306296.48397561105</v>
      </c>
      <c r="I67">
        <f t="shared" si="0"/>
        <v>0</v>
      </c>
      <c r="J67">
        <f t="shared" si="1"/>
        <v>575698.05475688085</v>
      </c>
      <c r="K67">
        <f t="shared" si="2"/>
        <v>575362.26783554442</v>
      </c>
      <c r="L67">
        <f t="shared" si="3"/>
        <v>575362.26783554442</v>
      </c>
      <c r="M67">
        <f t="shared" si="4"/>
        <v>0</v>
      </c>
      <c r="N67" s="29">
        <f t="shared" si="5"/>
        <v>575362.26783554442</v>
      </c>
      <c r="O67" s="29">
        <f t="shared" si="6"/>
        <v>575318.46616079332</v>
      </c>
      <c r="P67" s="29">
        <f t="shared" si="7"/>
        <v>575318.46616079332</v>
      </c>
      <c r="Q67">
        <f t="shared" si="8"/>
        <v>0</v>
      </c>
      <c r="R67" s="29">
        <f t="shared" si="9"/>
        <v>575318.46616079332</v>
      </c>
      <c r="S67" s="29">
        <f t="shared" si="10"/>
        <v>575318.46616079332</v>
      </c>
      <c r="T67" s="29">
        <f t="shared" si="11"/>
        <v>575318.46616079332</v>
      </c>
      <c r="U67">
        <f t="shared" si="12"/>
        <v>0</v>
      </c>
      <c r="V67" s="29">
        <f t="shared" si="13"/>
        <v>575318.46616079332</v>
      </c>
      <c r="W67" s="29">
        <f t="shared" si="14"/>
        <v>575318.46616079332</v>
      </c>
      <c r="X67" s="29">
        <f t="shared" si="15"/>
        <v>575318.46616079332</v>
      </c>
      <c r="Y67">
        <f t="shared" si="16"/>
        <v>0</v>
      </c>
    </row>
    <row r="68" spans="1:25" x14ac:dyDescent="0.25">
      <c r="A68" s="4" t="s">
        <v>786</v>
      </c>
      <c r="B68" s="7" t="s">
        <v>117</v>
      </c>
      <c r="C68" s="2" t="s">
        <v>787</v>
      </c>
      <c r="D68">
        <f>VLOOKUP(B68,'Model allocations'!$A$1:$L$317,6,FALSE)</f>
        <v>0</v>
      </c>
      <c r="E68" s="31">
        <f>VLOOKUP(B68,'Initial adjusted formula count'!$A$1:$P$317,12,FALSE)</f>
        <v>0.13375796178343899</v>
      </c>
      <c r="F68">
        <f>VLOOKUP(B68,'Model allocations'!$A$1:$L$317,11,FALSE)</f>
        <v>11981.822745187807</v>
      </c>
      <c r="G68" s="30">
        <f t="shared" si="17"/>
        <v>0.85</v>
      </c>
      <c r="H68">
        <f t="shared" si="18"/>
        <v>0</v>
      </c>
      <c r="I68">
        <f t="shared" ref="I68:I131" si="19">IF(F68&lt;H68,H68,0)</f>
        <v>0</v>
      </c>
      <c r="J68">
        <f t="shared" ref="J68:J131" si="20">IF(I68=0,F68,0)</f>
        <v>11981.822745187807</v>
      </c>
      <c r="K68">
        <f t="shared" ref="K68:K131" si="21">(J68/$J$3)*($F$3-$I$3)</f>
        <v>11974.834117489032</v>
      </c>
      <c r="L68">
        <f t="shared" ref="L68:L131" si="22">I68+K68</f>
        <v>11974.834117489032</v>
      </c>
      <c r="M68">
        <f t="shared" ref="M68:M131" si="23">IF(L68&lt;H68,H68,0)</f>
        <v>0</v>
      </c>
      <c r="N68" s="29">
        <f t="shared" ref="N68:N131" si="24">IF($I68+$M68=0,L68,0)</f>
        <v>11974.834117489032</v>
      </c>
      <c r="O68" s="29">
        <f t="shared" ref="O68:O131" si="25">((N68/$N$3)*($F$3-$I$3-$M$3))</f>
        <v>11973.922486993715</v>
      </c>
      <c r="P68" s="29">
        <f t="shared" ref="P68:P131" si="26">$I68+$M68+O68</f>
        <v>11973.922486993715</v>
      </c>
      <c r="Q68">
        <f t="shared" ref="Q68:Q131" si="27">IF(P68&lt;H68,H68,0)</f>
        <v>0</v>
      </c>
      <c r="R68" s="29">
        <f t="shared" ref="R68:R131" si="28">IF($I68+$M68+$Q68=0,P68,0)</f>
        <v>11973.922486993715</v>
      </c>
      <c r="S68" s="29">
        <f t="shared" ref="S68:S131" si="29">((R68/$R$3)*($F$3-$I$3-$M$3-$Q$3))</f>
        <v>11973.922486993715</v>
      </c>
      <c r="T68" s="29">
        <f t="shared" ref="T68:T131" si="30">$I68+$M68+$Q68+S68</f>
        <v>11973.922486993715</v>
      </c>
      <c r="U68">
        <f t="shared" ref="U68:U131" si="31">IF(T68&lt;H68,H68,0)</f>
        <v>0</v>
      </c>
      <c r="V68" s="29">
        <f t="shared" ref="V68:V131" si="32">IF($I68+$M68+$Q68+U68=0,T68,0)</f>
        <v>11973.922486993715</v>
      </c>
      <c r="W68" s="29">
        <f t="shared" ref="W68:W131" si="33">((V68/$V$3)*($F$3-$I$3-$M$3-$Q$3-$U$3))</f>
        <v>11973.922486993715</v>
      </c>
      <c r="X68" s="29">
        <f t="shared" ref="X68:X131" si="34">$I68+$M68+$Q68+$U68+W68</f>
        <v>11973.922486993715</v>
      </c>
      <c r="Y68">
        <f t="shared" ref="Y68:Y131" si="35">IF(X68&lt;H68,H68,0)</f>
        <v>0</v>
      </c>
    </row>
    <row r="69" spans="1:25" x14ac:dyDescent="0.25">
      <c r="A69" s="4" t="s">
        <v>788</v>
      </c>
      <c r="B69" s="7" t="s">
        <v>119</v>
      </c>
      <c r="C69" s="2" t="s">
        <v>789</v>
      </c>
      <c r="D69">
        <f>VLOOKUP(B69,'Model allocations'!$A$1:$L$317,6,FALSE)</f>
        <v>108048.0717320929</v>
      </c>
      <c r="E69" s="31">
        <f>VLOOKUP(B69,'Initial adjusted formula count'!$A$1:$P$317,12,FALSE)</f>
        <v>7.2457245724572503E-2</v>
      </c>
      <c r="F69">
        <f>VLOOKUP(B69,'Model allocations'!$A$1:$L$317,11,FALSE)</f>
        <v>91860.641046439821</v>
      </c>
      <c r="G69" s="30">
        <f t="shared" ref="G69:G132" si="36">IF(E69&lt;0.15,0.85,IF(AND(E69&gt;=0.15,E69&lt;0.3),0.9,0.95))</f>
        <v>0.85</v>
      </c>
      <c r="H69">
        <f t="shared" ref="H69:H132" si="37">IF(F69 = 0, 0, D69*G69)</f>
        <v>91840.860972278955</v>
      </c>
      <c r="I69">
        <f t="shared" si="19"/>
        <v>0</v>
      </c>
      <c r="J69">
        <f t="shared" si="20"/>
        <v>91860.641046439821</v>
      </c>
      <c r="K69">
        <f t="shared" si="21"/>
        <v>91807.061567415876</v>
      </c>
      <c r="L69">
        <f t="shared" si="22"/>
        <v>91807.061567415876</v>
      </c>
      <c r="M69">
        <f t="shared" si="23"/>
        <v>91840.860972278955</v>
      </c>
      <c r="N69" s="29">
        <f t="shared" si="24"/>
        <v>0</v>
      </c>
      <c r="O69" s="29">
        <f t="shared" si="25"/>
        <v>0</v>
      </c>
      <c r="P69" s="29">
        <f t="shared" si="26"/>
        <v>91840.860972278955</v>
      </c>
      <c r="Q69">
        <f t="shared" si="27"/>
        <v>0</v>
      </c>
      <c r="R69" s="29">
        <f t="shared" si="28"/>
        <v>0</v>
      </c>
      <c r="S69" s="29">
        <f t="shared" si="29"/>
        <v>0</v>
      </c>
      <c r="T69" s="29">
        <f t="shared" si="30"/>
        <v>91840.860972278955</v>
      </c>
      <c r="U69">
        <f t="shared" si="31"/>
        <v>0</v>
      </c>
      <c r="V69" s="29">
        <f t="shared" si="32"/>
        <v>0</v>
      </c>
      <c r="W69" s="29">
        <f t="shared" si="33"/>
        <v>0</v>
      </c>
      <c r="X69" s="29">
        <f t="shared" si="34"/>
        <v>91840.860972278955</v>
      </c>
      <c r="Y69">
        <f t="shared" si="35"/>
        <v>0</v>
      </c>
    </row>
    <row r="70" spans="1:25" x14ac:dyDescent="0.25">
      <c r="A70" s="4" t="s">
        <v>790</v>
      </c>
      <c r="B70" s="7" t="s">
        <v>121</v>
      </c>
      <c r="C70" s="2" t="s">
        <v>791</v>
      </c>
      <c r="D70">
        <f>VLOOKUP(B70,'Model allocations'!$A$1:$L$317,6,FALSE)</f>
        <v>1595830.4207132678</v>
      </c>
      <c r="E70" s="31">
        <f>VLOOKUP(B70,'Initial adjusted formula count'!$A$1:$P$317,12,FALSE)</f>
        <v>9.6827021494370502E-2</v>
      </c>
      <c r="F70">
        <f>VLOOKUP(B70,'Model allocations'!$A$1:$L$317,11,FALSE)</f>
        <v>1856326.6810223104</v>
      </c>
      <c r="G70" s="30">
        <f t="shared" si="36"/>
        <v>0.85</v>
      </c>
      <c r="H70">
        <f t="shared" si="37"/>
        <v>1356455.8576062776</v>
      </c>
      <c r="I70">
        <f t="shared" si="19"/>
        <v>0</v>
      </c>
      <c r="J70">
        <f t="shared" si="20"/>
        <v>1856326.6810223104</v>
      </c>
      <c r="K70">
        <f t="shared" si="21"/>
        <v>1855243.9429166932</v>
      </c>
      <c r="L70">
        <f t="shared" si="22"/>
        <v>1855243.9429166932</v>
      </c>
      <c r="M70">
        <f t="shared" si="23"/>
        <v>0</v>
      </c>
      <c r="N70" s="29">
        <f t="shared" si="24"/>
        <v>1855243.9429166932</v>
      </c>
      <c r="O70" s="29">
        <f t="shared" si="25"/>
        <v>1855102.7053063831</v>
      </c>
      <c r="P70" s="29">
        <f t="shared" si="26"/>
        <v>1855102.7053063831</v>
      </c>
      <c r="Q70">
        <f t="shared" si="27"/>
        <v>0</v>
      </c>
      <c r="R70" s="29">
        <f t="shared" si="28"/>
        <v>1855102.7053063831</v>
      </c>
      <c r="S70" s="29">
        <f t="shared" si="29"/>
        <v>1855102.7053063831</v>
      </c>
      <c r="T70" s="29">
        <f t="shared" si="30"/>
        <v>1855102.7053063831</v>
      </c>
      <c r="U70">
        <f t="shared" si="31"/>
        <v>0</v>
      </c>
      <c r="V70" s="29">
        <f t="shared" si="32"/>
        <v>1855102.7053063831</v>
      </c>
      <c r="W70" s="29">
        <f t="shared" si="33"/>
        <v>1855102.7053063831</v>
      </c>
      <c r="X70" s="29">
        <f t="shared" si="34"/>
        <v>1855102.7053063831</v>
      </c>
      <c r="Y70">
        <f t="shared" si="35"/>
        <v>0</v>
      </c>
    </row>
    <row r="71" spans="1:25" x14ac:dyDescent="0.25">
      <c r="A71" s="4" t="s">
        <v>792</v>
      </c>
      <c r="B71" s="7" t="s">
        <v>384</v>
      </c>
      <c r="C71" s="2" t="s">
        <v>793</v>
      </c>
      <c r="D71">
        <f>VLOOKUP(B71,'Model allocations'!$A$1:$L$317,6,FALSE)</f>
        <v>224015.89741313504</v>
      </c>
      <c r="E71" s="31">
        <f>VLOOKUP(B71,'Initial adjusted formula count'!$A$1:$P$317,12,FALSE)</f>
        <v>0.12566027244926301</v>
      </c>
      <c r="F71">
        <f>VLOOKUP(B71,'Model allocations'!$A$1:$L$317,11,FALSE)</f>
        <v>257894.47051547089</v>
      </c>
      <c r="G71" s="30">
        <f t="shared" si="36"/>
        <v>0.85</v>
      </c>
      <c r="H71">
        <f t="shared" si="37"/>
        <v>190413.51280116479</v>
      </c>
      <c r="I71">
        <f t="shared" si="19"/>
        <v>0</v>
      </c>
      <c r="J71">
        <f t="shared" si="20"/>
        <v>257894.47051547089</v>
      </c>
      <c r="K71">
        <f t="shared" si="21"/>
        <v>257744.04862404964</v>
      </c>
      <c r="L71">
        <f t="shared" si="22"/>
        <v>257744.04862404964</v>
      </c>
      <c r="M71">
        <f t="shared" si="23"/>
        <v>0</v>
      </c>
      <c r="N71" s="29">
        <f t="shared" si="24"/>
        <v>257744.04862404964</v>
      </c>
      <c r="O71" s="29">
        <f t="shared" si="25"/>
        <v>257724.4268629124</v>
      </c>
      <c r="P71" s="29">
        <f t="shared" si="26"/>
        <v>257724.4268629124</v>
      </c>
      <c r="Q71">
        <f t="shared" si="27"/>
        <v>0</v>
      </c>
      <c r="R71" s="29">
        <f t="shared" si="28"/>
        <v>257724.4268629124</v>
      </c>
      <c r="S71" s="29">
        <f t="shared" si="29"/>
        <v>257724.4268629124</v>
      </c>
      <c r="T71" s="29">
        <f t="shared" si="30"/>
        <v>257724.4268629124</v>
      </c>
      <c r="U71">
        <f t="shared" si="31"/>
        <v>0</v>
      </c>
      <c r="V71" s="29">
        <f t="shared" si="32"/>
        <v>257724.4268629124</v>
      </c>
      <c r="W71" s="29">
        <f t="shared" si="33"/>
        <v>257724.4268629124</v>
      </c>
      <c r="X71" s="29">
        <f t="shared" si="34"/>
        <v>257724.4268629124</v>
      </c>
      <c r="Y71">
        <f t="shared" si="35"/>
        <v>0</v>
      </c>
    </row>
    <row r="72" spans="1:25" x14ac:dyDescent="0.25">
      <c r="A72" s="4" t="s">
        <v>794</v>
      </c>
      <c r="B72" s="7" t="s">
        <v>386</v>
      </c>
      <c r="C72" s="2" t="s">
        <v>795</v>
      </c>
      <c r="D72">
        <f>VLOOKUP(B72,'Model allocations'!$A$1:$L$317,6,FALSE)</f>
        <v>219740.47481346581</v>
      </c>
      <c r="E72" s="31">
        <f>VLOOKUP(B72,'Initial adjusted formula count'!$A$1:$P$317,12,FALSE)</f>
        <v>0.15317011927181401</v>
      </c>
      <c r="F72">
        <f>VLOOKUP(B72,'Model allocations'!$A$1:$L$317,11,FALSE)</f>
        <v>197766.42733211923</v>
      </c>
      <c r="G72" s="30">
        <f t="shared" si="36"/>
        <v>0.9</v>
      </c>
      <c r="H72">
        <f t="shared" si="37"/>
        <v>197766.42733211923</v>
      </c>
      <c r="I72">
        <f t="shared" si="19"/>
        <v>0</v>
      </c>
      <c r="J72">
        <f t="shared" si="20"/>
        <v>197766.42733211923</v>
      </c>
      <c r="K72">
        <f t="shared" si="21"/>
        <v>197651.07627399277</v>
      </c>
      <c r="L72">
        <f t="shared" si="22"/>
        <v>197651.07627399277</v>
      </c>
      <c r="M72">
        <f t="shared" si="23"/>
        <v>197766.42733211923</v>
      </c>
      <c r="N72" s="29">
        <f t="shared" si="24"/>
        <v>0</v>
      </c>
      <c r="O72" s="29">
        <f t="shared" si="25"/>
        <v>0</v>
      </c>
      <c r="P72" s="29">
        <f t="shared" si="26"/>
        <v>197766.42733211923</v>
      </c>
      <c r="Q72">
        <f t="shared" si="27"/>
        <v>0</v>
      </c>
      <c r="R72" s="29">
        <f t="shared" si="28"/>
        <v>0</v>
      </c>
      <c r="S72" s="29">
        <f t="shared" si="29"/>
        <v>0</v>
      </c>
      <c r="T72" s="29">
        <f t="shared" si="30"/>
        <v>197766.42733211923</v>
      </c>
      <c r="U72">
        <f t="shared" si="31"/>
        <v>0</v>
      </c>
      <c r="V72" s="29">
        <f t="shared" si="32"/>
        <v>0</v>
      </c>
      <c r="W72" s="29">
        <f t="shared" si="33"/>
        <v>0</v>
      </c>
      <c r="X72" s="29">
        <f t="shared" si="34"/>
        <v>197766.42733211923</v>
      </c>
      <c r="Y72">
        <f t="shared" si="35"/>
        <v>0</v>
      </c>
    </row>
    <row r="73" spans="1:25" x14ac:dyDescent="0.25">
      <c r="A73" s="4" t="s">
        <v>796</v>
      </c>
      <c r="B73" s="7" t="s">
        <v>388</v>
      </c>
      <c r="C73" s="2" t="s">
        <v>797</v>
      </c>
      <c r="D73">
        <f>VLOOKUP(B73,'Model allocations'!$A$1:$L$317,6,FALSE)</f>
        <v>14716.854244394846</v>
      </c>
      <c r="E73" s="31">
        <f>VLOOKUP(B73,'Initial adjusted formula count'!$A$1:$P$317,12,FALSE)</f>
        <v>0.24444444444444399</v>
      </c>
      <c r="F73">
        <f>VLOOKUP(B73,'Model allocations'!$A$1:$L$317,11,FALSE)</f>
        <v>16865.4139990806</v>
      </c>
      <c r="G73" s="30">
        <f t="shared" si="36"/>
        <v>0.9</v>
      </c>
      <c r="H73">
        <f t="shared" si="37"/>
        <v>13245.168819955363</v>
      </c>
      <c r="I73">
        <f t="shared" si="19"/>
        <v>0</v>
      </c>
      <c r="J73">
        <f t="shared" si="20"/>
        <v>16865.4139990806</v>
      </c>
      <c r="K73">
        <f t="shared" si="21"/>
        <v>16855.576923208933</v>
      </c>
      <c r="L73">
        <f t="shared" si="22"/>
        <v>16855.576923208933</v>
      </c>
      <c r="M73">
        <f t="shared" si="23"/>
        <v>0</v>
      </c>
      <c r="N73" s="29">
        <f t="shared" si="24"/>
        <v>16855.576923208933</v>
      </c>
      <c r="O73" s="29">
        <f t="shared" si="25"/>
        <v>16854.293727317567</v>
      </c>
      <c r="P73" s="29">
        <f t="shared" si="26"/>
        <v>16854.293727317567</v>
      </c>
      <c r="Q73">
        <f t="shared" si="27"/>
        <v>0</v>
      </c>
      <c r="R73" s="29">
        <f t="shared" si="28"/>
        <v>16854.293727317567</v>
      </c>
      <c r="S73" s="29">
        <f t="shared" si="29"/>
        <v>16854.293727317567</v>
      </c>
      <c r="T73" s="29">
        <f t="shared" si="30"/>
        <v>16854.293727317567</v>
      </c>
      <c r="U73">
        <f t="shared" si="31"/>
        <v>0</v>
      </c>
      <c r="V73" s="29">
        <f t="shared" si="32"/>
        <v>16854.293727317567</v>
      </c>
      <c r="W73" s="29">
        <f t="shared" si="33"/>
        <v>16854.293727317567</v>
      </c>
      <c r="X73" s="29">
        <f t="shared" si="34"/>
        <v>16854.293727317567</v>
      </c>
      <c r="Y73">
        <f t="shared" si="35"/>
        <v>0</v>
      </c>
    </row>
    <row r="74" spans="1:25" x14ac:dyDescent="0.25">
      <c r="A74" s="4" t="s">
        <v>798</v>
      </c>
      <c r="B74" s="7" t="s">
        <v>390</v>
      </c>
      <c r="C74" s="2" t="s">
        <v>799</v>
      </c>
      <c r="D74">
        <f>VLOOKUP(B74,'Model allocations'!$A$1:$L$317,6,FALSE)</f>
        <v>42460.572834198923</v>
      </c>
      <c r="E74" s="31">
        <f>VLOOKUP(B74,'Initial adjusted formula count'!$A$1:$P$317,12,FALSE)</f>
        <v>0.16870415647921799</v>
      </c>
      <c r="F74">
        <f>VLOOKUP(B74,'Model allocations'!$A$1:$L$317,11,FALSE)</f>
        <v>41627.334165779663</v>
      </c>
      <c r="G74" s="30">
        <f t="shared" si="36"/>
        <v>0.9</v>
      </c>
      <c r="H74">
        <f t="shared" si="37"/>
        <v>38214.515550779033</v>
      </c>
      <c r="I74">
        <f t="shared" si="19"/>
        <v>0</v>
      </c>
      <c r="J74">
        <f t="shared" si="20"/>
        <v>41627.334165779663</v>
      </c>
      <c r="K74">
        <f t="shared" si="21"/>
        <v>41603.054225509804</v>
      </c>
      <c r="L74">
        <f t="shared" si="22"/>
        <v>41603.054225509804</v>
      </c>
      <c r="M74">
        <f t="shared" si="23"/>
        <v>0</v>
      </c>
      <c r="N74" s="29">
        <f t="shared" si="24"/>
        <v>41603.054225509804</v>
      </c>
      <c r="O74" s="29">
        <f t="shared" si="25"/>
        <v>41599.887032331331</v>
      </c>
      <c r="P74" s="29">
        <f t="shared" si="26"/>
        <v>41599.887032331331</v>
      </c>
      <c r="Q74">
        <f t="shared" si="27"/>
        <v>0</v>
      </c>
      <c r="R74" s="29">
        <f t="shared" si="28"/>
        <v>41599.887032331331</v>
      </c>
      <c r="S74" s="29">
        <f t="shared" si="29"/>
        <v>41599.887032331331</v>
      </c>
      <c r="T74" s="29">
        <f t="shared" si="30"/>
        <v>41599.887032331331</v>
      </c>
      <c r="U74">
        <f t="shared" si="31"/>
        <v>0</v>
      </c>
      <c r="V74" s="29">
        <f t="shared" si="32"/>
        <v>41599.887032331331</v>
      </c>
      <c r="W74" s="29">
        <f t="shared" si="33"/>
        <v>41599.887032331331</v>
      </c>
      <c r="X74" s="29">
        <f t="shared" si="34"/>
        <v>41599.887032331331</v>
      </c>
      <c r="Y74">
        <f t="shared" si="35"/>
        <v>0</v>
      </c>
    </row>
    <row r="75" spans="1:25" x14ac:dyDescent="0.25">
      <c r="A75" s="4" t="s">
        <v>800</v>
      </c>
      <c r="B75" s="7" t="s">
        <v>123</v>
      </c>
      <c r="C75" s="2" t="s">
        <v>801</v>
      </c>
      <c r="D75">
        <f>VLOOKUP(B75,'Model allocations'!$A$1:$L$317,6,FALSE)</f>
        <v>170274.70990240821</v>
      </c>
      <c r="E75" s="31">
        <f>VLOOKUP(B75,'Initial adjusted formula count'!$A$1:$P$317,12,FALSE)</f>
        <v>6.2553373185311706E-2</v>
      </c>
      <c r="F75">
        <f>VLOOKUP(B75,'Model allocations'!$A$1:$L$317,11,FALSE)</f>
        <v>167174.95544476321</v>
      </c>
      <c r="G75" s="30">
        <f t="shared" si="36"/>
        <v>0.85</v>
      </c>
      <c r="H75">
        <f t="shared" si="37"/>
        <v>144733.50341704697</v>
      </c>
      <c r="I75">
        <f t="shared" si="19"/>
        <v>0</v>
      </c>
      <c r="J75">
        <f t="shared" si="20"/>
        <v>167174.95544476321</v>
      </c>
      <c r="K75">
        <f t="shared" si="21"/>
        <v>167077.44744877552</v>
      </c>
      <c r="L75">
        <f t="shared" si="22"/>
        <v>167077.44744877552</v>
      </c>
      <c r="M75">
        <f t="shared" si="23"/>
        <v>0</v>
      </c>
      <c r="N75" s="29">
        <f t="shared" si="24"/>
        <v>167077.44744877552</v>
      </c>
      <c r="O75" s="29">
        <f t="shared" si="25"/>
        <v>167064.72803281707</v>
      </c>
      <c r="P75" s="29">
        <f t="shared" si="26"/>
        <v>167064.72803281707</v>
      </c>
      <c r="Q75">
        <f t="shared" si="27"/>
        <v>0</v>
      </c>
      <c r="R75" s="29">
        <f t="shared" si="28"/>
        <v>167064.72803281707</v>
      </c>
      <c r="S75" s="29">
        <f t="shared" si="29"/>
        <v>167064.72803281707</v>
      </c>
      <c r="T75" s="29">
        <f t="shared" si="30"/>
        <v>167064.72803281707</v>
      </c>
      <c r="U75">
        <f t="shared" si="31"/>
        <v>0</v>
      </c>
      <c r="V75" s="29">
        <f t="shared" si="32"/>
        <v>167064.72803281707</v>
      </c>
      <c r="W75" s="29">
        <f t="shared" si="33"/>
        <v>167064.72803281707</v>
      </c>
      <c r="X75" s="29">
        <f t="shared" si="34"/>
        <v>167064.72803281707</v>
      </c>
      <c r="Y75">
        <f t="shared" si="35"/>
        <v>0</v>
      </c>
    </row>
    <row r="76" spans="1:25" x14ac:dyDescent="0.25">
      <c r="A76" s="4" t="s">
        <v>802</v>
      </c>
      <c r="B76" s="7" t="s">
        <v>392</v>
      </c>
      <c r="C76" s="2" t="s">
        <v>803</v>
      </c>
      <c r="D76">
        <f>VLOOKUP(B76,'Model allocations'!$A$1:$L$317,6,FALSE)</f>
        <v>268310.37412871973</v>
      </c>
      <c r="E76" s="31">
        <f>VLOOKUP(B76,'Initial adjusted formula count'!$A$1:$P$317,12,FALSE)</f>
        <v>0.148211829436039</v>
      </c>
      <c r="F76">
        <f>VLOOKUP(B76,'Model allocations'!$A$1:$L$317,11,FALSE)</f>
        <v>245912.64777028307</v>
      </c>
      <c r="G76" s="30">
        <f t="shared" si="36"/>
        <v>0.85</v>
      </c>
      <c r="H76">
        <f t="shared" si="37"/>
        <v>228063.81800941177</v>
      </c>
      <c r="I76">
        <f t="shared" si="19"/>
        <v>0</v>
      </c>
      <c r="J76">
        <f t="shared" si="20"/>
        <v>245912.64777028307</v>
      </c>
      <c r="K76">
        <f t="shared" si="21"/>
        <v>245769.21450656059</v>
      </c>
      <c r="L76">
        <f t="shared" si="22"/>
        <v>245769.21450656059</v>
      </c>
      <c r="M76">
        <f t="shared" si="23"/>
        <v>0</v>
      </c>
      <c r="N76" s="29">
        <f t="shared" si="24"/>
        <v>245769.21450656059</v>
      </c>
      <c r="O76" s="29">
        <f t="shared" si="25"/>
        <v>245750.50437591865</v>
      </c>
      <c r="P76" s="29">
        <f t="shared" si="26"/>
        <v>245750.50437591865</v>
      </c>
      <c r="Q76">
        <f t="shared" si="27"/>
        <v>0</v>
      </c>
      <c r="R76" s="29">
        <f t="shared" si="28"/>
        <v>245750.50437591865</v>
      </c>
      <c r="S76" s="29">
        <f t="shared" si="29"/>
        <v>245750.50437591865</v>
      </c>
      <c r="T76" s="29">
        <f t="shared" si="30"/>
        <v>245750.50437591865</v>
      </c>
      <c r="U76">
        <f t="shared" si="31"/>
        <v>0</v>
      </c>
      <c r="V76" s="29">
        <f t="shared" si="32"/>
        <v>245750.50437591865</v>
      </c>
      <c r="W76" s="29">
        <f t="shared" si="33"/>
        <v>245750.50437591865</v>
      </c>
      <c r="X76" s="29">
        <f t="shared" si="34"/>
        <v>245750.50437591865</v>
      </c>
      <c r="Y76">
        <f t="shared" si="35"/>
        <v>0</v>
      </c>
    </row>
    <row r="77" spans="1:25" x14ac:dyDescent="0.25">
      <c r="A77" s="4" t="s">
        <v>804</v>
      </c>
      <c r="B77" s="7" t="s">
        <v>394</v>
      </c>
      <c r="C77" s="2" t="s">
        <v>805</v>
      </c>
      <c r="D77">
        <f>VLOOKUP(B77,'Model allocations'!$A$1:$L$317,6,FALSE)</f>
        <v>24288.804384618092</v>
      </c>
      <c r="E77" s="31">
        <f>VLOOKUP(B77,'Initial adjusted formula count'!$A$1:$P$317,12,FALSE)</f>
        <v>0.123076923076923</v>
      </c>
      <c r="F77">
        <f>VLOOKUP(B77,'Model allocations'!$A$1:$L$317,11,FALSE)</f>
        <v>20645.483726925377</v>
      </c>
      <c r="G77" s="30">
        <f t="shared" si="36"/>
        <v>0.85</v>
      </c>
      <c r="H77">
        <f t="shared" si="37"/>
        <v>20645.483726925377</v>
      </c>
      <c r="I77">
        <f t="shared" si="19"/>
        <v>0</v>
      </c>
      <c r="J77">
        <f t="shared" si="20"/>
        <v>20645.483726925377</v>
      </c>
      <c r="K77">
        <f t="shared" si="21"/>
        <v>20633.441852955362</v>
      </c>
      <c r="L77">
        <f t="shared" si="22"/>
        <v>20633.441852955362</v>
      </c>
      <c r="M77">
        <f t="shared" si="23"/>
        <v>20645.483726925377</v>
      </c>
      <c r="N77" s="29">
        <f t="shared" si="24"/>
        <v>0</v>
      </c>
      <c r="O77" s="29">
        <f t="shared" si="25"/>
        <v>0</v>
      </c>
      <c r="P77" s="29">
        <f t="shared" si="26"/>
        <v>20645.483726925377</v>
      </c>
      <c r="Q77">
        <f t="shared" si="27"/>
        <v>0</v>
      </c>
      <c r="R77" s="29">
        <f t="shared" si="28"/>
        <v>0</v>
      </c>
      <c r="S77" s="29">
        <f t="shared" si="29"/>
        <v>0</v>
      </c>
      <c r="T77" s="29">
        <f t="shared" si="30"/>
        <v>20645.483726925377</v>
      </c>
      <c r="U77">
        <f t="shared" si="31"/>
        <v>0</v>
      </c>
      <c r="V77" s="29">
        <f t="shared" si="32"/>
        <v>0</v>
      </c>
      <c r="W77" s="29">
        <f t="shared" si="33"/>
        <v>0</v>
      </c>
      <c r="X77" s="29">
        <f t="shared" si="34"/>
        <v>20645.483726925377</v>
      </c>
      <c r="Y77">
        <f t="shared" si="35"/>
        <v>0</v>
      </c>
    </row>
    <row r="78" spans="1:25" x14ac:dyDescent="0.25">
      <c r="A78" s="4" t="s">
        <v>806</v>
      </c>
      <c r="B78" s="7" t="s">
        <v>125</v>
      </c>
      <c r="C78" s="2" t="s">
        <v>807</v>
      </c>
      <c r="D78">
        <f>VLOOKUP(B78,'Model allocations'!$A$1:$L$317,6,FALSE)</f>
        <v>1821260.5599030007</v>
      </c>
      <c r="E78" s="31">
        <f>VLOOKUP(B78,'Initial adjusted formula count'!$A$1:$P$317,12,FALSE)</f>
        <v>0.106965607313888</v>
      </c>
      <c r="F78">
        <f>VLOOKUP(B78,'Model allocations'!$A$1:$L$317,11,FALSE)</f>
        <v>1961310.2707896708</v>
      </c>
      <c r="G78" s="30">
        <f t="shared" si="36"/>
        <v>0.85</v>
      </c>
      <c r="H78">
        <f t="shared" si="37"/>
        <v>1548071.4759175505</v>
      </c>
      <c r="I78">
        <f t="shared" si="19"/>
        <v>0</v>
      </c>
      <c r="J78">
        <f t="shared" si="20"/>
        <v>1961310.2707896708</v>
      </c>
      <c r="K78">
        <f t="shared" si="21"/>
        <v>1960166.2989937405</v>
      </c>
      <c r="L78">
        <f t="shared" si="22"/>
        <v>1960166.2989937405</v>
      </c>
      <c r="M78">
        <f t="shared" si="23"/>
        <v>0</v>
      </c>
      <c r="N78" s="29">
        <f t="shared" si="24"/>
        <v>1960166.2989937405</v>
      </c>
      <c r="O78" s="29">
        <f t="shared" si="25"/>
        <v>1960017.0737638522</v>
      </c>
      <c r="P78" s="29">
        <f t="shared" si="26"/>
        <v>1960017.0737638522</v>
      </c>
      <c r="Q78">
        <f t="shared" si="27"/>
        <v>0</v>
      </c>
      <c r="R78" s="29">
        <f t="shared" si="28"/>
        <v>1960017.0737638522</v>
      </c>
      <c r="S78" s="29">
        <f t="shared" si="29"/>
        <v>1960017.0737638522</v>
      </c>
      <c r="T78" s="29">
        <f t="shared" si="30"/>
        <v>1960017.0737638522</v>
      </c>
      <c r="U78">
        <f t="shared" si="31"/>
        <v>0</v>
      </c>
      <c r="V78" s="29">
        <f t="shared" si="32"/>
        <v>1960017.0737638522</v>
      </c>
      <c r="W78" s="29">
        <f t="shared" si="33"/>
        <v>1960017.0737638522</v>
      </c>
      <c r="X78" s="29">
        <f t="shared" si="34"/>
        <v>1960017.0737638522</v>
      </c>
      <c r="Y78">
        <f t="shared" si="35"/>
        <v>0</v>
      </c>
    </row>
    <row r="79" spans="1:25" x14ac:dyDescent="0.25">
      <c r="A79" s="4" t="s">
        <v>808</v>
      </c>
      <c r="B79" s="7" t="s">
        <v>276</v>
      </c>
      <c r="C79" s="2" t="s">
        <v>809</v>
      </c>
      <c r="D79">
        <f>VLOOKUP(B79,'Model allocations'!$A$1:$L$317,6,FALSE)</f>
        <v>2159547.1928652599</v>
      </c>
      <c r="E79" s="31">
        <f>VLOOKUP(B79,'Initial adjusted formula count'!$A$1:$P$317,12,FALSE)</f>
        <v>9.8037024621000501E-2</v>
      </c>
      <c r="F79">
        <f>VLOOKUP(B79,'Model allocations'!$A$1:$L$317,11,FALSE)</f>
        <v>2161007.316542801</v>
      </c>
      <c r="G79" s="30">
        <f t="shared" si="36"/>
        <v>0.85</v>
      </c>
      <c r="H79">
        <f t="shared" si="37"/>
        <v>1835615.1139354708</v>
      </c>
      <c r="I79">
        <f t="shared" si="19"/>
        <v>0</v>
      </c>
      <c r="J79">
        <f t="shared" si="20"/>
        <v>2161007.316542801</v>
      </c>
      <c r="K79">
        <f t="shared" si="21"/>
        <v>2159746.8676185575</v>
      </c>
      <c r="L79">
        <f t="shared" si="22"/>
        <v>2159746.8676185575</v>
      </c>
      <c r="M79">
        <f t="shared" si="23"/>
        <v>0</v>
      </c>
      <c r="N79" s="29">
        <f t="shared" si="24"/>
        <v>2159746.8676185575</v>
      </c>
      <c r="O79" s="29">
        <f t="shared" si="25"/>
        <v>2159582.4485470811</v>
      </c>
      <c r="P79" s="29">
        <f t="shared" si="26"/>
        <v>2159582.4485470811</v>
      </c>
      <c r="Q79">
        <f t="shared" si="27"/>
        <v>0</v>
      </c>
      <c r="R79" s="29">
        <f t="shared" si="28"/>
        <v>2159582.4485470811</v>
      </c>
      <c r="S79" s="29">
        <f t="shared" si="29"/>
        <v>2159582.4485470811</v>
      </c>
      <c r="T79" s="29">
        <f t="shared" si="30"/>
        <v>2159582.4485470811</v>
      </c>
      <c r="U79">
        <f t="shared" si="31"/>
        <v>0</v>
      </c>
      <c r="V79" s="29">
        <f t="shared" si="32"/>
        <v>2159582.4485470811</v>
      </c>
      <c r="W79" s="29">
        <f t="shared" si="33"/>
        <v>2159582.4485470811</v>
      </c>
      <c r="X79" s="29">
        <f t="shared" si="34"/>
        <v>2159582.4485470811</v>
      </c>
      <c r="Y79">
        <f t="shared" si="35"/>
        <v>0</v>
      </c>
    </row>
    <row r="80" spans="1:25" x14ac:dyDescent="0.25">
      <c r="A80" s="4" t="s">
        <v>810</v>
      </c>
      <c r="B80" s="7" t="s">
        <v>396</v>
      </c>
      <c r="C80" s="2" t="s">
        <v>811</v>
      </c>
      <c r="D80">
        <f>VLOOKUP(B80,'Model allocations'!$A$1:$L$317,6,FALSE)</f>
        <v>14375.049208215831</v>
      </c>
      <c r="E80" s="31">
        <f>VLOOKUP(B80,'Initial adjusted formula count'!$A$1:$P$317,12,FALSE)</f>
        <v>0.29824561403508798</v>
      </c>
      <c r="F80">
        <f>VLOOKUP(B80,'Model allocations'!$A$1:$L$317,11,FALSE)</f>
        <v>15055.745106391043</v>
      </c>
      <c r="G80" s="30">
        <f t="shared" si="36"/>
        <v>0.9</v>
      </c>
      <c r="H80">
        <f t="shared" si="37"/>
        <v>12937.544287394248</v>
      </c>
      <c r="I80">
        <f t="shared" si="19"/>
        <v>0</v>
      </c>
      <c r="J80">
        <f t="shared" si="20"/>
        <v>15055.745106391043</v>
      </c>
      <c r="K80">
        <f t="shared" si="21"/>
        <v>15046.963554575943</v>
      </c>
      <c r="L80">
        <f t="shared" si="22"/>
        <v>15046.963554575943</v>
      </c>
      <c r="M80">
        <f t="shared" si="23"/>
        <v>0</v>
      </c>
      <c r="N80" s="29">
        <f t="shared" si="24"/>
        <v>15046.963554575943</v>
      </c>
      <c r="O80" s="29">
        <f t="shared" si="25"/>
        <v>15045.818046362328</v>
      </c>
      <c r="P80" s="29">
        <f t="shared" si="26"/>
        <v>15045.818046362328</v>
      </c>
      <c r="Q80">
        <f t="shared" si="27"/>
        <v>0</v>
      </c>
      <c r="R80" s="29">
        <f t="shared" si="28"/>
        <v>15045.818046362328</v>
      </c>
      <c r="S80" s="29">
        <f t="shared" si="29"/>
        <v>15045.818046362328</v>
      </c>
      <c r="T80" s="29">
        <f t="shared" si="30"/>
        <v>15045.818046362328</v>
      </c>
      <c r="U80">
        <f t="shared" si="31"/>
        <v>0</v>
      </c>
      <c r="V80" s="29">
        <f t="shared" si="32"/>
        <v>15045.818046362328</v>
      </c>
      <c r="W80" s="29">
        <f t="shared" si="33"/>
        <v>15045.818046362328</v>
      </c>
      <c r="X80" s="29">
        <f t="shared" si="34"/>
        <v>15045.818046362328</v>
      </c>
      <c r="Y80">
        <f t="shared" si="35"/>
        <v>0</v>
      </c>
    </row>
    <row r="81" spans="1:25" x14ac:dyDescent="0.25">
      <c r="A81" s="4" t="s">
        <v>812</v>
      </c>
      <c r="B81" s="7" t="s">
        <v>398</v>
      </c>
      <c r="C81" s="2" t="s">
        <v>813</v>
      </c>
      <c r="D81">
        <f>VLOOKUP(B81,'Model allocations'!$A$1:$L$317,6,FALSE)</f>
        <v>3976565.027438466</v>
      </c>
      <c r="E81" s="31">
        <f>VLOOKUP(B81,'Initial adjusted formula count'!$A$1:$P$317,12,FALSE)</f>
        <v>0.17527095226276199</v>
      </c>
      <c r="F81">
        <f>VLOOKUP(B81,'Model allocations'!$A$1:$L$317,11,FALSE)</f>
        <v>3992514.507592936</v>
      </c>
      <c r="G81" s="30">
        <f t="shared" si="36"/>
        <v>0.9</v>
      </c>
      <c r="H81">
        <f t="shared" si="37"/>
        <v>3578908.5246946192</v>
      </c>
      <c r="I81">
        <f t="shared" si="19"/>
        <v>0</v>
      </c>
      <c r="J81">
        <f t="shared" si="20"/>
        <v>3992514.507592936</v>
      </c>
      <c r="K81">
        <f t="shared" si="21"/>
        <v>3990185.7970061656</v>
      </c>
      <c r="L81">
        <f t="shared" si="22"/>
        <v>3990185.7970061656</v>
      </c>
      <c r="M81">
        <f t="shared" si="23"/>
        <v>0</v>
      </c>
      <c r="N81" s="29">
        <f t="shared" si="24"/>
        <v>3990185.7970061656</v>
      </c>
      <c r="O81" s="29">
        <f t="shared" si="25"/>
        <v>3989882.0287018334</v>
      </c>
      <c r="P81" s="29">
        <f t="shared" si="26"/>
        <v>3989882.0287018334</v>
      </c>
      <c r="Q81">
        <f t="shared" si="27"/>
        <v>0</v>
      </c>
      <c r="R81" s="29">
        <f t="shared" si="28"/>
        <v>3989882.0287018334</v>
      </c>
      <c r="S81" s="29">
        <f t="shared" si="29"/>
        <v>3989882.0287018334</v>
      </c>
      <c r="T81" s="29">
        <f t="shared" si="30"/>
        <v>3989882.0287018334</v>
      </c>
      <c r="U81">
        <f t="shared" si="31"/>
        <v>0</v>
      </c>
      <c r="V81" s="29">
        <f t="shared" si="32"/>
        <v>3989882.0287018334</v>
      </c>
      <c r="W81" s="29">
        <f t="shared" si="33"/>
        <v>3989882.0287018334</v>
      </c>
      <c r="X81" s="29">
        <f t="shared" si="34"/>
        <v>3989882.0287018334</v>
      </c>
      <c r="Y81">
        <f t="shared" si="35"/>
        <v>0</v>
      </c>
    </row>
    <row r="82" spans="1:25" x14ac:dyDescent="0.25">
      <c r="A82" s="4" t="s">
        <v>814</v>
      </c>
      <c r="B82" s="7" t="s">
        <v>127</v>
      </c>
      <c r="C82" s="2" t="s">
        <v>815</v>
      </c>
      <c r="D82">
        <f>VLOOKUP(B82,'Model allocations'!$A$1:$L$317,6,FALSE)</f>
        <v>552832.09355562367</v>
      </c>
      <c r="E82" s="31">
        <f>VLOOKUP(B82,'Initial adjusted formula count'!$A$1:$P$317,12,FALSE)</f>
        <v>0.12768708582511701</v>
      </c>
      <c r="F82">
        <f>VLOOKUP(B82,'Model allocations'!$A$1:$L$317,11,FALSE)</f>
        <v>478987.62831357913</v>
      </c>
      <c r="G82" s="30">
        <f t="shared" si="36"/>
        <v>0.85</v>
      </c>
      <c r="H82">
        <f t="shared" si="37"/>
        <v>469907.27952228009</v>
      </c>
      <c r="I82">
        <f t="shared" si="19"/>
        <v>0</v>
      </c>
      <c r="J82">
        <f t="shared" si="20"/>
        <v>478987.62831357913</v>
      </c>
      <c r="K82">
        <f t="shared" si="21"/>
        <v>478708.24960152566</v>
      </c>
      <c r="L82">
        <f t="shared" si="22"/>
        <v>478708.24960152566</v>
      </c>
      <c r="M82">
        <f t="shared" si="23"/>
        <v>0</v>
      </c>
      <c r="N82" s="29">
        <f t="shared" si="24"/>
        <v>478708.24960152566</v>
      </c>
      <c r="O82" s="29">
        <f t="shared" si="25"/>
        <v>478671.80608720105</v>
      </c>
      <c r="P82" s="29">
        <f t="shared" si="26"/>
        <v>478671.80608720105</v>
      </c>
      <c r="Q82">
        <f t="shared" si="27"/>
        <v>0</v>
      </c>
      <c r="R82" s="29">
        <f t="shared" si="28"/>
        <v>478671.80608720105</v>
      </c>
      <c r="S82" s="29">
        <f t="shared" si="29"/>
        <v>478671.80608720105</v>
      </c>
      <c r="T82" s="29">
        <f t="shared" si="30"/>
        <v>478671.80608720105</v>
      </c>
      <c r="U82">
        <f t="shared" si="31"/>
        <v>0</v>
      </c>
      <c r="V82" s="29">
        <f t="shared" si="32"/>
        <v>478671.80608720105</v>
      </c>
      <c r="W82" s="29">
        <f t="shared" si="33"/>
        <v>478671.80608720105</v>
      </c>
      <c r="X82" s="29">
        <f t="shared" si="34"/>
        <v>478671.80608720105</v>
      </c>
      <c r="Y82">
        <f t="shared" si="35"/>
        <v>0</v>
      </c>
    </row>
    <row r="83" spans="1:25" x14ac:dyDescent="0.25">
      <c r="A83" s="4" t="s">
        <v>816</v>
      </c>
      <c r="B83" s="7" t="s">
        <v>129</v>
      </c>
      <c r="C83" s="2" t="s">
        <v>817</v>
      </c>
      <c r="D83">
        <f>VLOOKUP(B83,'Model allocations'!$A$1:$L$317,6,FALSE)</f>
        <v>206479.2993833189</v>
      </c>
      <c r="E83" s="31">
        <f>VLOOKUP(B83,'Initial adjusted formula count'!$A$1:$P$317,12,FALSE)</f>
        <v>9.6238397655105001E-2</v>
      </c>
      <c r="F83">
        <f>VLOOKUP(B83,'Model allocations'!$A$1:$L$317,11,FALSE)</f>
        <v>224801.81721923788</v>
      </c>
      <c r="G83" s="30">
        <f t="shared" si="36"/>
        <v>0.85</v>
      </c>
      <c r="H83">
        <f t="shared" si="37"/>
        <v>175507.40447582107</v>
      </c>
      <c r="I83">
        <f t="shared" si="19"/>
        <v>0</v>
      </c>
      <c r="J83">
        <f t="shared" si="20"/>
        <v>224801.81721923788</v>
      </c>
      <c r="K83">
        <f t="shared" si="21"/>
        <v>224670.69725193706</v>
      </c>
      <c r="L83">
        <f t="shared" si="22"/>
        <v>224670.69725193706</v>
      </c>
      <c r="M83">
        <f t="shared" si="23"/>
        <v>0</v>
      </c>
      <c r="N83" s="29">
        <f t="shared" si="24"/>
        <v>224670.69725193706</v>
      </c>
      <c r="O83" s="29">
        <f t="shared" si="25"/>
        <v>224653.59332740589</v>
      </c>
      <c r="P83" s="29">
        <f t="shared" si="26"/>
        <v>224653.59332740589</v>
      </c>
      <c r="Q83">
        <f t="shared" si="27"/>
        <v>0</v>
      </c>
      <c r="R83" s="29">
        <f t="shared" si="28"/>
        <v>224653.59332740589</v>
      </c>
      <c r="S83" s="29">
        <f t="shared" si="29"/>
        <v>224653.59332740589</v>
      </c>
      <c r="T83" s="29">
        <f t="shared" si="30"/>
        <v>224653.59332740589</v>
      </c>
      <c r="U83">
        <f t="shared" si="31"/>
        <v>0</v>
      </c>
      <c r="V83" s="29">
        <f t="shared" si="32"/>
        <v>224653.59332740589</v>
      </c>
      <c r="W83" s="29">
        <f t="shared" si="33"/>
        <v>224653.59332740589</v>
      </c>
      <c r="X83" s="29">
        <f t="shared" si="34"/>
        <v>224653.59332740589</v>
      </c>
      <c r="Y83">
        <f t="shared" si="35"/>
        <v>0</v>
      </c>
    </row>
    <row r="84" spans="1:25" x14ac:dyDescent="0.25">
      <c r="A84" s="4" t="s">
        <v>818</v>
      </c>
      <c r="B84" s="7" t="s">
        <v>400</v>
      </c>
      <c r="C84" s="2" t="s">
        <v>819</v>
      </c>
      <c r="D84">
        <f>VLOOKUP(B84,'Model allocations'!$A$1:$L$317,6,FALSE)</f>
        <v>72950.679185382731</v>
      </c>
      <c r="E84" s="31">
        <f>VLOOKUP(B84,'Initial adjusted formula count'!$A$1:$P$317,12,FALSE)</f>
        <v>0.13260869565217401</v>
      </c>
      <c r="F84">
        <f>VLOOKUP(B84,'Model allocations'!$A$1:$L$317,11,FALSE)</f>
        <v>69608.684519662507</v>
      </c>
      <c r="G84" s="30">
        <f t="shared" si="36"/>
        <v>0.85</v>
      </c>
      <c r="H84">
        <f t="shared" si="37"/>
        <v>62008.077307575317</v>
      </c>
      <c r="I84">
        <f t="shared" si="19"/>
        <v>0</v>
      </c>
      <c r="J84">
        <f t="shared" si="20"/>
        <v>69608.684519662507</v>
      </c>
      <c r="K84">
        <f t="shared" si="21"/>
        <v>69568.083920650577</v>
      </c>
      <c r="L84">
        <f t="shared" si="22"/>
        <v>69568.083920650577</v>
      </c>
      <c r="M84">
        <f t="shared" si="23"/>
        <v>0</v>
      </c>
      <c r="N84" s="29">
        <f t="shared" si="24"/>
        <v>69568.083920650577</v>
      </c>
      <c r="O84" s="29">
        <f t="shared" si="25"/>
        <v>69562.787781582549</v>
      </c>
      <c r="P84" s="29">
        <f t="shared" si="26"/>
        <v>69562.787781582549</v>
      </c>
      <c r="Q84">
        <f t="shared" si="27"/>
        <v>0</v>
      </c>
      <c r="R84" s="29">
        <f t="shared" si="28"/>
        <v>69562.787781582549</v>
      </c>
      <c r="S84" s="29">
        <f t="shared" si="29"/>
        <v>69562.787781582549</v>
      </c>
      <c r="T84" s="29">
        <f t="shared" si="30"/>
        <v>69562.787781582549</v>
      </c>
      <c r="U84">
        <f t="shared" si="31"/>
        <v>0</v>
      </c>
      <c r="V84" s="29">
        <f t="shared" si="32"/>
        <v>69562.787781582549</v>
      </c>
      <c r="W84" s="29">
        <f t="shared" si="33"/>
        <v>69562.787781582549</v>
      </c>
      <c r="X84" s="29">
        <f t="shared" si="34"/>
        <v>69562.787781582549</v>
      </c>
      <c r="Y84">
        <f t="shared" si="35"/>
        <v>0</v>
      </c>
    </row>
    <row r="85" spans="1:25" x14ac:dyDescent="0.25">
      <c r="A85" s="4" t="s">
        <v>820</v>
      </c>
      <c r="B85" s="7" t="s">
        <v>402</v>
      </c>
      <c r="C85" s="2" t="s">
        <v>821</v>
      </c>
      <c r="D85">
        <f>VLOOKUP(B85,'Model allocations'!$A$1:$L$317,6,FALSE)</f>
        <v>872021.47945037286</v>
      </c>
      <c r="E85" s="31">
        <f>VLOOKUP(B85,'Initial adjusted formula count'!$A$1:$P$317,12,FALSE)</f>
        <v>0.14967880085653101</v>
      </c>
      <c r="F85">
        <f>VLOOKUP(B85,'Model allocations'!$A$1:$L$317,11,FALSE)</f>
        <v>999341.07324744947</v>
      </c>
      <c r="G85" s="30">
        <f t="shared" si="36"/>
        <v>0.85</v>
      </c>
      <c r="H85">
        <f t="shared" si="37"/>
        <v>741218.25753281696</v>
      </c>
      <c r="I85">
        <f t="shared" si="19"/>
        <v>0</v>
      </c>
      <c r="J85">
        <f t="shared" si="20"/>
        <v>999341.07324744947</v>
      </c>
      <c r="K85">
        <f t="shared" si="21"/>
        <v>998758.18841819209</v>
      </c>
      <c r="L85">
        <f t="shared" si="22"/>
        <v>998758.18841819209</v>
      </c>
      <c r="M85">
        <f t="shared" si="23"/>
        <v>0</v>
      </c>
      <c r="N85" s="29">
        <f t="shared" si="24"/>
        <v>998758.18841819209</v>
      </c>
      <c r="O85" s="29">
        <f t="shared" si="25"/>
        <v>998682.15409378521</v>
      </c>
      <c r="P85" s="29">
        <f t="shared" si="26"/>
        <v>998682.15409378521</v>
      </c>
      <c r="Q85">
        <f t="shared" si="27"/>
        <v>0</v>
      </c>
      <c r="R85" s="29">
        <f t="shared" si="28"/>
        <v>998682.15409378521</v>
      </c>
      <c r="S85" s="29">
        <f t="shared" si="29"/>
        <v>998682.15409378521</v>
      </c>
      <c r="T85" s="29">
        <f t="shared" si="30"/>
        <v>998682.15409378521</v>
      </c>
      <c r="U85">
        <f t="shared" si="31"/>
        <v>0</v>
      </c>
      <c r="V85" s="29">
        <f t="shared" si="32"/>
        <v>998682.15409378521</v>
      </c>
      <c r="W85" s="29">
        <f t="shared" si="33"/>
        <v>998682.15409378521</v>
      </c>
      <c r="X85" s="29">
        <f t="shared" si="34"/>
        <v>998682.15409378521</v>
      </c>
      <c r="Y85">
        <f t="shared" si="35"/>
        <v>0</v>
      </c>
    </row>
    <row r="86" spans="1:25" x14ac:dyDescent="0.25">
      <c r="A86" s="4" t="s">
        <v>822</v>
      </c>
      <c r="B86" s="7" t="s">
        <v>131</v>
      </c>
      <c r="C86" s="2" t="s">
        <v>823</v>
      </c>
      <c r="D86">
        <f>VLOOKUP(B86,'Model allocations'!$A$1:$L$317,6,FALSE)</f>
        <v>28284.835531961493</v>
      </c>
      <c r="E86" s="31">
        <f>VLOOKUP(B86,'Initial adjusted formula count'!$A$1:$P$317,12,FALSE)</f>
        <v>3.6963036963037002E-2</v>
      </c>
      <c r="F86">
        <f>VLOOKUP(B86,'Model allocations'!$A$1:$L$317,11,FALSE)</f>
        <v>0</v>
      </c>
      <c r="G86" s="30">
        <f t="shared" si="36"/>
        <v>0.85</v>
      </c>
      <c r="H86">
        <f t="shared" si="3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2"/>
        <v>0</v>
      </c>
      <c r="M86">
        <f t="shared" si="23"/>
        <v>0</v>
      </c>
      <c r="N86" s="29">
        <f t="shared" si="24"/>
        <v>0</v>
      </c>
      <c r="O86" s="29">
        <f t="shared" si="25"/>
        <v>0</v>
      </c>
      <c r="P86" s="29">
        <f t="shared" si="26"/>
        <v>0</v>
      </c>
      <c r="Q86">
        <f t="shared" si="27"/>
        <v>0</v>
      </c>
      <c r="R86" s="29">
        <f t="shared" si="28"/>
        <v>0</v>
      </c>
      <c r="S86" s="29">
        <f t="shared" si="29"/>
        <v>0</v>
      </c>
      <c r="T86" s="29">
        <f t="shared" si="30"/>
        <v>0</v>
      </c>
      <c r="U86">
        <f t="shared" si="31"/>
        <v>0</v>
      </c>
      <c r="V86" s="29">
        <f t="shared" si="32"/>
        <v>0</v>
      </c>
      <c r="W86" s="29">
        <f t="shared" si="33"/>
        <v>0</v>
      </c>
      <c r="X86" s="29">
        <f t="shared" si="34"/>
        <v>0</v>
      </c>
      <c r="Y86">
        <f t="shared" si="35"/>
        <v>0</v>
      </c>
    </row>
    <row r="87" spans="1:25" x14ac:dyDescent="0.25">
      <c r="A87" s="4" t="s">
        <v>824</v>
      </c>
      <c r="B87" s="7" t="s">
        <v>404</v>
      </c>
      <c r="C87" s="2" t="s">
        <v>825</v>
      </c>
      <c r="D87">
        <f>VLOOKUP(B87,'Model allocations'!$A$1:$L$317,6,FALSE)</f>
        <v>29190.105835579689</v>
      </c>
      <c r="E87" s="31">
        <f>VLOOKUP(B87,'Initial adjusted formula count'!$A$1:$P$317,12,FALSE)</f>
        <v>0.25</v>
      </c>
      <c r="F87">
        <f>VLOOKUP(B87,'Model allocations'!$A$1:$L$317,11,FALSE)</f>
        <v>26271.095252021722</v>
      </c>
      <c r="G87" s="30">
        <f t="shared" si="36"/>
        <v>0.9</v>
      </c>
      <c r="H87">
        <f t="shared" si="37"/>
        <v>26271.095252021722</v>
      </c>
      <c r="I87">
        <f t="shared" si="19"/>
        <v>0</v>
      </c>
      <c r="J87">
        <f t="shared" si="20"/>
        <v>26271.095252021722</v>
      </c>
      <c r="K87">
        <f t="shared" si="21"/>
        <v>26255.77213233785</v>
      </c>
      <c r="L87">
        <f t="shared" si="22"/>
        <v>26255.77213233785</v>
      </c>
      <c r="M87">
        <f t="shared" si="23"/>
        <v>26271.095252021722</v>
      </c>
      <c r="N87" s="29">
        <f t="shared" si="24"/>
        <v>0</v>
      </c>
      <c r="O87" s="29">
        <f t="shared" si="25"/>
        <v>0</v>
      </c>
      <c r="P87" s="29">
        <f t="shared" si="26"/>
        <v>26271.095252021722</v>
      </c>
      <c r="Q87">
        <f t="shared" si="27"/>
        <v>0</v>
      </c>
      <c r="R87" s="29">
        <f t="shared" si="28"/>
        <v>0</v>
      </c>
      <c r="S87" s="29">
        <f t="shared" si="29"/>
        <v>0</v>
      </c>
      <c r="T87" s="29">
        <f t="shared" si="30"/>
        <v>26271.095252021722</v>
      </c>
      <c r="U87">
        <f t="shared" si="31"/>
        <v>0</v>
      </c>
      <c r="V87" s="29">
        <f t="shared" si="32"/>
        <v>0</v>
      </c>
      <c r="W87" s="29">
        <f t="shared" si="33"/>
        <v>0</v>
      </c>
      <c r="X87" s="29">
        <f t="shared" si="34"/>
        <v>26271.095252021722</v>
      </c>
      <c r="Y87">
        <f t="shared" si="35"/>
        <v>0</v>
      </c>
    </row>
    <row r="88" spans="1:25" x14ac:dyDescent="0.25">
      <c r="A88" s="4" t="s">
        <v>826</v>
      </c>
      <c r="B88" s="7" t="s">
        <v>133</v>
      </c>
      <c r="C88" s="2" t="s">
        <v>827</v>
      </c>
      <c r="D88">
        <f>VLOOKUP(B88,'Model allocations'!$A$1:$L$317,6,FALSE)</f>
        <v>10953.605579511985</v>
      </c>
      <c r="E88" s="31">
        <f>VLOOKUP(B88,'Initial adjusted formula count'!$A$1:$P$317,12,FALSE)</f>
        <v>0.14516129032258099</v>
      </c>
      <c r="F88">
        <f>VLOOKUP(B88,'Model allocations'!$A$1:$L$317,11,FALSE)</f>
        <v>0</v>
      </c>
      <c r="G88" s="30">
        <f t="shared" si="36"/>
        <v>0.85</v>
      </c>
      <c r="H88">
        <f t="shared" si="37"/>
        <v>0</v>
      </c>
      <c r="I88">
        <f t="shared" si="19"/>
        <v>0</v>
      </c>
      <c r="J88">
        <f t="shared" si="20"/>
        <v>0</v>
      </c>
      <c r="K88">
        <f t="shared" si="21"/>
        <v>0</v>
      </c>
      <c r="L88">
        <f t="shared" si="22"/>
        <v>0</v>
      </c>
      <c r="M88">
        <f t="shared" si="23"/>
        <v>0</v>
      </c>
      <c r="N88" s="29">
        <f t="shared" si="24"/>
        <v>0</v>
      </c>
      <c r="O88" s="29">
        <f t="shared" si="25"/>
        <v>0</v>
      </c>
      <c r="P88" s="29">
        <f t="shared" si="26"/>
        <v>0</v>
      </c>
      <c r="Q88">
        <f t="shared" si="27"/>
        <v>0</v>
      </c>
      <c r="R88" s="29">
        <f t="shared" si="28"/>
        <v>0</v>
      </c>
      <c r="S88" s="29">
        <f t="shared" si="29"/>
        <v>0</v>
      </c>
      <c r="T88" s="29">
        <f t="shared" si="30"/>
        <v>0</v>
      </c>
      <c r="U88">
        <f t="shared" si="31"/>
        <v>0</v>
      </c>
      <c r="V88" s="29">
        <f t="shared" si="32"/>
        <v>0</v>
      </c>
      <c r="W88" s="29">
        <f t="shared" si="33"/>
        <v>0</v>
      </c>
      <c r="X88" s="29">
        <f t="shared" si="34"/>
        <v>0</v>
      </c>
      <c r="Y88">
        <f t="shared" si="35"/>
        <v>0</v>
      </c>
    </row>
    <row r="89" spans="1:25" x14ac:dyDescent="0.25">
      <c r="A89" s="4" t="s">
        <v>828</v>
      </c>
      <c r="B89" s="7" t="s">
        <v>406</v>
      </c>
      <c r="C89" s="2" t="s">
        <v>829</v>
      </c>
      <c r="D89">
        <f>VLOOKUP(B89,'Model allocations'!$A$1:$L$317,6,FALSE)</f>
        <v>156236.25920459378</v>
      </c>
      <c r="E89" s="31">
        <f>VLOOKUP(B89,'Initial adjusted formula count'!$A$1:$P$317,12,FALSE)</f>
        <v>0.15348837209302299</v>
      </c>
      <c r="F89">
        <f>VLOOKUP(B89,'Model allocations'!$A$1:$L$317,11,FALSE)</f>
        <v>140612.63328413441</v>
      </c>
      <c r="G89" s="30">
        <f t="shared" si="36"/>
        <v>0.9</v>
      </c>
      <c r="H89">
        <f t="shared" si="37"/>
        <v>140612.63328413441</v>
      </c>
      <c r="I89">
        <f t="shared" si="19"/>
        <v>0</v>
      </c>
      <c r="J89">
        <f t="shared" si="20"/>
        <v>140612.63328413441</v>
      </c>
      <c r="K89">
        <f t="shared" si="21"/>
        <v>140530.61827150523</v>
      </c>
      <c r="L89">
        <f t="shared" si="22"/>
        <v>140530.61827150523</v>
      </c>
      <c r="M89">
        <f t="shared" si="23"/>
        <v>140612.63328413441</v>
      </c>
      <c r="N89" s="29">
        <f t="shared" si="24"/>
        <v>0</v>
      </c>
      <c r="O89" s="29">
        <f t="shared" si="25"/>
        <v>0</v>
      </c>
      <c r="P89" s="29">
        <f t="shared" si="26"/>
        <v>140612.63328413441</v>
      </c>
      <c r="Q89">
        <f t="shared" si="27"/>
        <v>0</v>
      </c>
      <c r="R89" s="29">
        <f t="shared" si="28"/>
        <v>0</v>
      </c>
      <c r="S89" s="29">
        <f t="shared" si="29"/>
        <v>0</v>
      </c>
      <c r="T89" s="29">
        <f t="shared" si="30"/>
        <v>140612.63328413441</v>
      </c>
      <c r="U89">
        <f t="shared" si="31"/>
        <v>0</v>
      </c>
      <c r="V89" s="29">
        <f t="shared" si="32"/>
        <v>0</v>
      </c>
      <c r="W89" s="29">
        <f t="shared" si="33"/>
        <v>0</v>
      </c>
      <c r="X89" s="29">
        <f t="shared" si="34"/>
        <v>140612.63328413441</v>
      </c>
      <c r="Y89">
        <f t="shared" si="35"/>
        <v>0</v>
      </c>
    </row>
    <row r="90" spans="1:25" x14ac:dyDescent="0.25">
      <c r="A90" s="4" t="s">
        <v>830</v>
      </c>
      <c r="B90" s="7" t="s">
        <v>408</v>
      </c>
      <c r="C90" s="2" t="s">
        <v>831</v>
      </c>
      <c r="D90">
        <f>VLOOKUP(B90,'Model allocations'!$A$1:$L$317,6,FALSE)</f>
        <v>66983.496955573952</v>
      </c>
      <c r="E90" s="31">
        <f>VLOOKUP(B90,'Initial adjusted formula count'!$A$1:$P$317,12,FALSE)</f>
        <v>0.183035714285714</v>
      </c>
      <c r="F90">
        <f>VLOOKUP(B90,'Model allocations'!$A$1:$L$317,11,FALSE)</f>
        <v>78011.251529368747</v>
      </c>
      <c r="G90" s="30">
        <f t="shared" si="36"/>
        <v>0.9</v>
      </c>
      <c r="H90">
        <f t="shared" si="37"/>
        <v>60285.147260016558</v>
      </c>
      <c r="I90">
        <f t="shared" si="19"/>
        <v>0</v>
      </c>
      <c r="J90">
        <f t="shared" si="20"/>
        <v>78011.251529368747</v>
      </c>
      <c r="K90">
        <f t="shared" si="21"/>
        <v>77965.749972147561</v>
      </c>
      <c r="L90">
        <f t="shared" si="22"/>
        <v>77965.749972147561</v>
      </c>
      <c r="M90">
        <f t="shared" si="23"/>
        <v>0</v>
      </c>
      <c r="N90" s="29">
        <f t="shared" si="24"/>
        <v>77965.749972147561</v>
      </c>
      <c r="O90" s="29">
        <f t="shared" si="25"/>
        <v>77959.81452831866</v>
      </c>
      <c r="P90" s="29">
        <f t="shared" si="26"/>
        <v>77959.81452831866</v>
      </c>
      <c r="Q90">
        <f t="shared" si="27"/>
        <v>0</v>
      </c>
      <c r="R90" s="29">
        <f t="shared" si="28"/>
        <v>77959.81452831866</v>
      </c>
      <c r="S90" s="29">
        <f t="shared" si="29"/>
        <v>77959.81452831866</v>
      </c>
      <c r="T90" s="29">
        <f t="shared" si="30"/>
        <v>77959.81452831866</v>
      </c>
      <c r="U90">
        <f t="shared" si="31"/>
        <v>0</v>
      </c>
      <c r="V90" s="29">
        <f t="shared" si="32"/>
        <v>77959.81452831866</v>
      </c>
      <c r="W90" s="29">
        <f t="shared" si="33"/>
        <v>77959.81452831866</v>
      </c>
      <c r="X90" s="29">
        <f t="shared" si="34"/>
        <v>77959.81452831866</v>
      </c>
      <c r="Y90">
        <f t="shared" si="35"/>
        <v>0</v>
      </c>
    </row>
    <row r="91" spans="1:25" x14ac:dyDescent="0.25">
      <c r="A91" s="4" t="s">
        <v>832</v>
      </c>
      <c r="B91" s="7" t="s">
        <v>410</v>
      </c>
      <c r="C91" s="2" t="s">
        <v>833</v>
      </c>
      <c r="D91">
        <f>VLOOKUP(B91,'Model allocations'!$A$1:$L$317,6,FALSE)</f>
        <v>414608.05723551963</v>
      </c>
      <c r="E91" s="31">
        <f>VLOOKUP(B91,'Initial adjusted formula count'!$A$1:$P$317,12,FALSE)</f>
        <v>0.220407070166042</v>
      </c>
      <c r="F91">
        <f>VLOOKUP(B91,'Model allocations'!$A$1:$L$317,11,FALSE)</f>
        <v>572806.49859067413</v>
      </c>
      <c r="G91" s="30">
        <f t="shared" si="36"/>
        <v>0.9</v>
      </c>
      <c r="H91">
        <f t="shared" si="37"/>
        <v>373147.25151196768</v>
      </c>
      <c r="I91">
        <f t="shared" si="19"/>
        <v>0</v>
      </c>
      <c r="J91">
        <f t="shared" si="20"/>
        <v>572806.49859067413</v>
      </c>
      <c r="K91">
        <f t="shared" si="21"/>
        <v>572472.3982248765</v>
      </c>
      <c r="L91">
        <f t="shared" si="22"/>
        <v>572472.3982248765</v>
      </c>
      <c r="M91">
        <f t="shared" si="23"/>
        <v>0</v>
      </c>
      <c r="N91" s="29">
        <f t="shared" si="24"/>
        <v>572472.3982248765</v>
      </c>
      <c r="O91" s="29">
        <f t="shared" si="25"/>
        <v>572428.81655261049</v>
      </c>
      <c r="P91" s="29">
        <f t="shared" si="26"/>
        <v>572428.81655261049</v>
      </c>
      <c r="Q91">
        <f t="shared" si="27"/>
        <v>0</v>
      </c>
      <c r="R91" s="29">
        <f t="shared" si="28"/>
        <v>572428.81655261049</v>
      </c>
      <c r="S91" s="29">
        <f t="shared" si="29"/>
        <v>572428.81655261049</v>
      </c>
      <c r="T91" s="29">
        <f t="shared" si="30"/>
        <v>572428.81655261049</v>
      </c>
      <c r="U91">
        <f t="shared" si="31"/>
        <v>0</v>
      </c>
      <c r="V91" s="29">
        <f t="shared" si="32"/>
        <v>572428.81655261049</v>
      </c>
      <c r="W91" s="29">
        <f t="shared" si="33"/>
        <v>572428.81655261049</v>
      </c>
      <c r="X91" s="29">
        <f t="shared" si="34"/>
        <v>572428.81655261049</v>
      </c>
      <c r="Y91">
        <f t="shared" si="35"/>
        <v>0</v>
      </c>
    </row>
    <row r="92" spans="1:25" x14ac:dyDescent="0.25">
      <c r="A92" s="4" t="s">
        <v>834</v>
      </c>
      <c r="B92" s="7" t="s">
        <v>412</v>
      </c>
      <c r="C92" s="2" t="s">
        <v>835</v>
      </c>
      <c r="D92">
        <f>VLOOKUP(B92,'Model allocations'!$A$1:$L$317,6,FALSE)</f>
        <v>270909.19895981409</v>
      </c>
      <c r="E92" s="31">
        <f>VLOOKUP(B92,'Initial adjusted formula count'!$A$1:$P$317,12,FALSE)</f>
        <v>0.16005040957781999</v>
      </c>
      <c r="F92">
        <f>VLOOKUP(B92,'Model allocations'!$A$1:$L$317,11,FALSE)</f>
        <v>243818.27906383268</v>
      </c>
      <c r="G92" s="30">
        <f t="shared" si="36"/>
        <v>0.9</v>
      </c>
      <c r="H92">
        <f t="shared" si="37"/>
        <v>243818.27906383268</v>
      </c>
      <c r="I92">
        <f t="shared" si="19"/>
        <v>0</v>
      </c>
      <c r="J92">
        <f t="shared" si="20"/>
        <v>243818.27906383268</v>
      </c>
      <c r="K92">
        <f t="shared" si="21"/>
        <v>243676.06738078824</v>
      </c>
      <c r="L92">
        <f t="shared" si="22"/>
        <v>243676.06738078824</v>
      </c>
      <c r="M92">
        <f t="shared" si="23"/>
        <v>243818.27906383268</v>
      </c>
      <c r="N92" s="29">
        <f t="shared" si="24"/>
        <v>0</v>
      </c>
      <c r="O92" s="29">
        <f t="shared" si="25"/>
        <v>0</v>
      </c>
      <c r="P92" s="29">
        <f t="shared" si="26"/>
        <v>243818.27906383268</v>
      </c>
      <c r="Q92">
        <f t="shared" si="27"/>
        <v>0</v>
      </c>
      <c r="R92" s="29">
        <f t="shared" si="28"/>
        <v>0</v>
      </c>
      <c r="S92" s="29">
        <f t="shared" si="29"/>
        <v>0</v>
      </c>
      <c r="T92" s="29">
        <f t="shared" si="30"/>
        <v>243818.27906383268</v>
      </c>
      <c r="U92">
        <f t="shared" si="31"/>
        <v>0</v>
      </c>
      <c r="V92" s="29">
        <f t="shared" si="32"/>
        <v>0</v>
      </c>
      <c r="W92" s="29">
        <f t="shared" si="33"/>
        <v>0</v>
      </c>
      <c r="X92" s="29">
        <f t="shared" si="34"/>
        <v>243818.27906383268</v>
      </c>
      <c r="Y92">
        <f t="shared" si="35"/>
        <v>0</v>
      </c>
    </row>
    <row r="93" spans="1:25" x14ac:dyDescent="0.25">
      <c r="A93" s="4" t="s">
        <v>836</v>
      </c>
      <c r="B93" s="7" t="s">
        <v>135</v>
      </c>
      <c r="C93" s="2" t="s">
        <v>837</v>
      </c>
      <c r="D93">
        <f>VLOOKUP(B93,'Model allocations'!$A$1:$L$317,6,FALSE)</f>
        <v>122756.18620871288</v>
      </c>
      <c r="E93" s="31">
        <f>VLOOKUP(B93,'Initial adjusted formula count'!$A$1:$P$317,12,FALSE)</f>
        <v>6.4916637105356501E-2</v>
      </c>
      <c r="F93">
        <f>VLOOKUP(B93,'Model allocations'!$A$1:$L$317,11,FALSE)</f>
        <v>104413.02677949372</v>
      </c>
      <c r="G93" s="30">
        <f t="shared" si="36"/>
        <v>0.85</v>
      </c>
      <c r="H93">
        <f t="shared" si="37"/>
        <v>104342.75827740594</v>
      </c>
      <c r="I93">
        <f t="shared" si="19"/>
        <v>0</v>
      </c>
      <c r="J93">
        <f t="shared" si="20"/>
        <v>104413.02677949372</v>
      </c>
      <c r="K93">
        <f t="shared" si="21"/>
        <v>104352.12588097581</v>
      </c>
      <c r="L93">
        <f t="shared" si="22"/>
        <v>104352.12588097581</v>
      </c>
      <c r="M93">
        <f t="shared" si="23"/>
        <v>0</v>
      </c>
      <c r="N93" s="29">
        <f t="shared" si="24"/>
        <v>104352.12588097581</v>
      </c>
      <c r="O93" s="29">
        <f t="shared" si="25"/>
        <v>104344.18167237377</v>
      </c>
      <c r="P93" s="29">
        <f t="shared" si="26"/>
        <v>104344.18167237377</v>
      </c>
      <c r="Q93">
        <f t="shared" si="27"/>
        <v>0</v>
      </c>
      <c r="R93" s="29">
        <f t="shared" si="28"/>
        <v>104344.18167237377</v>
      </c>
      <c r="S93" s="29">
        <f t="shared" si="29"/>
        <v>104344.18167237377</v>
      </c>
      <c r="T93" s="29">
        <f t="shared" si="30"/>
        <v>104344.18167237377</v>
      </c>
      <c r="U93">
        <f t="shared" si="31"/>
        <v>0</v>
      </c>
      <c r="V93" s="29">
        <f t="shared" si="32"/>
        <v>104344.18167237377</v>
      </c>
      <c r="W93" s="29">
        <f t="shared" si="33"/>
        <v>104344.18167237377</v>
      </c>
      <c r="X93" s="29">
        <f t="shared" si="34"/>
        <v>104344.18167237377</v>
      </c>
      <c r="Y93">
        <f t="shared" si="35"/>
        <v>0</v>
      </c>
    </row>
    <row r="94" spans="1:25" x14ac:dyDescent="0.25">
      <c r="A94" s="4" t="s">
        <v>838</v>
      </c>
      <c r="B94" s="7" t="s">
        <v>414</v>
      </c>
      <c r="C94" s="2" t="s">
        <v>839</v>
      </c>
      <c r="D94">
        <f>VLOOKUP(B94,'Model allocations'!$A$1:$L$317,6,FALSE)</f>
        <v>22094.871349433746</v>
      </c>
      <c r="E94" s="31">
        <f>VLOOKUP(B94,'Initial adjusted formula count'!$A$1:$P$317,12,FALSE)</f>
        <v>0.10233918128654999</v>
      </c>
      <c r="F94">
        <f>VLOOKUP(B94,'Model allocations'!$A$1:$L$317,11,FALSE)</f>
        <v>19969.704575313011</v>
      </c>
      <c r="G94" s="30">
        <f t="shared" si="36"/>
        <v>0.85</v>
      </c>
      <c r="H94">
        <f t="shared" si="37"/>
        <v>18780.640647018685</v>
      </c>
      <c r="I94">
        <f t="shared" si="19"/>
        <v>0</v>
      </c>
      <c r="J94">
        <f t="shared" si="20"/>
        <v>19969.704575313011</v>
      </c>
      <c r="K94">
        <f t="shared" si="21"/>
        <v>19958.056862481721</v>
      </c>
      <c r="L94">
        <f t="shared" si="22"/>
        <v>19958.056862481721</v>
      </c>
      <c r="M94">
        <f t="shared" si="23"/>
        <v>0</v>
      </c>
      <c r="N94" s="29">
        <f t="shared" si="24"/>
        <v>19958.056862481721</v>
      </c>
      <c r="O94" s="29">
        <f t="shared" si="25"/>
        <v>19956.537478322862</v>
      </c>
      <c r="P94" s="29">
        <f t="shared" si="26"/>
        <v>19956.537478322862</v>
      </c>
      <c r="Q94">
        <f t="shared" si="27"/>
        <v>0</v>
      </c>
      <c r="R94" s="29">
        <f t="shared" si="28"/>
        <v>19956.537478322862</v>
      </c>
      <c r="S94" s="29">
        <f t="shared" si="29"/>
        <v>19956.537478322862</v>
      </c>
      <c r="T94" s="29">
        <f t="shared" si="30"/>
        <v>19956.537478322862</v>
      </c>
      <c r="U94">
        <f t="shared" si="31"/>
        <v>0</v>
      </c>
      <c r="V94" s="29">
        <f t="shared" si="32"/>
        <v>19956.537478322862</v>
      </c>
      <c r="W94" s="29">
        <f t="shared" si="33"/>
        <v>19956.537478322862</v>
      </c>
      <c r="X94" s="29">
        <f t="shared" si="34"/>
        <v>19956.537478322862</v>
      </c>
      <c r="Y94">
        <f t="shared" si="35"/>
        <v>0</v>
      </c>
    </row>
    <row r="95" spans="1:25" x14ac:dyDescent="0.25">
      <c r="A95" s="4" t="s">
        <v>840</v>
      </c>
      <c r="B95" s="7" t="s">
        <v>416</v>
      </c>
      <c r="C95" s="2" t="s">
        <v>841</v>
      </c>
      <c r="D95">
        <f>VLOOKUP(B95,'Model allocations'!$A$1:$L$317,6,FALSE)</f>
        <v>30909.540987567634</v>
      </c>
      <c r="E95" s="31">
        <f>VLOOKUP(B95,'Initial adjusted formula count'!$A$1:$P$317,12,FALSE)</f>
        <v>0.19148936170212799</v>
      </c>
      <c r="F95">
        <f>VLOOKUP(B95,'Model allocations'!$A$1:$L$317,11,FALSE)</f>
        <v>27818.586888810871</v>
      </c>
      <c r="G95" s="30">
        <f t="shared" si="36"/>
        <v>0.9</v>
      </c>
      <c r="H95">
        <f t="shared" si="37"/>
        <v>27818.586888810871</v>
      </c>
      <c r="I95">
        <f t="shared" si="19"/>
        <v>0</v>
      </c>
      <c r="J95">
        <f t="shared" si="20"/>
        <v>27818.586888810871</v>
      </c>
      <c r="K95">
        <f t="shared" si="21"/>
        <v>27802.361164978491</v>
      </c>
      <c r="L95">
        <f t="shared" si="22"/>
        <v>27802.361164978491</v>
      </c>
      <c r="M95">
        <f t="shared" si="23"/>
        <v>27818.586888810871</v>
      </c>
      <c r="N95" s="29">
        <f t="shared" si="24"/>
        <v>0</v>
      </c>
      <c r="O95" s="29">
        <f t="shared" si="25"/>
        <v>0</v>
      </c>
      <c r="P95" s="29">
        <f t="shared" si="26"/>
        <v>27818.586888810871</v>
      </c>
      <c r="Q95">
        <f t="shared" si="27"/>
        <v>0</v>
      </c>
      <c r="R95" s="29">
        <f t="shared" si="28"/>
        <v>0</v>
      </c>
      <c r="S95" s="29">
        <f t="shared" si="29"/>
        <v>0</v>
      </c>
      <c r="T95" s="29">
        <f t="shared" si="30"/>
        <v>27818.586888810871</v>
      </c>
      <c r="U95">
        <f t="shared" si="31"/>
        <v>0</v>
      </c>
      <c r="V95" s="29">
        <f t="shared" si="32"/>
        <v>0</v>
      </c>
      <c r="W95" s="29">
        <f t="shared" si="33"/>
        <v>0</v>
      </c>
      <c r="X95" s="29">
        <f t="shared" si="34"/>
        <v>27818.586888810871</v>
      </c>
      <c r="Y95">
        <f t="shared" si="35"/>
        <v>0</v>
      </c>
    </row>
    <row r="96" spans="1:25" x14ac:dyDescent="0.25">
      <c r="A96" s="4" t="s">
        <v>842</v>
      </c>
      <c r="B96" s="7" t="s">
        <v>137</v>
      </c>
      <c r="C96" s="2" t="s">
        <v>843</v>
      </c>
      <c r="D96">
        <f>VLOOKUP(B96,'Model allocations'!$A$1:$L$317,6,FALSE)</f>
        <v>9051.1473702276762</v>
      </c>
      <c r="E96" s="31">
        <f>VLOOKUP(B96,'Initial adjusted formula count'!$A$1:$P$317,12,FALSE)</f>
        <v>5.8252427184466E-2</v>
      </c>
      <c r="F96">
        <f>VLOOKUP(B96,'Model allocations'!$A$1:$L$317,11,FALSE)</f>
        <v>7693.4752646935249</v>
      </c>
      <c r="G96" s="30">
        <f t="shared" si="36"/>
        <v>0.85</v>
      </c>
      <c r="H96">
        <f t="shared" si="37"/>
        <v>7693.4752646935249</v>
      </c>
      <c r="I96">
        <f t="shared" si="19"/>
        <v>0</v>
      </c>
      <c r="J96">
        <f t="shared" si="20"/>
        <v>7693.4752646935249</v>
      </c>
      <c r="K96">
        <f t="shared" si="21"/>
        <v>7688.9878978313945</v>
      </c>
      <c r="L96">
        <f t="shared" si="22"/>
        <v>7688.9878978313945</v>
      </c>
      <c r="M96">
        <f t="shared" si="23"/>
        <v>7693.4752646935249</v>
      </c>
      <c r="N96" s="29">
        <f t="shared" si="24"/>
        <v>0</v>
      </c>
      <c r="O96" s="29">
        <f t="shared" si="25"/>
        <v>0</v>
      </c>
      <c r="P96" s="29">
        <f t="shared" si="26"/>
        <v>7693.4752646935249</v>
      </c>
      <c r="Q96">
        <f t="shared" si="27"/>
        <v>0</v>
      </c>
      <c r="R96" s="29">
        <f t="shared" si="28"/>
        <v>0</v>
      </c>
      <c r="S96" s="29">
        <f t="shared" si="29"/>
        <v>0</v>
      </c>
      <c r="T96" s="29">
        <f t="shared" si="30"/>
        <v>7693.4752646935249</v>
      </c>
      <c r="U96">
        <f t="shared" si="31"/>
        <v>0</v>
      </c>
      <c r="V96" s="29">
        <f t="shared" si="32"/>
        <v>0</v>
      </c>
      <c r="W96" s="29">
        <f t="shared" si="33"/>
        <v>0</v>
      </c>
      <c r="X96" s="29">
        <f t="shared" si="34"/>
        <v>7693.4752646935249</v>
      </c>
      <c r="Y96">
        <f t="shared" si="35"/>
        <v>0</v>
      </c>
    </row>
    <row r="97" spans="1:25" x14ac:dyDescent="0.25">
      <c r="A97" s="4" t="s">
        <v>844</v>
      </c>
      <c r="B97" s="7" t="s">
        <v>139</v>
      </c>
      <c r="C97" s="2" t="s">
        <v>845</v>
      </c>
      <c r="D97">
        <f>VLOOKUP(B97,'Model allocations'!$A$1:$L$317,6,FALSE)</f>
        <v>32681.99720437076</v>
      </c>
      <c r="E97" s="31">
        <f>VLOOKUP(B97,'Initial adjusted formula count'!$A$1:$P$317,12,FALSE)</f>
        <v>5.2338530066815103E-2</v>
      </c>
      <c r="F97">
        <f>VLOOKUP(B97,'Model allocations'!$A$1:$L$317,11,FALSE)</f>
        <v>27779.697623715147</v>
      </c>
      <c r="G97" s="30">
        <f t="shared" si="36"/>
        <v>0.85</v>
      </c>
      <c r="H97">
        <f t="shared" si="37"/>
        <v>27779.697623715147</v>
      </c>
      <c r="I97">
        <f t="shared" si="19"/>
        <v>0</v>
      </c>
      <c r="J97">
        <f t="shared" si="20"/>
        <v>27779.697623715147</v>
      </c>
      <c r="K97">
        <f t="shared" si="21"/>
        <v>27763.494582791791</v>
      </c>
      <c r="L97">
        <f t="shared" si="22"/>
        <v>27763.494582791791</v>
      </c>
      <c r="M97">
        <f t="shared" si="23"/>
        <v>27779.697623715147</v>
      </c>
      <c r="N97" s="29">
        <f t="shared" si="24"/>
        <v>0</v>
      </c>
      <c r="O97" s="29">
        <f t="shared" si="25"/>
        <v>0</v>
      </c>
      <c r="P97" s="29">
        <f t="shared" si="26"/>
        <v>27779.697623715147</v>
      </c>
      <c r="Q97">
        <f t="shared" si="27"/>
        <v>0</v>
      </c>
      <c r="R97" s="29">
        <f t="shared" si="28"/>
        <v>0</v>
      </c>
      <c r="S97" s="29">
        <f t="shared" si="29"/>
        <v>0</v>
      </c>
      <c r="T97" s="29">
        <f t="shared" si="30"/>
        <v>27779.697623715147</v>
      </c>
      <c r="U97">
        <f t="shared" si="31"/>
        <v>0</v>
      </c>
      <c r="V97" s="29">
        <f t="shared" si="32"/>
        <v>0</v>
      </c>
      <c r="W97" s="29">
        <f t="shared" si="33"/>
        <v>0</v>
      </c>
      <c r="X97" s="29">
        <f t="shared" si="34"/>
        <v>27779.697623715147</v>
      </c>
      <c r="Y97">
        <f t="shared" si="35"/>
        <v>0</v>
      </c>
    </row>
    <row r="98" spans="1:25" x14ac:dyDescent="0.25">
      <c r="A98" s="4" t="s">
        <v>846</v>
      </c>
      <c r="B98" s="7" t="s">
        <v>418</v>
      </c>
      <c r="C98" s="2" t="s">
        <v>847</v>
      </c>
      <c r="D98">
        <f>VLOOKUP(B98,'Model allocations'!$A$1:$L$317,6,FALSE)</f>
        <v>17606.980663407961</v>
      </c>
      <c r="E98" s="31">
        <f>VLOOKUP(B98,'Initial adjusted formula count'!$A$1:$P$317,12,FALSE)</f>
        <v>0.17241379310344801</v>
      </c>
      <c r="F98">
        <f>VLOOKUP(B98,'Model allocations'!$A$1:$L$317,11,FALSE)</f>
        <v>15846.282597067166</v>
      </c>
      <c r="G98" s="30">
        <f t="shared" si="36"/>
        <v>0.9</v>
      </c>
      <c r="H98">
        <f t="shared" si="37"/>
        <v>15846.282597067166</v>
      </c>
      <c r="I98">
        <f t="shared" si="19"/>
        <v>0</v>
      </c>
      <c r="J98">
        <f t="shared" si="20"/>
        <v>15846.282597067166</v>
      </c>
      <c r="K98">
        <f t="shared" si="21"/>
        <v>15837.039949113208</v>
      </c>
      <c r="L98">
        <f t="shared" si="22"/>
        <v>15837.039949113208</v>
      </c>
      <c r="M98">
        <f t="shared" si="23"/>
        <v>15846.282597067166</v>
      </c>
      <c r="N98" s="29">
        <f t="shared" si="24"/>
        <v>0</v>
      </c>
      <c r="O98" s="29">
        <f t="shared" si="25"/>
        <v>0</v>
      </c>
      <c r="P98" s="29">
        <f t="shared" si="26"/>
        <v>15846.282597067166</v>
      </c>
      <c r="Q98">
        <f t="shared" si="27"/>
        <v>0</v>
      </c>
      <c r="R98" s="29">
        <f t="shared" si="28"/>
        <v>0</v>
      </c>
      <c r="S98" s="29">
        <f t="shared" si="29"/>
        <v>0</v>
      </c>
      <c r="T98" s="29">
        <f t="shared" si="30"/>
        <v>15846.282597067166</v>
      </c>
      <c r="U98">
        <f t="shared" si="31"/>
        <v>0</v>
      </c>
      <c r="V98" s="29">
        <f t="shared" si="32"/>
        <v>0</v>
      </c>
      <c r="W98" s="29">
        <f t="shared" si="33"/>
        <v>0</v>
      </c>
      <c r="X98" s="29">
        <f t="shared" si="34"/>
        <v>15846.282597067166</v>
      </c>
      <c r="Y98">
        <f t="shared" si="35"/>
        <v>0</v>
      </c>
    </row>
    <row r="99" spans="1:25" x14ac:dyDescent="0.25">
      <c r="A99" s="4" t="s">
        <v>848</v>
      </c>
      <c r="B99" s="7" t="s">
        <v>420</v>
      </c>
      <c r="C99" s="2" t="s">
        <v>849</v>
      </c>
      <c r="D99">
        <f>VLOOKUP(B99,'Model allocations'!$A$1:$L$317,6,FALSE)</f>
        <v>148561.45991860051</v>
      </c>
      <c r="E99" s="31">
        <f>VLOOKUP(B99,'Initial adjusted formula count'!$A$1:$P$317,12,FALSE)</f>
        <v>0.11242138364779899</v>
      </c>
      <c r="F99">
        <f>VLOOKUP(B99,'Model allocations'!$A$1:$L$317,11,FALSE)</f>
        <v>126277.24093081043</v>
      </c>
      <c r="G99" s="30">
        <f t="shared" si="36"/>
        <v>0.85</v>
      </c>
      <c r="H99">
        <f t="shared" si="37"/>
        <v>126277.24093081043</v>
      </c>
      <c r="I99">
        <f t="shared" si="19"/>
        <v>0</v>
      </c>
      <c r="J99">
        <f t="shared" si="20"/>
        <v>126277.24093081043</v>
      </c>
      <c r="K99">
        <f t="shared" si="21"/>
        <v>126203.5873104505</v>
      </c>
      <c r="L99">
        <f t="shared" si="22"/>
        <v>126203.5873104505</v>
      </c>
      <c r="M99">
        <f t="shared" si="23"/>
        <v>126277.24093081043</v>
      </c>
      <c r="N99" s="29">
        <f t="shared" si="24"/>
        <v>0</v>
      </c>
      <c r="O99" s="29">
        <f t="shared" si="25"/>
        <v>0</v>
      </c>
      <c r="P99" s="29">
        <f t="shared" si="26"/>
        <v>126277.24093081043</v>
      </c>
      <c r="Q99">
        <f t="shared" si="27"/>
        <v>0</v>
      </c>
      <c r="R99" s="29">
        <f t="shared" si="28"/>
        <v>0</v>
      </c>
      <c r="S99" s="29">
        <f t="shared" si="29"/>
        <v>0</v>
      </c>
      <c r="T99" s="29">
        <f t="shared" si="30"/>
        <v>126277.24093081043</v>
      </c>
      <c r="U99">
        <f t="shared" si="31"/>
        <v>0</v>
      </c>
      <c r="V99" s="29">
        <f t="shared" si="32"/>
        <v>0</v>
      </c>
      <c r="W99" s="29">
        <f t="shared" si="33"/>
        <v>0</v>
      </c>
      <c r="X99" s="29">
        <f t="shared" si="34"/>
        <v>126277.24093081043</v>
      </c>
      <c r="Y99">
        <f t="shared" si="35"/>
        <v>0</v>
      </c>
    </row>
    <row r="100" spans="1:25" x14ac:dyDescent="0.25">
      <c r="A100" s="4" t="s">
        <v>18</v>
      </c>
      <c r="B100" s="7" t="s">
        <v>57</v>
      </c>
      <c r="C100" s="2" t="s">
        <v>850</v>
      </c>
      <c r="D100">
        <f>VLOOKUP(B100,'Model allocations'!$A$1:$L$317,6,FALSE)</f>
        <v>2613058.4321100381</v>
      </c>
      <c r="E100" s="31">
        <f>VLOOKUP(B100,'Initial adjusted formula count'!$A$1:$P$317,12,FALSE)</f>
        <v>0.16867413714330101</v>
      </c>
      <c r="F100">
        <f>VLOOKUP(B100,'Model allocations'!$A$1:$L$317,11,FALSE)</f>
        <v>2963156.5947711691</v>
      </c>
      <c r="G100" s="30">
        <f t="shared" si="36"/>
        <v>0.9</v>
      </c>
      <c r="H100">
        <f t="shared" si="37"/>
        <v>2351752.5888990345</v>
      </c>
      <c r="I100">
        <f t="shared" si="19"/>
        <v>0</v>
      </c>
      <c r="J100">
        <f t="shared" si="20"/>
        <v>2963156.5947711691</v>
      </c>
      <c r="K100">
        <f t="shared" si="21"/>
        <v>2961428.2769104876</v>
      </c>
      <c r="L100">
        <f t="shared" si="22"/>
        <v>2961428.2769104876</v>
      </c>
      <c r="M100">
        <f t="shared" si="23"/>
        <v>0</v>
      </c>
      <c r="N100" s="29">
        <f t="shared" si="24"/>
        <v>2961428.2769104876</v>
      </c>
      <c r="O100" s="29">
        <f t="shared" si="25"/>
        <v>2961202.8267455474</v>
      </c>
      <c r="P100" s="29">
        <f t="shared" si="26"/>
        <v>2961202.8267455474</v>
      </c>
      <c r="Q100">
        <f t="shared" si="27"/>
        <v>0</v>
      </c>
      <c r="R100" s="29">
        <f t="shared" si="28"/>
        <v>2961202.8267455474</v>
      </c>
      <c r="S100" s="29">
        <f t="shared" si="29"/>
        <v>2961202.8267455474</v>
      </c>
      <c r="T100" s="29">
        <f t="shared" si="30"/>
        <v>2961202.8267455474</v>
      </c>
      <c r="U100">
        <f t="shared" si="31"/>
        <v>0</v>
      </c>
      <c r="V100" s="29">
        <f t="shared" si="32"/>
        <v>2961202.8267455474</v>
      </c>
      <c r="W100" s="29">
        <f t="shared" si="33"/>
        <v>2961202.8267455474</v>
      </c>
      <c r="X100" s="29">
        <f t="shared" si="34"/>
        <v>2961202.8267455474</v>
      </c>
      <c r="Y100">
        <f t="shared" si="35"/>
        <v>0</v>
      </c>
    </row>
    <row r="101" spans="1:25" x14ac:dyDescent="0.25">
      <c r="A101" s="4" t="s">
        <v>851</v>
      </c>
      <c r="B101" s="7" t="s">
        <v>141</v>
      </c>
      <c r="C101" s="2" t="s">
        <v>852</v>
      </c>
      <c r="D101">
        <f>VLOOKUP(B101,'Model allocations'!$A$1:$L$317,6,FALSE)</f>
        <v>0</v>
      </c>
      <c r="E101" s="31">
        <f>VLOOKUP(B101,'Initial adjusted formula count'!$A$1:$P$317,12,FALSE)</f>
        <v>5.0320219579139999E-2</v>
      </c>
      <c r="F101">
        <f>VLOOKUP(B101,'Model allocations'!$A$1:$L$317,11,FALSE)</f>
        <v>62761.928665269479</v>
      </c>
      <c r="G101" s="30">
        <f t="shared" si="36"/>
        <v>0.85</v>
      </c>
      <c r="H101">
        <f t="shared" si="37"/>
        <v>0</v>
      </c>
      <c r="I101">
        <f t="shared" si="19"/>
        <v>0</v>
      </c>
      <c r="J101">
        <f t="shared" si="20"/>
        <v>62761.928665269479</v>
      </c>
      <c r="K101">
        <f t="shared" si="21"/>
        <v>62725.3215677997</v>
      </c>
      <c r="L101">
        <f t="shared" si="22"/>
        <v>62725.3215677997</v>
      </c>
      <c r="M101">
        <f t="shared" si="23"/>
        <v>0</v>
      </c>
      <c r="N101" s="29">
        <f t="shared" si="24"/>
        <v>62725.3215677997</v>
      </c>
      <c r="O101" s="29">
        <f t="shared" si="25"/>
        <v>62720.546360443281</v>
      </c>
      <c r="P101" s="29">
        <f t="shared" si="26"/>
        <v>62720.546360443281</v>
      </c>
      <c r="Q101">
        <f t="shared" si="27"/>
        <v>0</v>
      </c>
      <c r="R101" s="29">
        <f t="shared" si="28"/>
        <v>62720.546360443281</v>
      </c>
      <c r="S101" s="29">
        <f t="shared" si="29"/>
        <v>62720.546360443281</v>
      </c>
      <c r="T101" s="29">
        <f t="shared" si="30"/>
        <v>62720.546360443281</v>
      </c>
      <c r="U101">
        <f t="shared" si="31"/>
        <v>0</v>
      </c>
      <c r="V101" s="29">
        <f t="shared" si="32"/>
        <v>62720.546360443281</v>
      </c>
      <c r="W101" s="29">
        <f t="shared" si="33"/>
        <v>62720.546360443281</v>
      </c>
      <c r="X101" s="29">
        <f t="shared" si="34"/>
        <v>62720.546360443281</v>
      </c>
      <c r="Y101">
        <f t="shared" si="35"/>
        <v>0</v>
      </c>
    </row>
    <row r="102" spans="1:25" x14ac:dyDescent="0.25">
      <c r="A102" s="4" t="s">
        <v>853</v>
      </c>
      <c r="B102" s="7" t="s">
        <v>422</v>
      </c>
      <c r="C102" s="2" t="s">
        <v>854</v>
      </c>
      <c r="D102">
        <f>VLOOKUP(B102,'Model allocations'!$A$1:$L$317,6,FALSE)</f>
        <v>79543.973792301535</v>
      </c>
      <c r="E102" s="31">
        <f>VLOOKUP(B102,'Initial adjusted formula count'!$A$1:$P$317,12,FALSE)</f>
        <v>0.19602272727272699</v>
      </c>
      <c r="F102">
        <f>VLOOKUP(B102,'Model allocations'!$A$1:$L$317,11,FALSE)</f>
        <v>90855.080836624635</v>
      </c>
      <c r="G102" s="30">
        <f t="shared" si="36"/>
        <v>0.9</v>
      </c>
      <c r="H102">
        <f t="shared" si="37"/>
        <v>71589.57641307138</v>
      </c>
      <c r="I102">
        <f t="shared" si="19"/>
        <v>0</v>
      </c>
      <c r="J102">
        <f t="shared" si="20"/>
        <v>90855.080836624635</v>
      </c>
      <c r="K102">
        <f t="shared" si="21"/>
        <v>90802.087869860523</v>
      </c>
      <c r="L102">
        <f t="shared" si="22"/>
        <v>90802.087869860523</v>
      </c>
      <c r="M102">
        <f t="shared" si="23"/>
        <v>0</v>
      </c>
      <c r="N102" s="29">
        <f t="shared" si="24"/>
        <v>90802.087869860523</v>
      </c>
      <c r="O102" s="29">
        <f t="shared" si="25"/>
        <v>90795.175210233807</v>
      </c>
      <c r="P102" s="29">
        <f t="shared" si="26"/>
        <v>90795.175210233807</v>
      </c>
      <c r="Q102">
        <f t="shared" si="27"/>
        <v>0</v>
      </c>
      <c r="R102" s="29">
        <f t="shared" si="28"/>
        <v>90795.175210233807</v>
      </c>
      <c r="S102" s="29">
        <f t="shared" si="29"/>
        <v>90795.175210233807</v>
      </c>
      <c r="T102" s="29">
        <f t="shared" si="30"/>
        <v>90795.175210233807</v>
      </c>
      <c r="U102">
        <f t="shared" si="31"/>
        <v>0</v>
      </c>
      <c r="V102" s="29">
        <f t="shared" si="32"/>
        <v>90795.175210233807</v>
      </c>
      <c r="W102" s="29">
        <f t="shared" si="33"/>
        <v>90795.175210233807</v>
      </c>
      <c r="X102" s="29">
        <f t="shared" si="34"/>
        <v>90795.175210233807</v>
      </c>
      <c r="Y102">
        <f t="shared" si="35"/>
        <v>0</v>
      </c>
    </row>
    <row r="103" spans="1:25" x14ac:dyDescent="0.25">
      <c r="A103" s="4" t="s">
        <v>855</v>
      </c>
      <c r="B103" s="7" t="s">
        <v>424</v>
      </c>
      <c r="C103" s="2" t="s">
        <v>856</v>
      </c>
      <c r="D103">
        <f>VLOOKUP(B103,'Model allocations'!$A$1:$L$317,6,FALSE)</f>
        <v>416727.38339225843</v>
      </c>
      <c r="E103" s="31">
        <f>VLOOKUP(B103,'Initial adjusted formula count'!$A$1:$P$317,12,FALSE)</f>
        <v>0.215815485996705</v>
      </c>
      <c r="F103">
        <f>VLOOKUP(B103,'Model allocations'!$A$1:$L$317,11,FALSE)</f>
        <v>375054.64505303261</v>
      </c>
      <c r="G103" s="30">
        <f t="shared" si="36"/>
        <v>0.9</v>
      </c>
      <c r="H103">
        <f t="shared" si="37"/>
        <v>375054.64505303261</v>
      </c>
      <c r="I103">
        <f t="shared" si="19"/>
        <v>0</v>
      </c>
      <c r="J103">
        <f t="shared" si="20"/>
        <v>375054.64505303261</v>
      </c>
      <c r="K103">
        <f t="shared" si="21"/>
        <v>374835.88724491664</v>
      </c>
      <c r="L103">
        <f t="shared" si="22"/>
        <v>374835.88724491664</v>
      </c>
      <c r="M103">
        <f t="shared" si="23"/>
        <v>375054.64505303261</v>
      </c>
      <c r="N103" s="29">
        <f t="shared" si="24"/>
        <v>0</v>
      </c>
      <c r="O103" s="29">
        <f t="shared" si="25"/>
        <v>0</v>
      </c>
      <c r="P103" s="29">
        <f t="shared" si="26"/>
        <v>375054.64505303261</v>
      </c>
      <c r="Q103">
        <f t="shared" si="27"/>
        <v>0</v>
      </c>
      <c r="R103" s="29">
        <f t="shared" si="28"/>
        <v>0</v>
      </c>
      <c r="S103" s="29">
        <f t="shared" si="29"/>
        <v>0</v>
      </c>
      <c r="T103" s="29">
        <f t="shared" si="30"/>
        <v>375054.64505303261</v>
      </c>
      <c r="U103">
        <f t="shared" si="31"/>
        <v>0</v>
      </c>
      <c r="V103" s="29">
        <f t="shared" si="32"/>
        <v>0</v>
      </c>
      <c r="W103" s="29">
        <f t="shared" si="33"/>
        <v>0</v>
      </c>
      <c r="X103" s="29">
        <f t="shared" si="34"/>
        <v>375054.64505303261</v>
      </c>
      <c r="Y103">
        <f t="shared" si="35"/>
        <v>0</v>
      </c>
    </row>
    <row r="104" spans="1:25" x14ac:dyDescent="0.25">
      <c r="A104" s="4" t="s">
        <v>37</v>
      </c>
      <c r="B104" s="7" t="s">
        <v>79</v>
      </c>
      <c r="C104" s="2" t="s">
        <v>857</v>
      </c>
      <c r="D104">
        <f>VLOOKUP(B104,'Model allocations'!$A$1:$L$317,6,FALSE)</f>
        <v>43854.213580422482</v>
      </c>
      <c r="E104" s="31">
        <f>VLOOKUP(B104,'Initial adjusted formula count'!$A$1:$P$317,12,FALSE)</f>
        <v>0.14673417211557899</v>
      </c>
      <c r="F104">
        <f>VLOOKUP(B104,'Model allocations'!$A$1:$L$317,11,FALSE)</f>
        <v>42681.431195181176</v>
      </c>
      <c r="G104" s="30">
        <f t="shared" si="36"/>
        <v>0.85</v>
      </c>
      <c r="H104">
        <f t="shared" si="37"/>
        <v>37276.081543359105</v>
      </c>
      <c r="I104">
        <f t="shared" si="19"/>
        <v>0</v>
      </c>
      <c r="J104">
        <f t="shared" si="20"/>
        <v>42681.431195181176</v>
      </c>
      <c r="K104">
        <f t="shared" si="21"/>
        <v>42656.536432621462</v>
      </c>
      <c r="L104">
        <f t="shared" si="22"/>
        <v>42656.536432621462</v>
      </c>
      <c r="M104">
        <f t="shared" si="23"/>
        <v>0</v>
      </c>
      <c r="N104" s="29">
        <f t="shared" si="24"/>
        <v>42656.536432621462</v>
      </c>
      <c r="O104" s="29">
        <f t="shared" si="25"/>
        <v>42653.289039041309</v>
      </c>
      <c r="P104" s="29">
        <f t="shared" si="26"/>
        <v>42653.289039041309</v>
      </c>
      <c r="Q104">
        <f t="shared" si="27"/>
        <v>0</v>
      </c>
      <c r="R104" s="29">
        <f t="shared" si="28"/>
        <v>42653.289039041309</v>
      </c>
      <c r="S104" s="29">
        <f t="shared" si="29"/>
        <v>42653.289039041309</v>
      </c>
      <c r="T104" s="29">
        <f t="shared" si="30"/>
        <v>42653.289039041309</v>
      </c>
      <c r="U104">
        <f t="shared" si="31"/>
        <v>0</v>
      </c>
      <c r="V104" s="29">
        <f t="shared" si="32"/>
        <v>42653.289039041309</v>
      </c>
      <c r="W104" s="29">
        <f t="shared" si="33"/>
        <v>42653.289039041309</v>
      </c>
      <c r="X104" s="29">
        <f t="shared" si="34"/>
        <v>42653.289039041309</v>
      </c>
      <c r="Y104">
        <f t="shared" si="35"/>
        <v>0</v>
      </c>
    </row>
    <row r="105" spans="1:25" x14ac:dyDescent="0.25">
      <c r="A105" s="4" t="s">
        <v>40</v>
      </c>
      <c r="B105" s="7" t="s">
        <v>74</v>
      </c>
      <c r="C105" s="2" t="s">
        <v>858</v>
      </c>
      <c r="D105">
        <f>VLOOKUP(B105,'Model allocations'!$A$1:$L$317,6,FALSE)</f>
        <v>54769.762478472476</v>
      </c>
      <c r="E105" s="31">
        <f>VLOOKUP(B105,'Initial adjusted formula count'!$A$1:$P$317,12,FALSE)</f>
        <v>0.20059580587053799</v>
      </c>
      <c r="F105">
        <f>VLOOKUP(B105,'Model allocations'!$A$1:$L$317,11,FALSE)</f>
        <v>56530.610046637499</v>
      </c>
      <c r="G105" s="30">
        <f t="shared" si="36"/>
        <v>0.9</v>
      </c>
      <c r="H105">
        <f t="shared" si="37"/>
        <v>49292.786230625228</v>
      </c>
      <c r="I105">
        <f t="shared" si="19"/>
        <v>0</v>
      </c>
      <c r="J105">
        <f t="shared" si="20"/>
        <v>56530.610046637499</v>
      </c>
      <c r="K105">
        <f t="shared" si="21"/>
        <v>56497.637485149789</v>
      </c>
      <c r="L105">
        <f t="shared" si="22"/>
        <v>56497.637485149789</v>
      </c>
      <c r="M105">
        <f t="shared" si="23"/>
        <v>0</v>
      </c>
      <c r="N105" s="29">
        <f t="shared" si="24"/>
        <v>56497.637485149789</v>
      </c>
      <c r="O105" s="29">
        <f t="shared" si="25"/>
        <v>56493.336384296163</v>
      </c>
      <c r="P105" s="29">
        <f t="shared" si="26"/>
        <v>56493.336384296163</v>
      </c>
      <c r="Q105">
        <f t="shared" si="27"/>
        <v>0</v>
      </c>
      <c r="R105" s="29">
        <f t="shared" si="28"/>
        <v>56493.336384296163</v>
      </c>
      <c r="S105" s="29">
        <f t="shared" si="29"/>
        <v>56493.336384296163</v>
      </c>
      <c r="T105" s="29">
        <f t="shared" si="30"/>
        <v>56493.336384296163</v>
      </c>
      <c r="U105">
        <f t="shared" si="31"/>
        <v>0</v>
      </c>
      <c r="V105" s="29">
        <f t="shared" si="32"/>
        <v>56493.336384296163</v>
      </c>
      <c r="W105" s="29">
        <f t="shared" si="33"/>
        <v>56493.336384296163</v>
      </c>
      <c r="X105" s="29">
        <f t="shared" si="34"/>
        <v>56493.336384296163</v>
      </c>
      <c r="Y105">
        <f t="shared" si="35"/>
        <v>0</v>
      </c>
    </row>
    <row r="106" spans="1:25" x14ac:dyDescent="0.25">
      <c r="A106" s="4" t="s">
        <v>44</v>
      </c>
      <c r="B106" s="7" t="s">
        <v>75</v>
      </c>
      <c r="C106" s="2" t="s">
        <v>859</v>
      </c>
      <c r="D106">
        <f>VLOOKUP(B106,'Model allocations'!$A$1:$L$317,6,FALSE)</f>
        <v>41244.302842020392</v>
      </c>
      <c r="E106" s="31">
        <f>VLOOKUP(B106,'Initial adjusted formula count'!$A$1:$P$317,12,FALSE)</f>
        <v>0.18899764894447399</v>
      </c>
      <c r="F106">
        <f>VLOOKUP(B106,'Model allocations'!$A$1:$L$317,11,FALSE)</f>
        <v>41601.161102569989</v>
      </c>
      <c r="G106" s="30">
        <f t="shared" si="36"/>
        <v>0.9</v>
      </c>
      <c r="H106">
        <f t="shared" si="37"/>
        <v>37119.872557818351</v>
      </c>
      <c r="I106">
        <f t="shared" si="19"/>
        <v>0</v>
      </c>
      <c r="J106">
        <f t="shared" si="20"/>
        <v>41601.161102569989</v>
      </c>
      <c r="K106">
        <f t="shared" si="21"/>
        <v>41576.896428240747</v>
      </c>
      <c r="L106">
        <f t="shared" si="22"/>
        <v>41576.896428240747</v>
      </c>
      <c r="M106">
        <f t="shared" si="23"/>
        <v>0</v>
      </c>
      <c r="N106" s="29">
        <f t="shared" si="24"/>
        <v>41576.896428240747</v>
      </c>
      <c r="O106" s="29">
        <f t="shared" si="25"/>
        <v>41573.731226425618</v>
      </c>
      <c r="P106" s="29">
        <f t="shared" si="26"/>
        <v>41573.731226425618</v>
      </c>
      <c r="Q106">
        <f t="shared" si="27"/>
        <v>0</v>
      </c>
      <c r="R106" s="29">
        <f t="shared" si="28"/>
        <v>41573.731226425618</v>
      </c>
      <c r="S106" s="29">
        <f t="shared" si="29"/>
        <v>41573.731226425618</v>
      </c>
      <c r="T106" s="29">
        <f t="shared" si="30"/>
        <v>41573.731226425618</v>
      </c>
      <c r="U106">
        <f t="shared" si="31"/>
        <v>0</v>
      </c>
      <c r="V106" s="29">
        <f t="shared" si="32"/>
        <v>41573.731226425618</v>
      </c>
      <c r="W106" s="29">
        <f t="shared" si="33"/>
        <v>41573.731226425618</v>
      </c>
      <c r="X106" s="29">
        <f t="shared" si="34"/>
        <v>41573.731226425618</v>
      </c>
      <c r="Y106">
        <f t="shared" si="35"/>
        <v>0</v>
      </c>
    </row>
    <row r="107" spans="1:25" x14ac:dyDescent="0.25">
      <c r="A107" s="4" t="s">
        <v>860</v>
      </c>
      <c r="B107" s="7" t="s">
        <v>426</v>
      </c>
      <c r="C107" s="2" t="s">
        <v>861</v>
      </c>
      <c r="D107">
        <f>VLOOKUP(B107,'Model allocations'!$A$1:$L$317,6,FALSE)</f>
        <v>33418.207905403884</v>
      </c>
      <c r="E107" s="31">
        <f>VLOOKUP(B107,'Initial adjusted formula count'!$A$1:$P$317,12,FALSE)</f>
        <v>0.29797979797979801</v>
      </c>
      <c r="F107">
        <f>VLOOKUP(B107,'Model allocations'!$A$1:$L$317,11,FALSE)</f>
        <v>52223.829976428591</v>
      </c>
      <c r="G107" s="30">
        <f t="shared" si="36"/>
        <v>0.9</v>
      </c>
      <c r="H107">
        <f t="shared" si="37"/>
        <v>30076.387114863497</v>
      </c>
      <c r="I107">
        <f t="shared" si="19"/>
        <v>0</v>
      </c>
      <c r="J107">
        <f t="shared" si="20"/>
        <v>52223.829976428591</v>
      </c>
      <c r="K107">
        <f t="shared" si="21"/>
        <v>52193.369426938661</v>
      </c>
      <c r="L107">
        <f t="shared" si="22"/>
        <v>52193.369426938661</v>
      </c>
      <c r="M107">
        <f t="shared" si="23"/>
        <v>0</v>
      </c>
      <c r="N107" s="29">
        <f t="shared" si="24"/>
        <v>52193.369426938661</v>
      </c>
      <c r="O107" s="29">
        <f t="shared" si="25"/>
        <v>52189.396005114526</v>
      </c>
      <c r="P107" s="29">
        <f t="shared" si="26"/>
        <v>52189.396005114526</v>
      </c>
      <c r="Q107">
        <f t="shared" si="27"/>
        <v>0</v>
      </c>
      <c r="R107" s="29">
        <f t="shared" si="28"/>
        <v>52189.396005114526</v>
      </c>
      <c r="S107" s="29">
        <f t="shared" si="29"/>
        <v>52189.396005114526</v>
      </c>
      <c r="T107" s="29">
        <f t="shared" si="30"/>
        <v>52189.396005114526</v>
      </c>
      <c r="U107">
        <f t="shared" si="31"/>
        <v>0</v>
      </c>
      <c r="V107" s="29">
        <f t="shared" si="32"/>
        <v>52189.396005114526</v>
      </c>
      <c r="W107" s="29">
        <f t="shared" si="33"/>
        <v>52189.396005114526</v>
      </c>
      <c r="X107" s="29">
        <f t="shared" si="34"/>
        <v>52189.396005114526</v>
      </c>
      <c r="Y107">
        <f t="shared" si="35"/>
        <v>0</v>
      </c>
    </row>
    <row r="108" spans="1:25" x14ac:dyDescent="0.25">
      <c r="A108" s="4" t="s">
        <v>862</v>
      </c>
      <c r="B108" s="7" t="s">
        <v>428</v>
      </c>
      <c r="C108" s="2" t="s">
        <v>863</v>
      </c>
      <c r="D108">
        <f>VLOOKUP(B108,'Model allocations'!$A$1:$L$317,6,FALSE)</f>
        <v>0</v>
      </c>
      <c r="E108" s="31">
        <f>VLOOKUP(B108,'Initial adjusted formula count'!$A$1:$P$317,12,FALSE)</f>
        <v>9.2592592592592601E-2</v>
      </c>
      <c r="F108">
        <f>VLOOKUP(B108,'Model allocations'!$A$1:$L$317,11,FALSE)</f>
        <v>0</v>
      </c>
      <c r="G108" s="30">
        <f t="shared" si="36"/>
        <v>0.85</v>
      </c>
      <c r="H108">
        <f t="shared" si="3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2"/>
        <v>0</v>
      </c>
      <c r="M108">
        <f t="shared" si="23"/>
        <v>0</v>
      </c>
      <c r="N108" s="29">
        <f t="shared" si="24"/>
        <v>0</v>
      </c>
      <c r="O108" s="29">
        <f t="shared" si="25"/>
        <v>0</v>
      </c>
      <c r="P108" s="29">
        <f t="shared" si="26"/>
        <v>0</v>
      </c>
      <c r="Q108">
        <f t="shared" si="27"/>
        <v>0</v>
      </c>
      <c r="R108" s="29">
        <f t="shared" si="28"/>
        <v>0</v>
      </c>
      <c r="S108" s="29">
        <f t="shared" si="29"/>
        <v>0</v>
      </c>
      <c r="T108" s="29">
        <f t="shared" si="30"/>
        <v>0</v>
      </c>
      <c r="U108">
        <f t="shared" si="31"/>
        <v>0</v>
      </c>
      <c r="V108" s="29">
        <f t="shared" si="32"/>
        <v>0</v>
      </c>
      <c r="W108" s="29">
        <f t="shared" si="33"/>
        <v>0</v>
      </c>
      <c r="X108" s="29">
        <f t="shared" si="34"/>
        <v>0</v>
      </c>
      <c r="Y108">
        <f t="shared" si="35"/>
        <v>0</v>
      </c>
    </row>
    <row r="109" spans="1:25" x14ac:dyDescent="0.25">
      <c r="A109" s="4" t="s">
        <v>864</v>
      </c>
      <c r="B109" s="7" t="s">
        <v>143</v>
      </c>
      <c r="C109" s="2" t="s">
        <v>865</v>
      </c>
      <c r="D109">
        <f>VLOOKUP(B109,'Model allocations'!$A$1:$L$317,6,FALSE)</f>
        <v>0</v>
      </c>
      <c r="E109" s="31">
        <f>VLOOKUP(B109,'Initial adjusted formula count'!$A$1:$P$317,12,FALSE)</f>
        <v>4.09308032779701E-2</v>
      </c>
      <c r="F109">
        <f>VLOOKUP(B109,'Model allocations'!$A$1:$L$317,11,FALSE)</f>
        <v>0</v>
      </c>
      <c r="G109" s="30">
        <f t="shared" si="36"/>
        <v>0.85</v>
      </c>
      <c r="H109">
        <f t="shared" si="3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2"/>
        <v>0</v>
      </c>
      <c r="M109">
        <f t="shared" si="23"/>
        <v>0</v>
      </c>
      <c r="N109" s="29">
        <f t="shared" si="24"/>
        <v>0</v>
      </c>
      <c r="O109" s="29">
        <f t="shared" si="25"/>
        <v>0</v>
      </c>
      <c r="P109" s="29">
        <f t="shared" si="26"/>
        <v>0</v>
      </c>
      <c r="Q109">
        <f t="shared" si="27"/>
        <v>0</v>
      </c>
      <c r="R109" s="29">
        <f t="shared" si="28"/>
        <v>0</v>
      </c>
      <c r="S109" s="29">
        <f t="shared" si="29"/>
        <v>0</v>
      </c>
      <c r="T109" s="29">
        <f t="shared" si="30"/>
        <v>0</v>
      </c>
      <c r="U109">
        <f t="shared" si="31"/>
        <v>0</v>
      </c>
      <c r="V109" s="29">
        <f t="shared" si="32"/>
        <v>0</v>
      </c>
      <c r="W109" s="29">
        <f t="shared" si="33"/>
        <v>0</v>
      </c>
      <c r="X109" s="29">
        <f t="shared" si="34"/>
        <v>0</v>
      </c>
      <c r="Y109">
        <f t="shared" si="35"/>
        <v>0</v>
      </c>
    </row>
    <row r="110" spans="1:25" x14ac:dyDescent="0.25">
      <c r="A110" s="4" t="s">
        <v>866</v>
      </c>
      <c r="B110" s="7" t="s">
        <v>145</v>
      </c>
      <c r="C110" s="2" t="s">
        <v>867</v>
      </c>
      <c r="D110">
        <f>VLOOKUP(B110,'Model allocations'!$A$1:$L$317,6,FALSE)</f>
        <v>23175.179993112652</v>
      </c>
      <c r="E110" s="31">
        <f>VLOOKUP(B110,'Initial adjusted formula count'!$A$1:$P$317,12,FALSE)</f>
        <v>8.3333333333333301E-2</v>
      </c>
      <c r="F110">
        <f>VLOOKUP(B110,'Model allocations'!$A$1:$L$317,11,FALSE)</f>
        <v>0</v>
      </c>
      <c r="G110" s="30">
        <f t="shared" si="36"/>
        <v>0.85</v>
      </c>
      <c r="H110">
        <f t="shared" si="37"/>
        <v>0</v>
      </c>
      <c r="I110">
        <f t="shared" si="19"/>
        <v>0</v>
      </c>
      <c r="J110">
        <f t="shared" si="20"/>
        <v>0</v>
      </c>
      <c r="K110">
        <f t="shared" si="21"/>
        <v>0</v>
      </c>
      <c r="L110">
        <f t="shared" si="22"/>
        <v>0</v>
      </c>
      <c r="M110">
        <f t="shared" si="23"/>
        <v>0</v>
      </c>
      <c r="N110" s="29">
        <f t="shared" si="24"/>
        <v>0</v>
      </c>
      <c r="O110" s="29">
        <f t="shared" si="25"/>
        <v>0</v>
      </c>
      <c r="P110" s="29">
        <f t="shared" si="26"/>
        <v>0</v>
      </c>
      <c r="Q110">
        <f t="shared" si="27"/>
        <v>0</v>
      </c>
      <c r="R110" s="29">
        <f t="shared" si="28"/>
        <v>0</v>
      </c>
      <c r="S110" s="29">
        <f t="shared" si="29"/>
        <v>0</v>
      </c>
      <c r="T110" s="29">
        <f t="shared" si="30"/>
        <v>0</v>
      </c>
      <c r="U110">
        <f t="shared" si="31"/>
        <v>0</v>
      </c>
      <c r="V110" s="29">
        <f t="shared" si="32"/>
        <v>0</v>
      </c>
      <c r="W110" s="29">
        <f t="shared" si="33"/>
        <v>0</v>
      </c>
      <c r="X110" s="29">
        <f t="shared" si="34"/>
        <v>0</v>
      </c>
      <c r="Y110">
        <f t="shared" si="35"/>
        <v>0</v>
      </c>
    </row>
    <row r="111" spans="1:25" x14ac:dyDescent="0.25">
      <c r="A111" s="4" t="s">
        <v>868</v>
      </c>
      <c r="B111" s="7" t="s">
        <v>147</v>
      </c>
      <c r="C111" s="2" t="s">
        <v>869</v>
      </c>
      <c r="D111">
        <f>VLOOKUP(B111,'Model allocations'!$A$1:$L$317,6,FALSE)</f>
        <v>64489.425012872205</v>
      </c>
      <c r="E111" s="31">
        <f>VLOOKUP(B111,'Initial adjusted formula count'!$A$1:$P$317,12,FALSE)</f>
        <v>7.5691411935953398E-2</v>
      </c>
      <c r="F111">
        <f>VLOOKUP(B111,'Model allocations'!$A$1:$L$317,11,FALSE)</f>
        <v>59338.550738072969</v>
      </c>
      <c r="G111" s="30">
        <f t="shared" si="36"/>
        <v>0.85</v>
      </c>
      <c r="H111">
        <f t="shared" si="37"/>
        <v>54816.01126094137</v>
      </c>
      <c r="I111">
        <f t="shared" si="19"/>
        <v>0</v>
      </c>
      <c r="J111">
        <f t="shared" si="20"/>
        <v>59338.550738072969</v>
      </c>
      <c r="K111">
        <f t="shared" si="21"/>
        <v>59303.940391374272</v>
      </c>
      <c r="L111">
        <f t="shared" si="22"/>
        <v>59303.940391374272</v>
      </c>
      <c r="M111">
        <f t="shared" si="23"/>
        <v>0</v>
      </c>
      <c r="N111" s="29">
        <f t="shared" si="24"/>
        <v>59303.940391374272</v>
      </c>
      <c r="O111" s="29">
        <f t="shared" si="25"/>
        <v>59299.425649873665</v>
      </c>
      <c r="P111" s="29">
        <f t="shared" si="26"/>
        <v>59299.425649873665</v>
      </c>
      <c r="Q111">
        <f t="shared" si="27"/>
        <v>0</v>
      </c>
      <c r="R111" s="29">
        <f t="shared" si="28"/>
        <v>59299.425649873665</v>
      </c>
      <c r="S111" s="29">
        <f t="shared" si="29"/>
        <v>59299.425649873665</v>
      </c>
      <c r="T111" s="29">
        <f t="shared" si="30"/>
        <v>59299.425649873665</v>
      </c>
      <c r="U111">
        <f t="shared" si="31"/>
        <v>0</v>
      </c>
      <c r="V111" s="29">
        <f t="shared" si="32"/>
        <v>59299.425649873665</v>
      </c>
      <c r="W111" s="29">
        <f t="shared" si="33"/>
        <v>59299.425649873665</v>
      </c>
      <c r="X111" s="29">
        <f t="shared" si="34"/>
        <v>59299.425649873665</v>
      </c>
      <c r="Y111">
        <f t="shared" si="35"/>
        <v>0</v>
      </c>
    </row>
    <row r="112" spans="1:25" x14ac:dyDescent="0.25">
      <c r="A112" s="4" t="s">
        <v>870</v>
      </c>
      <c r="B112" s="7" t="s">
        <v>430</v>
      </c>
      <c r="C112" s="2" t="s">
        <v>871</v>
      </c>
      <c r="D112">
        <f>VLOOKUP(B112,'Model allocations'!$A$1:$L$317,6,FALSE)</f>
        <v>27370.938353506051</v>
      </c>
      <c r="E112" s="31">
        <f>VLOOKUP(B112,'Initial adjusted formula count'!$A$1:$P$317,12,FALSE)</f>
        <v>0.23148148148148101</v>
      </c>
      <c r="F112">
        <f>VLOOKUP(B112,'Model allocations'!$A$1:$L$317,11,FALSE)</f>
        <v>24633.844518155445</v>
      </c>
      <c r="G112" s="30">
        <f t="shared" si="36"/>
        <v>0.9</v>
      </c>
      <c r="H112">
        <f t="shared" si="37"/>
        <v>24633.844518155445</v>
      </c>
      <c r="I112">
        <f t="shared" si="19"/>
        <v>0</v>
      </c>
      <c r="J112">
        <f t="shared" si="20"/>
        <v>24633.844518155445</v>
      </c>
      <c r="K112">
        <f t="shared" si="21"/>
        <v>24619.476356333318</v>
      </c>
      <c r="L112">
        <f t="shared" si="22"/>
        <v>24619.476356333318</v>
      </c>
      <c r="M112">
        <f t="shared" si="23"/>
        <v>24633.844518155445</v>
      </c>
      <c r="N112" s="29">
        <f t="shared" si="24"/>
        <v>0</v>
      </c>
      <c r="O112" s="29">
        <f t="shared" si="25"/>
        <v>0</v>
      </c>
      <c r="P112" s="29">
        <f t="shared" si="26"/>
        <v>24633.844518155445</v>
      </c>
      <c r="Q112">
        <f t="shared" si="27"/>
        <v>0</v>
      </c>
      <c r="R112" s="29">
        <f t="shared" si="28"/>
        <v>0</v>
      </c>
      <c r="S112" s="29">
        <f t="shared" si="29"/>
        <v>0</v>
      </c>
      <c r="T112" s="29">
        <f t="shared" si="30"/>
        <v>24633.844518155445</v>
      </c>
      <c r="U112">
        <f t="shared" si="31"/>
        <v>0</v>
      </c>
      <c r="V112" s="29">
        <f t="shared" si="32"/>
        <v>0</v>
      </c>
      <c r="W112" s="29">
        <f t="shared" si="33"/>
        <v>0</v>
      </c>
      <c r="X112" s="29">
        <f t="shared" si="34"/>
        <v>24633.844518155445</v>
      </c>
      <c r="Y112">
        <f t="shared" si="35"/>
        <v>0</v>
      </c>
    </row>
    <row r="113" spans="1:25" x14ac:dyDescent="0.25">
      <c r="A113" s="8" t="s">
        <v>872</v>
      </c>
      <c r="B113" s="7" t="s">
        <v>432</v>
      </c>
      <c r="C113" s="2" t="s">
        <v>873</v>
      </c>
      <c r="D113">
        <f>VLOOKUP(B113,'Model allocations'!$A$1:$L$317,6,FALSE)</f>
        <v>592001.60768395406</v>
      </c>
      <c r="E113" s="31">
        <f>VLOOKUP(B113,'Initial adjusted formula count'!$A$1:$P$317,12,FALSE)</f>
        <v>0.16432432432432401</v>
      </c>
      <c r="F113">
        <f>VLOOKUP(B113,'Model allocations'!$A$1:$L$317,11,FALSE)</f>
        <v>583400.65509307303</v>
      </c>
      <c r="G113" s="30">
        <f t="shared" si="36"/>
        <v>0.9</v>
      </c>
      <c r="H113">
        <f t="shared" si="37"/>
        <v>532801.44691555866</v>
      </c>
      <c r="I113">
        <f t="shared" si="19"/>
        <v>0</v>
      </c>
      <c r="J113">
        <f t="shared" si="20"/>
        <v>583400.65509307303</v>
      </c>
      <c r="K113">
        <f t="shared" si="21"/>
        <v>583060.37548250169</v>
      </c>
      <c r="L113">
        <f t="shared" si="22"/>
        <v>583060.37548250169</v>
      </c>
      <c r="M113">
        <f t="shared" si="23"/>
        <v>0</v>
      </c>
      <c r="N113" s="29">
        <f t="shared" si="24"/>
        <v>583060.37548250169</v>
      </c>
      <c r="O113" s="29">
        <f t="shared" si="25"/>
        <v>583015.98775957501</v>
      </c>
      <c r="P113" s="29">
        <f t="shared" si="26"/>
        <v>583015.98775957501</v>
      </c>
      <c r="Q113">
        <f t="shared" si="27"/>
        <v>0</v>
      </c>
      <c r="R113" s="29">
        <f t="shared" si="28"/>
        <v>583015.98775957501</v>
      </c>
      <c r="S113" s="29">
        <f t="shared" si="29"/>
        <v>583015.98775957501</v>
      </c>
      <c r="T113" s="29">
        <f t="shared" si="30"/>
        <v>583015.98775957501</v>
      </c>
      <c r="U113">
        <f t="shared" si="31"/>
        <v>0</v>
      </c>
      <c r="V113" s="29">
        <f t="shared" si="32"/>
        <v>583015.98775957501</v>
      </c>
      <c r="W113" s="29">
        <f t="shared" si="33"/>
        <v>583015.98775957501</v>
      </c>
      <c r="X113" s="29">
        <f t="shared" si="34"/>
        <v>583015.98775957501</v>
      </c>
      <c r="Y113">
        <f t="shared" si="35"/>
        <v>0</v>
      </c>
    </row>
    <row r="114" spans="1:25" x14ac:dyDescent="0.25">
      <c r="A114" s="4" t="s">
        <v>874</v>
      </c>
      <c r="B114" s="7" t="s">
        <v>434</v>
      </c>
      <c r="C114" s="2" t="s">
        <v>875</v>
      </c>
      <c r="D114">
        <f>VLOOKUP(B114,'Model allocations'!$A$1:$L$317,6,FALSE)</f>
        <v>2375643.3363294457</v>
      </c>
      <c r="E114" s="31">
        <f>VLOOKUP(B114,'Initial adjusted formula count'!$A$1:$P$317,12,FALSE)</f>
        <v>0.14553515493229199</v>
      </c>
      <c r="F114">
        <f>VLOOKUP(B114,'Model allocations'!$A$1:$L$317,11,FALSE)</f>
        <v>2603764.1951268837</v>
      </c>
      <c r="G114" s="30">
        <f t="shared" si="36"/>
        <v>0.85</v>
      </c>
      <c r="H114">
        <f t="shared" si="37"/>
        <v>2019296.8358800288</v>
      </c>
      <c r="I114">
        <f t="shared" si="19"/>
        <v>0</v>
      </c>
      <c r="J114">
        <f t="shared" si="20"/>
        <v>2603764.1951268837</v>
      </c>
      <c r="K114">
        <f t="shared" si="21"/>
        <v>2602245.499769581</v>
      </c>
      <c r="L114">
        <f t="shared" si="22"/>
        <v>2602245.499769581</v>
      </c>
      <c r="M114">
        <f t="shared" si="23"/>
        <v>0</v>
      </c>
      <c r="N114" s="29">
        <f t="shared" si="24"/>
        <v>2602245.499769581</v>
      </c>
      <c r="O114" s="29">
        <f t="shared" si="25"/>
        <v>2602047.3937807535</v>
      </c>
      <c r="P114" s="29">
        <f t="shared" si="26"/>
        <v>2602047.3937807535</v>
      </c>
      <c r="Q114">
        <f t="shared" si="27"/>
        <v>0</v>
      </c>
      <c r="R114" s="29">
        <f t="shared" si="28"/>
        <v>2602047.3937807535</v>
      </c>
      <c r="S114" s="29">
        <f t="shared" si="29"/>
        <v>2602047.3937807535</v>
      </c>
      <c r="T114" s="29">
        <f t="shared" si="30"/>
        <v>2602047.3937807535</v>
      </c>
      <c r="U114">
        <f t="shared" si="31"/>
        <v>0</v>
      </c>
      <c r="V114" s="29">
        <f t="shared" si="32"/>
        <v>2602047.3937807535</v>
      </c>
      <c r="W114" s="29">
        <f t="shared" si="33"/>
        <v>2602047.3937807535</v>
      </c>
      <c r="X114" s="29">
        <f t="shared" si="34"/>
        <v>2602047.3937807535</v>
      </c>
      <c r="Y114">
        <f t="shared" si="35"/>
        <v>0</v>
      </c>
    </row>
    <row r="115" spans="1:25" x14ac:dyDescent="0.25">
      <c r="A115" s="4" t="s">
        <v>876</v>
      </c>
      <c r="B115" s="7" t="s">
        <v>436</v>
      </c>
      <c r="C115" s="2" t="s">
        <v>877</v>
      </c>
      <c r="D115">
        <f>VLOOKUP(B115,'Model allocations'!$A$1:$L$317,6,FALSE)</f>
        <v>4024083.5511321621</v>
      </c>
      <c r="E115" s="31">
        <f>VLOOKUP(B115,'Initial adjusted formula count'!$A$1:$P$317,12,FALSE)</f>
        <v>0.14707249070632</v>
      </c>
      <c r="F115">
        <f>VLOOKUP(B115,'Model allocations'!$A$1:$L$317,11,FALSE)</f>
        <v>4213892.9468849786</v>
      </c>
      <c r="G115" s="30">
        <f t="shared" si="36"/>
        <v>0.85</v>
      </c>
      <c r="H115">
        <f t="shared" si="37"/>
        <v>3420471.0184623376</v>
      </c>
      <c r="I115">
        <f t="shared" si="19"/>
        <v>0</v>
      </c>
      <c r="J115">
        <f t="shared" si="20"/>
        <v>4213892.9468849786</v>
      </c>
      <c r="K115">
        <f t="shared" si="21"/>
        <v>4211435.1130816778</v>
      </c>
      <c r="L115">
        <f t="shared" si="22"/>
        <v>4211435.1130816778</v>
      </c>
      <c r="M115">
        <f t="shared" si="23"/>
        <v>0</v>
      </c>
      <c r="N115" s="29">
        <f t="shared" si="24"/>
        <v>4211435.1130816778</v>
      </c>
      <c r="O115" s="29">
        <f t="shared" si="25"/>
        <v>4211114.5013186708</v>
      </c>
      <c r="P115" s="29">
        <f t="shared" si="26"/>
        <v>4211114.5013186708</v>
      </c>
      <c r="Q115">
        <f t="shared" si="27"/>
        <v>0</v>
      </c>
      <c r="R115" s="29">
        <f t="shared" si="28"/>
        <v>4211114.5013186708</v>
      </c>
      <c r="S115" s="29">
        <f t="shared" si="29"/>
        <v>4211114.5013186708</v>
      </c>
      <c r="T115" s="29">
        <f t="shared" si="30"/>
        <v>4211114.5013186708</v>
      </c>
      <c r="U115">
        <f t="shared" si="31"/>
        <v>0</v>
      </c>
      <c r="V115" s="29">
        <f t="shared" si="32"/>
        <v>4211114.5013186708</v>
      </c>
      <c r="W115" s="29">
        <f t="shared" si="33"/>
        <v>4211114.5013186708</v>
      </c>
      <c r="X115" s="29">
        <f t="shared" si="34"/>
        <v>4211114.5013186708</v>
      </c>
      <c r="Y115">
        <f t="shared" si="35"/>
        <v>0</v>
      </c>
    </row>
    <row r="116" spans="1:25" x14ac:dyDescent="0.25">
      <c r="A116" s="4" t="s">
        <v>878</v>
      </c>
      <c r="B116" s="7" t="s">
        <v>438</v>
      </c>
      <c r="C116" s="2" t="s">
        <v>879</v>
      </c>
      <c r="D116">
        <f>VLOOKUP(B116,'Model allocations'!$A$1:$L$317,6,FALSE)</f>
        <v>90610.580017159838</v>
      </c>
      <c r="E116" s="31">
        <f>VLOOKUP(B116,'Initial adjusted formula count'!$A$1:$P$317,12,FALSE)</f>
        <v>0.15733896515311499</v>
      </c>
      <c r="F116">
        <f>VLOOKUP(B116,'Model allocations'!$A$1:$L$317,11,FALSE)</f>
        <v>85637.539065933845</v>
      </c>
      <c r="G116" s="30">
        <f t="shared" si="36"/>
        <v>0.9</v>
      </c>
      <c r="H116">
        <f t="shared" si="37"/>
        <v>81549.522015443858</v>
      </c>
      <c r="I116">
        <f t="shared" si="19"/>
        <v>0</v>
      </c>
      <c r="J116">
        <f t="shared" si="20"/>
        <v>85637.539065933845</v>
      </c>
      <c r="K116">
        <f t="shared" si="21"/>
        <v>85587.589330380346</v>
      </c>
      <c r="L116">
        <f t="shared" si="22"/>
        <v>85587.589330380346</v>
      </c>
      <c r="M116">
        <f t="shared" si="23"/>
        <v>0</v>
      </c>
      <c r="N116" s="29">
        <f t="shared" si="24"/>
        <v>85587.589330380346</v>
      </c>
      <c r="O116" s="29">
        <f t="shared" si="25"/>
        <v>85581.073644593926</v>
      </c>
      <c r="P116" s="29">
        <f t="shared" si="26"/>
        <v>85581.073644593926</v>
      </c>
      <c r="Q116">
        <f t="shared" si="27"/>
        <v>0</v>
      </c>
      <c r="R116" s="29">
        <f t="shared" si="28"/>
        <v>85581.073644593926</v>
      </c>
      <c r="S116" s="29">
        <f t="shared" si="29"/>
        <v>85581.073644593926</v>
      </c>
      <c r="T116" s="29">
        <f t="shared" si="30"/>
        <v>85581.073644593926</v>
      </c>
      <c r="U116">
        <f t="shared" si="31"/>
        <v>0</v>
      </c>
      <c r="V116" s="29">
        <f t="shared" si="32"/>
        <v>85581.073644593926</v>
      </c>
      <c r="W116" s="29">
        <f t="shared" si="33"/>
        <v>85581.073644593926</v>
      </c>
      <c r="X116" s="29">
        <f t="shared" si="34"/>
        <v>85581.073644593926</v>
      </c>
      <c r="Y116">
        <f t="shared" si="35"/>
        <v>0</v>
      </c>
    </row>
    <row r="117" spans="1:25" x14ac:dyDescent="0.25">
      <c r="A117" s="8" t="s">
        <v>880</v>
      </c>
      <c r="B117" s="7" t="s">
        <v>440</v>
      </c>
      <c r="C117" s="2" t="s">
        <v>881</v>
      </c>
      <c r="D117">
        <f>VLOOKUP(B117,'Model allocations'!$A$1:$L$317,6,FALSE)</f>
        <v>141424.17765980749</v>
      </c>
      <c r="E117" s="31">
        <f>VLOOKUP(B117,'Initial adjusted formula count'!$A$1:$P$317,12,FALSE)</f>
        <v>0.11085844229675999</v>
      </c>
      <c r="F117">
        <f>VLOOKUP(B117,'Model allocations'!$A$1:$L$317,11,FALSE)</f>
        <v>120210.55101083637</v>
      </c>
      <c r="G117" s="30">
        <f t="shared" si="36"/>
        <v>0.85</v>
      </c>
      <c r="H117">
        <f t="shared" si="37"/>
        <v>120210.55101083637</v>
      </c>
      <c r="I117">
        <f t="shared" si="19"/>
        <v>0</v>
      </c>
      <c r="J117">
        <f t="shared" si="20"/>
        <v>120210.55101083637</v>
      </c>
      <c r="K117">
        <f t="shared" si="21"/>
        <v>120140.43590361557</v>
      </c>
      <c r="L117">
        <f t="shared" si="22"/>
        <v>120140.43590361557</v>
      </c>
      <c r="M117">
        <f t="shared" si="23"/>
        <v>120210.55101083637</v>
      </c>
      <c r="N117" s="29">
        <f t="shared" si="24"/>
        <v>0</v>
      </c>
      <c r="O117" s="29">
        <f t="shared" si="25"/>
        <v>0</v>
      </c>
      <c r="P117" s="29">
        <f t="shared" si="26"/>
        <v>120210.55101083637</v>
      </c>
      <c r="Q117">
        <f t="shared" si="27"/>
        <v>0</v>
      </c>
      <c r="R117" s="29">
        <f t="shared" si="28"/>
        <v>0</v>
      </c>
      <c r="S117" s="29">
        <f t="shared" si="29"/>
        <v>0</v>
      </c>
      <c r="T117" s="29">
        <f t="shared" si="30"/>
        <v>120210.55101083637</v>
      </c>
      <c r="U117">
        <f t="shared" si="31"/>
        <v>0</v>
      </c>
      <c r="V117" s="29">
        <f t="shared" si="32"/>
        <v>0</v>
      </c>
      <c r="W117" s="29">
        <f t="shared" si="33"/>
        <v>0</v>
      </c>
      <c r="X117" s="29">
        <f t="shared" si="34"/>
        <v>120210.55101083637</v>
      </c>
      <c r="Y117">
        <f t="shared" si="35"/>
        <v>0</v>
      </c>
    </row>
    <row r="118" spans="1:25" x14ac:dyDescent="0.25">
      <c r="A118" s="4" t="s">
        <v>882</v>
      </c>
      <c r="B118" s="7" t="s">
        <v>278</v>
      </c>
      <c r="C118" s="2" t="s">
        <v>883</v>
      </c>
      <c r="D118">
        <f>VLOOKUP(B118,'Model allocations'!$A$1:$L$317,6,FALSE)</f>
        <v>32810.409217075343</v>
      </c>
      <c r="E118" s="31">
        <f>VLOOKUP(B118,'Initial adjusted formula count'!$A$1:$P$317,12,FALSE)</f>
        <v>9.3708165997322596E-2</v>
      </c>
      <c r="F118">
        <f>VLOOKUP(B118,'Model allocations'!$A$1:$L$317,11,FALSE)</f>
        <v>39939.409150626023</v>
      </c>
      <c r="G118" s="30">
        <f t="shared" si="36"/>
        <v>0.85</v>
      </c>
      <c r="H118">
        <f t="shared" si="37"/>
        <v>27888.847834514039</v>
      </c>
      <c r="I118">
        <f t="shared" si="19"/>
        <v>0</v>
      </c>
      <c r="J118">
        <f t="shared" si="20"/>
        <v>39939.409150626023</v>
      </c>
      <c r="K118">
        <f t="shared" si="21"/>
        <v>39916.113724963441</v>
      </c>
      <c r="L118">
        <f t="shared" si="22"/>
        <v>39916.113724963441</v>
      </c>
      <c r="M118">
        <f t="shared" si="23"/>
        <v>0</v>
      </c>
      <c r="N118" s="29">
        <f t="shared" si="24"/>
        <v>39916.113724963441</v>
      </c>
      <c r="O118" s="29">
        <f t="shared" si="25"/>
        <v>39913.074956645723</v>
      </c>
      <c r="P118" s="29">
        <f t="shared" si="26"/>
        <v>39913.074956645723</v>
      </c>
      <c r="Q118">
        <f t="shared" si="27"/>
        <v>0</v>
      </c>
      <c r="R118" s="29">
        <f t="shared" si="28"/>
        <v>39913.074956645723</v>
      </c>
      <c r="S118" s="29">
        <f t="shared" si="29"/>
        <v>39913.074956645723</v>
      </c>
      <c r="T118" s="29">
        <f t="shared" si="30"/>
        <v>39913.074956645723</v>
      </c>
      <c r="U118">
        <f t="shared" si="31"/>
        <v>0</v>
      </c>
      <c r="V118" s="29">
        <f t="shared" si="32"/>
        <v>39913.074956645723</v>
      </c>
      <c r="W118" s="29">
        <f t="shared" si="33"/>
        <v>39913.074956645723</v>
      </c>
      <c r="X118" s="29">
        <f t="shared" si="34"/>
        <v>39913.074956645723</v>
      </c>
      <c r="Y118">
        <f t="shared" si="35"/>
        <v>0</v>
      </c>
    </row>
    <row r="119" spans="1:25" x14ac:dyDescent="0.25">
      <c r="A119" s="4" t="s">
        <v>884</v>
      </c>
      <c r="B119" s="7" t="s">
        <v>441</v>
      </c>
      <c r="C119" s="2" t="s">
        <v>885</v>
      </c>
      <c r="D119">
        <f>VLOOKUP(B119,'Model allocations'!$A$1:$L$317,6,FALSE)</f>
        <v>8976.8375509252</v>
      </c>
      <c r="E119" s="31">
        <f>VLOOKUP(B119,'Initial adjusted formula count'!$A$1:$P$317,12,FALSE)</f>
        <v>6.0975609756097601E-2</v>
      </c>
      <c r="F119">
        <f>VLOOKUP(B119,'Model allocations'!$A$1:$L$317,11,FALSE)</f>
        <v>0</v>
      </c>
      <c r="G119" s="30">
        <f t="shared" si="36"/>
        <v>0.85</v>
      </c>
      <c r="H119">
        <f t="shared" si="37"/>
        <v>0</v>
      </c>
      <c r="I119">
        <f t="shared" si="19"/>
        <v>0</v>
      </c>
      <c r="J119">
        <f t="shared" si="20"/>
        <v>0</v>
      </c>
      <c r="K119">
        <f t="shared" si="21"/>
        <v>0</v>
      </c>
      <c r="L119">
        <f t="shared" si="22"/>
        <v>0</v>
      </c>
      <c r="M119">
        <f t="shared" si="23"/>
        <v>0</v>
      </c>
      <c r="N119" s="29">
        <f t="shared" si="24"/>
        <v>0</v>
      </c>
      <c r="O119" s="29">
        <f t="shared" si="25"/>
        <v>0</v>
      </c>
      <c r="P119" s="29">
        <f t="shared" si="26"/>
        <v>0</v>
      </c>
      <c r="Q119">
        <f t="shared" si="27"/>
        <v>0</v>
      </c>
      <c r="R119" s="29">
        <f t="shared" si="28"/>
        <v>0</v>
      </c>
      <c r="S119" s="29">
        <f t="shared" si="29"/>
        <v>0</v>
      </c>
      <c r="T119" s="29">
        <f t="shared" si="30"/>
        <v>0</v>
      </c>
      <c r="U119">
        <f t="shared" si="31"/>
        <v>0</v>
      </c>
      <c r="V119" s="29">
        <f t="shared" si="32"/>
        <v>0</v>
      </c>
      <c r="W119" s="29">
        <f t="shared" si="33"/>
        <v>0</v>
      </c>
      <c r="X119" s="29">
        <f t="shared" si="34"/>
        <v>0</v>
      </c>
      <c r="Y119">
        <f t="shared" si="35"/>
        <v>0</v>
      </c>
    </row>
    <row r="120" spans="1:25" x14ac:dyDescent="0.25">
      <c r="A120" s="4" t="s">
        <v>886</v>
      </c>
      <c r="B120" s="7" t="s">
        <v>149</v>
      </c>
      <c r="C120" s="2" t="s">
        <v>887</v>
      </c>
      <c r="D120">
        <f>VLOOKUP(B120,'Model allocations'!$A$1:$L$317,6,FALSE)</f>
        <v>71808.331885659689</v>
      </c>
      <c r="E120" s="31">
        <f>VLOOKUP(B120,'Initial adjusted formula count'!$A$1:$P$317,12,FALSE)</f>
        <v>5.5641421947449803E-2</v>
      </c>
      <c r="F120">
        <f>VLOOKUP(B120,'Model allocations'!$A$1:$L$317,11,FALSE)</f>
        <v>61620.802689537282</v>
      </c>
      <c r="G120" s="30">
        <f t="shared" si="36"/>
        <v>0.85</v>
      </c>
      <c r="H120">
        <f t="shared" si="37"/>
        <v>61037.082102810731</v>
      </c>
      <c r="I120">
        <f t="shared" si="19"/>
        <v>0</v>
      </c>
      <c r="J120">
        <f t="shared" si="20"/>
        <v>61620.802689537282</v>
      </c>
      <c r="K120">
        <f t="shared" si="21"/>
        <v>61584.861175657868</v>
      </c>
      <c r="L120">
        <f t="shared" si="22"/>
        <v>61584.861175657868</v>
      </c>
      <c r="M120">
        <f t="shared" si="23"/>
        <v>0</v>
      </c>
      <c r="N120" s="29">
        <f t="shared" si="24"/>
        <v>61584.861175657868</v>
      </c>
      <c r="O120" s="29">
        <f t="shared" si="25"/>
        <v>61580.172790253389</v>
      </c>
      <c r="P120" s="29">
        <f t="shared" si="26"/>
        <v>61580.172790253389</v>
      </c>
      <c r="Q120">
        <f t="shared" si="27"/>
        <v>0</v>
      </c>
      <c r="R120" s="29">
        <f t="shared" si="28"/>
        <v>61580.172790253389</v>
      </c>
      <c r="S120" s="29">
        <f t="shared" si="29"/>
        <v>61580.172790253389</v>
      </c>
      <c r="T120" s="29">
        <f t="shared" si="30"/>
        <v>61580.172790253389</v>
      </c>
      <c r="U120">
        <f t="shared" si="31"/>
        <v>0</v>
      </c>
      <c r="V120" s="29">
        <f t="shared" si="32"/>
        <v>61580.172790253389</v>
      </c>
      <c r="W120" s="29">
        <f t="shared" si="33"/>
        <v>61580.172790253389</v>
      </c>
      <c r="X120" s="29">
        <f t="shared" si="34"/>
        <v>61580.172790253389</v>
      </c>
      <c r="Y120">
        <f t="shared" si="35"/>
        <v>0</v>
      </c>
    </row>
    <row r="121" spans="1:25" x14ac:dyDescent="0.25">
      <c r="A121" s="4" t="s">
        <v>888</v>
      </c>
      <c r="B121" s="7" t="s">
        <v>280</v>
      </c>
      <c r="C121" s="2" t="s">
        <v>889</v>
      </c>
      <c r="D121">
        <f>VLOOKUP(B121,'Model allocations'!$A$1:$L$317,6,FALSE)</f>
        <v>83991.20837741789</v>
      </c>
      <c r="E121" s="31">
        <f>VLOOKUP(B121,'Initial adjusted formula count'!$A$1:$P$317,12,FALSE)</f>
        <v>0.100682593856655</v>
      </c>
      <c r="F121">
        <f>VLOOKUP(B121,'Model allocations'!$A$1:$L$317,11,FALSE)</f>
        <v>71392.5271208052</v>
      </c>
      <c r="G121" s="30">
        <f t="shared" si="36"/>
        <v>0.85</v>
      </c>
      <c r="H121">
        <f t="shared" si="37"/>
        <v>71392.5271208052</v>
      </c>
      <c r="I121">
        <f t="shared" si="19"/>
        <v>0</v>
      </c>
      <c r="J121">
        <f t="shared" si="20"/>
        <v>71392.5271208052</v>
      </c>
      <c r="K121">
        <f t="shared" si="21"/>
        <v>71350.886061416109</v>
      </c>
      <c r="L121">
        <f t="shared" si="22"/>
        <v>71350.886061416109</v>
      </c>
      <c r="M121">
        <f t="shared" si="23"/>
        <v>71392.5271208052</v>
      </c>
      <c r="N121" s="29">
        <f t="shared" si="24"/>
        <v>0</v>
      </c>
      <c r="O121" s="29">
        <f t="shared" si="25"/>
        <v>0</v>
      </c>
      <c r="P121" s="29">
        <f t="shared" si="26"/>
        <v>71392.5271208052</v>
      </c>
      <c r="Q121">
        <f t="shared" si="27"/>
        <v>0</v>
      </c>
      <c r="R121" s="29">
        <f t="shared" si="28"/>
        <v>0</v>
      </c>
      <c r="S121" s="29">
        <f t="shared" si="29"/>
        <v>0</v>
      </c>
      <c r="T121" s="29">
        <f t="shared" si="30"/>
        <v>71392.5271208052</v>
      </c>
      <c r="U121">
        <f t="shared" si="31"/>
        <v>0</v>
      </c>
      <c r="V121" s="29">
        <f t="shared" si="32"/>
        <v>0</v>
      </c>
      <c r="W121" s="29">
        <f t="shared" si="33"/>
        <v>0</v>
      </c>
      <c r="X121" s="29">
        <f t="shared" si="34"/>
        <v>71392.5271208052</v>
      </c>
      <c r="Y121">
        <f t="shared" si="35"/>
        <v>0</v>
      </c>
    </row>
    <row r="122" spans="1:25" x14ac:dyDescent="0.25">
      <c r="A122" s="4" t="s">
        <v>890</v>
      </c>
      <c r="B122" s="7" t="s">
        <v>443</v>
      </c>
      <c r="C122" s="2" t="s">
        <v>891</v>
      </c>
      <c r="D122">
        <f>VLOOKUP(B122,'Model allocations'!$A$1:$L$317,6,FALSE)</f>
        <v>12068.60190961286</v>
      </c>
      <c r="E122" s="31">
        <f>VLOOKUP(B122,'Initial adjusted formula count'!$A$1:$P$317,12,FALSE)</f>
        <v>0.18888888888888899</v>
      </c>
      <c r="F122">
        <f>VLOOKUP(B122,'Model allocations'!$A$1:$L$317,11,FALSE)</f>
        <v>10973.923227122365</v>
      </c>
      <c r="G122" s="30">
        <f t="shared" si="36"/>
        <v>0.9</v>
      </c>
      <c r="H122">
        <f t="shared" si="37"/>
        <v>10861.741718651574</v>
      </c>
      <c r="I122">
        <f t="shared" si="19"/>
        <v>0</v>
      </c>
      <c r="J122">
        <f t="shared" si="20"/>
        <v>10973.923227122365</v>
      </c>
      <c r="K122">
        <f t="shared" si="21"/>
        <v>10967.522476129774</v>
      </c>
      <c r="L122">
        <f t="shared" si="22"/>
        <v>10967.522476129774</v>
      </c>
      <c r="M122">
        <f t="shared" si="23"/>
        <v>0</v>
      </c>
      <c r="N122" s="29">
        <f t="shared" si="24"/>
        <v>10967.522476129774</v>
      </c>
      <c r="O122" s="29">
        <f t="shared" si="25"/>
        <v>10966.687531123504</v>
      </c>
      <c r="P122" s="29">
        <f t="shared" si="26"/>
        <v>10966.687531123504</v>
      </c>
      <c r="Q122">
        <f t="shared" si="27"/>
        <v>0</v>
      </c>
      <c r="R122" s="29">
        <f t="shared" si="28"/>
        <v>10966.687531123504</v>
      </c>
      <c r="S122" s="29">
        <f t="shared" si="29"/>
        <v>10966.687531123504</v>
      </c>
      <c r="T122" s="29">
        <f t="shared" si="30"/>
        <v>10966.687531123504</v>
      </c>
      <c r="U122">
        <f t="shared" si="31"/>
        <v>0</v>
      </c>
      <c r="V122" s="29">
        <f t="shared" si="32"/>
        <v>10966.687531123504</v>
      </c>
      <c r="W122" s="29">
        <f t="shared" si="33"/>
        <v>10966.687531123504</v>
      </c>
      <c r="X122" s="29">
        <f t="shared" si="34"/>
        <v>10966.687531123504</v>
      </c>
      <c r="Y122">
        <f t="shared" si="35"/>
        <v>0</v>
      </c>
    </row>
    <row r="123" spans="1:25" x14ac:dyDescent="0.25">
      <c r="A123" s="8" t="s">
        <v>892</v>
      </c>
      <c r="B123" s="7" t="s">
        <v>282</v>
      </c>
      <c r="C123" s="2" t="s">
        <v>893</v>
      </c>
      <c r="D123">
        <f>VLOOKUP(B123,'Model allocations'!$A$1:$L$317,6,FALSE)</f>
        <v>92208.563834194458</v>
      </c>
      <c r="E123" s="31">
        <f>VLOOKUP(B123,'Initial adjusted formula count'!$A$1:$P$317,12,FALSE)</f>
        <v>0.134136546184739</v>
      </c>
      <c r="F123">
        <f>VLOOKUP(B123,'Model allocations'!$A$1:$L$317,11,FALSE)</f>
        <v>95284.018973636354</v>
      </c>
      <c r="G123" s="30">
        <f t="shared" si="36"/>
        <v>0.85</v>
      </c>
      <c r="H123">
        <f t="shared" si="37"/>
        <v>78377.279259065283</v>
      </c>
      <c r="I123">
        <f t="shared" si="19"/>
        <v>0</v>
      </c>
      <c r="J123">
        <f t="shared" si="20"/>
        <v>95284.018973636354</v>
      </c>
      <c r="K123">
        <f t="shared" si="21"/>
        <v>95228.44274384134</v>
      </c>
      <c r="L123">
        <f t="shared" si="22"/>
        <v>95228.44274384134</v>
      </c>
      <c r="M123">
        <f t="shared" si="23"/>
        <v>0</v>
      </c>
      <c r="N123" s="29">
        <f t="shared" si="24"/>
        <v>95228.44274384134</v>
      </c>
      <c r="O123" s="29">
        <f t="shared" si="25"/>
        <v>95221.193110854787</v>
      </c>
      <c r="P123" s="29">
        <f t="shared" si="26"/>
        <v>95221.193110854787</v>
      </c>
      <c r="Q123">
        <f t="shared" si="27"/>
        <v>0</v>
      </c>
      <c r="R123" s="29">
        <f t="shared" si="28"/>
        <v>95221.193110854787</v>
      </c>
      <c r="S123" s="29">
        <f t="shared" si="29"/>
        <v>95221.193110854787</v>
      </c>
      <c r="T123" s="29">
        <f t="shared" si="30"/>
        <v>95221.193110854787</v>
      </c>
      <c r="U123">
        <f t="shared" si="31"/>
        <v>0</v>
      </c>
      <c r="V123" s="29">
        <f t="shared" si="32"/>
        <v>95221.193110854787</v>
      </c>
      <c r="W123" s="29">
        <f t="shared" si="33"/>
        <v>95221.193110854787</v>
      </c>
      <c r="X123" s="29">
        <f t="shared" si="34"/>
        <v>95221.193110854787</v>
      </c>
      <c r="Y123">
        <f t="shared" si="35"/>
        <v>0</v>
      </c>
    </row>
    <row r="124" spans="1:25" x14ac:dyDescent="0.25">
      <c r="A124" s="4" t="s">
        <v>894</v>
      </c>
      <c r="B124" s="7" t="s">
        <v>151</v>
      </c>
      <c r="C124" s="2" t="s">
        <v>895</v>
      </c>
      <c r="D124">
        <f>VLOOKUP(B124,'Model allocations'!$A$1:$L$317,6,FALSE)</f>
        <v>329235.48559203197</v>
      </c>
      <c r="E124" s="31">
        <f>VLOOKUP(B124,'Initial adjusted formula count'!$A$1:$P$317,12,FALSE)</f>
        <v>6.6008517228029404E-2</v>
      </c>
      <c r="F124">
        <f>VLOOKUP(B124,'Model allocations'!$A$1:$L$317,11,FALSE)</f>
        <v>389123.95772467065</v>
      </c>
      <c r="G124" s="30">
        <f t="shared" si="36"/>
        <v>0.85</v>
      </c>
      <c r="H124">
        <f t="shared" si="37"/>
        <v>279850.16275322717</v>
      </c>
      <c r="I124">
        <f t="shared" si="19"/>
        <v>0</v>
      </c>
      <c r="J124">
        <f t="shared" si="20"/>
        <v>389123.95772467065</v>
      </c>
      <c r="K124">
        <f t="shared" si="21"/>
        <v>388896.993720358</v>
      </c>
      <c r="L124">
        <f t="shared" si="22"/>
        <v>388896.993720358</v>
      </c>
      <c r="M124">
        <f t="shared" si="23"/>
        <v>0</v>
      </c>
      <c r="N124" s="29">
        <f t="shared" si="24"/>
        <v>388896.993720358</v>
      </c>
      <c r="O124" s="29">
        <f t="shared" si="25"/>
        <v>388867.38743474818</v>
      </c>
      <c r="P124" s="29">
        <f t="shared" si="26"/>
        <v>388867.38743474818</v>
      </c>
      <c r="Q124">
        <f t="shared" si="27"/>
        <v>0</v>
      </c>
      <c r="R124" s="29">
        <f t="shared" si="28"/>
        <v>388867.38743474818</v>
      </c>
      <c r="S124" s="29">
        <f t="shared" si="29"/>
        <v>388867.38743474818</v>
      </c>
      <c r="T124" s="29">
        <f t="shared" si="30"/>
        <v>388867.38743474818</v>
      </c>
      <c r="U124">
        <f t="shared" si="31"/>
        <v>0</v>
      </c>
      <c r="V124" s="29">
        <f t="shared" si="32"/>
        <v>388867.38743474818</v>
      </c>
      <c r="W124" s="29">
        <f t="shared" si="33"/>
        <v>388867.38743474818</v>
      </c>
      <c r="X124" s="29">
        <f t="shared" si="34"/>
        <v>388867.38743474818</v>
      </c>
      <c r="Y124">
        <f t="shared" si="35"/>
        <v>0</v>
      </c>
    </row>
    <row r="125" spans="1:25" x14ac:dyDescent="0.25">
      <c r="A125" s="4" t="s">
        <v>896</v>
      </c>
      <c r="B125" s="7" t="s">
        <v>153</v>
      </c>
      <c r="C125" s="2" t="s">
        <v>897</v>
      </c>
      <c r="D125">
        <f>VLOOKUP(B125,'Model allocations'!$A$1:$L$317,6,FALSE)</f>
        <v>0</v>
      </c>
      <c r="E125" s="31">
        <f>VLOOKUP(B125,'Initial adjusted formula count'!$A$1:$P$317,12,FALSE)</f>
        <v>4.0982919124430403E-2</v>
      </c>
      <c r="F125">
        <f>VLOOKUP(B125,'Model allocations'!$A$1:$L$317,11,FALSE)</f>
        <v>0</v>
      </c>
      <c r="G125" s="30">
        <f t="shared" si="36"/>
        <v>0.85</v>
      </c>
      <c r="H125">
        <f t="shared" si="3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2"/>
        <v>0</v>
      </c>
      <c r="M125">
        <f t="shared" si="23"/>
        <v>0</v>
      </c>
      <c r="N125" s="29">
        <f t="shared" si="24"/>
        <v>0</v>
      </c>
      <c r="O125" s="29">
        <f t="shared" si="25"/>
        <v>0</v>
      </c>
      <c r="P125" s="29">
        <f t="shared" si="26"/>
        <v>0</v>
      </c>
      <c r="Q125">
        <f t="shared" si="27"/>
        <v>0</v>
      </c>
      <c r="R125" s="29">
        <f t="shared" si="28"/>
        <v>0</v>
      </c>
      <c r="S125" s="29">
        <f t="shared" si="29"/>
        <v>0</v>
      </c>
      <c r="T125" s="29">
        <f t="shared" si="30"/>
        <v>0</v>
      </c>
      <c r="U125">
        <f t="shared" si="31"/>
        <v>0</v>
      </c>
      <c r="V125" s="29">
        <f t="shared" si="32"/>
        <v>0</v>
      </c>
      <c r="W125" s="29">
        <f t="shared" si="33"/>
        <v>0</v>
      </c>
      <c r="X125" s="29">
        <f t="shared" si="34"/>
        <v>0</v>
      </c>
      <c r="Y125">
        <f t="shared" si="35"/>
        <v>0</v>
      </c>
    </row>
    <row r="126" spans="1:25" x14ac:dyDescent="0.25">
      <c r="A126" s="4" t="s">
        <v>898</v>
      </c>
      <c r="B126" s="7" t="s">
        <v>155</v>
      </c>
      <c r="C126" s="2" t="s">
        <v>899</v>
      </c>
      <c r="D126">
        <f>VLOOKUP(B126,'Model allocations'!$A$1:$L$317,6,FALSE)</f>
        <v>201953.72569820503</v>
      </c>
      <c r="E126" s="31">
        <f>VLOOKUP(B126,'Initial adjusted formula count'!$A$1:$P$317,12,FALSE)</f>
        <v>0.12734785875281701</v>
      </c>
      <c r="F126">
        <f>VLOOKUP(B126,'Model allocations'!$A$1:$L$317,11,FALSE)</f>
        <v>193420.85288660313</v>
      </c>
      <c r="G126" s="30">
        <f t="shared" si="36"/>
        <v>0.85</v>
      </c>
      <c r="H126">
        <f t="shared" si="37"/>
        <v>171660.66684347426</v>
      </c>
      <c r="I126">
        <f t="shared" si="19"/>
        <v>0</v>
      </c>
      <c r="J126">
        <f t="shared" si="20"/>
        <v>193420.85288660313</v>
      </c>
      <c r="K126">
        <f t="shared" si="21"/>
        <v>193308.03646803717</v>
      </c>
      <c r="L126">
        <f t="shared" si="22"/>
        <v>193308.03646803717</v>
      </c>
      <c r="M126">
        <f t="shared" si="23"/>
        <v>0</v>
      </c>
      <c r="N126" s="29">
        <f t="shared" si="24"/>
        <v>193308.03646803717</v>
      </c>
      <c r="O126" s="29">
        <f t="shared" si="25"/>
        <v>193293.32014718422</v>
      </c>
      <c r="P126" s="29">
        <f t="shared" si="26"/>
        <v>193293.32014718422</v>
      </c>
      <c r="Q126">
        <f t="shared" si="27"/>
        <v>0</v>
      </c>
      <c r="R126" s="29">
        <f t="shared" si="28"/>
        <v>193293.32014718422</v>
      </c>
      <c r="S126" s="29">
        <f t="shared" si="29"/>
        <v>193293.32014718422</v>
      </c>
      <c r="T126" s="29">
        <f t="shared" si="30"/>
        <v>193293.32014718422</v>
      </c>
      <c r="U126">
        <f t="shared" si="31"/>
        <v>0</v>
      </c>
      <c r="V126" s="29">
        <f t="shared" si="32"/>
        <v>193293.32014718422</v>
      </c>
      <c r="W126" s="29">
        <f t="shared" si="33"/>
        <v>193293.32014718422</v>
      </c>
      <c r="X126" s="29">
        <f t="shared" si="34"/>
        <v>193293.32014718422</v>
      </c>
      <c r="Y126">
        <f t="shared" si="35"/>
        <v>0</v>
      </c>
    </row>
    <row r="127" spans="1:25" x14ac:dyDescent="0.25">
      <c r="A127" s="4" t="s">
        <v>900</v>
      </c>
      <c r="B127" s="7" t="s">
        <v>157</v>
      </c>
      <c r="C127" s="2" t="s">
        <v>901</v>
      </c>
      <c r="D127">
        <f>VLOOKUP(B127,'Model allocations'!$A$1:$L$317,6,FALSE)</f>
        <v>0</v>
      </c>
      <c r="E127" s="31">
        <f>VLOOKUP(B127,'Initial adjusted formula count'!$A$1:$P$317,12,FALSE)</f>
        <v>0.35714285714285698</v>
      </c>
      <c r="F127">
        <f>VLOOKUP(B127,'Model allocations'!$A$1:$L$317,11,FALSE)</f>
        <v>10413.63037303787</v>
      </c>
      <c r="G127" s="30">
        <f t="shared" si="36"/>
        <v>0.95</v>
      </c>
      <c r="H127">
        <f t="shared" si="37"/>
        <v>0</v>
      </c>
      <c r="I127">
        <f t="shared" si="19"/>
        <v>0</v>
      </c>
      <c r="J127">
        <f t="shared" si="20"/>
        <v>10413.63037303787</v>
      </c>
      <c r="K127">
        <f t="shared" si="21"/>
        <v>10407.556423588147</v>
      </c>
      <c r="L127">
        <f t="shared" si="22"/>
        <v>10407.556423588147</v>
      </c>
      <c r="M127">
        <f t="shared" si="23"/>
        <v>0</v>
      </c>
      <c r="N127" s="29">
        <f t="shared" si="24"/>
        <v>10407.556423588147</v>
      </c>
      <c r="O127" s="29">
        <f t="shared" si="25"/>
        <v>10406.764108160278</v>
      </c>
      <c r="P127" s="29">
        <f t="shared" si="26"/>
        <v>10406.764108160278</v>
      </c>
      <c r="Q127">
        <f t="shared" si="27"/>
        <v>0</v>
      </c>
      <c r="R127" s="29">
        <f t="shared" si="28"/>
        <v>10406.764108160278</v>
      </c>
      <c r="S127" s="29">
        <f t="shared" si="29"/>
        <v>10406.764108160278</v>
      </c>
      <c r="T127" s="29">
        <f t="shared" si="30"/>
        <v>10406.764108160278</v>
      </c>
      <c r="U127">
        <f t="shared" si="31"/>
        <v>0</v>
      </c>
      <c r="V127" s="29">
        <f t="shared" si="32"/>
        <v>10406.764108160278</v>
      </c>
      <c r="W127" s="29">
        <f t="shared" si="33"/>
        <v>10406.764108160278</v>
      </c>
      <c r="X127" s="29">
        <f t="shared" si="34"/>
        <v>10406.764108160278</v>
      </c>
      <c r="Y127">
        <f t="shared" si="35"/>
        <v>0</v>
      </c>
    </row>
    <row r="128" spans="1:25" x14ac:dyDescent="0.25">
      <c r="A128" s="4" t="s">
        <v>902</v>
      </c>
      <c r="B128" s="7" t="s">
        <v>159</v>
      </c>
      <c r="C128" s="2" t="s">
        <v>903</v>
      </c>
      <c r="D128">
        <f>VLOOKUP(B128,'Model allocations'!$A$1:$L$317,6,FALSE)</f>
        <v>43558.646719220698</v>
      </c>
      <c r="E128" s="31">
        <f>VLOOKUP(B128,'Initial adjusted formula count'!$A$1:$P$317,12,FALSE)</f>
        <v>4.20168067226891E-2</v>
      </c>
      <c r="F128">
        <f>VLOOKUP(B128,'Model allocations'!$A$1:$L$317,11,FALSE)</f>
        <v>0</v>
      </c>
      <c r="G128" s="30">
        <f t="shared" si="36"/>
        <v>0.85</v>
      </c>
      <c r="H128">
        <f t="shared" si="3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2"/>
        <v>0</v>
      </c>
      <c r="M128">
        <f t="shared" si="23"/>
        <v>0</v>
      </c>
      <c r="N128" s="29">
        <f t="shared" si="24"/>
        <v>0</v>
      </c>
      <c r="O128" s="29">
        <f t="shared" si="25"/>
        <v>0</v>
      </c>
      <c r="P128" s="29">
        <f t="shared" si="26"/>
        <v>0</v>
      </c>
      <c r="Q128">
        <f t="shared" si="27"/>
        <v>0</v>
      </c>
      <c r="R128" s="29">
        <f t="shared" si="28"/>
        <v>0</v>
      </c>
      <c r="S128" s="29">
        <f t="shared" si="29"/>
        <v>0</v>
      </c>
      <c r="T128" s="29">
        <f t="shared" si="30"/>
        <v>0</v>
      </c>
      <c r="U128">
        <f t="shared" si="31"/>
        <v>0</v>
      </c>
      <c r="V128" s="29">
        <f t="shared" si="32"/>
        <v>0</v>
      </c>
      <c r="W128" s="29">
        <f t="shared" si="33"/>
        <v>0</v>
      </c>
      <c r="X128" s="29">
        <f t="shared" si="34"/>
        <v>0</v>
      </c>
      <c r="Y128">
        <f t="shared" si="35"/>
        <v>0</v>
      </c>
    </row>
    <row r="129" spans="1:25" x14ac:dyDescent="0.25">
      <c r="A129" s="4" t="s">
        <v>904</v>
      </c>
      <c r="B129" s="7" t="s">
        <v>447</v>
      </c>
      <c r="C129" s="2" t="s">
        <v>905</v>
      </c>
      <c r="D129">
        <f>VLOOKUP(B129,'Model allocations'!$A$1:$L$317,6,FALSE)</f>
        <v>65461.730376701147</v>
      </c>
      <c r="E129" s="31">
        <f>VLOOKUP(B129,'Initial adjusted formula count'!$A$1:$P$317,12,FALSE)</f>
        <v>0.16611295681063101</v>
      </c>
      <c r="F129">
        <f>VLOOKUP(B129,'Model allocations'!$A$1:$L$317,11,FALSE)</f>
        <v>58915.557339031031</v>
      </c>
      <c r="G129" s="30">
        <f t="shared" si="36"/>
        <v>0.9</v>
      </c>
      <c r="H129">
        <f t="shared" si="37"/>
        <v>58915.557339031031</v>
      </c>
      <c r="I129">
        <f t="shared" si="19"/>
        <v>0</v>
      </c>
      <c r="J129">
        <f t="shared" si="20"/>
        <v>58915.557339031031</v>
      </c>
      <c r="K129">
        <f t="shared" si="21"/>
        <v>58881.193711337262</v>
      </c>
      <c r="L129">
        <f t="shared" si="22"/>
        <v>58881.193711337262</v>
      </c>
      <c r="M129">
        <f t="shared" si="23"/>
        <v>58915.557339031031</v>
      </c>
      <c r="N129" s="29">
        <f t="shared" si="24"/>
        <v>0</v>
      </c>
      <c r="O129" s="29">
        <f t="shared" si="25"/>
        <v>0</v>
      </c>
      <c r="P129" s="29">
        <f t="shared" si="26"/>
        <v>58915.557339031031</v>
      </c>
      <c r="Q129">
        <f t="shared" si="27"/>
        <v>0</v>
      </c>
      <c r="R129" s="29">
        <f t="shared" si="28"/>
        <v>0</v>
      </c>
      <c r="S129" s="29">
        <f t="shared" si="29"/>
        <v>0</v>
      </c>
      <c r="T129" s="29">
        <f t="shared" si="30"/>
        <v>58915.557339031031</v>
      </c>
      <c r="U129">
        <f t="shared" si="31"/>
        <v>0</v>
      </c>
      <c r="V129" s="29">
        <f t="shared" si="32"/>
        <v>0</v>
      </c>
      <c r="W129" s="29">
        <f t="shared" si="33"/>
        <v>0</v>
      </c>
      <c r="X129" s="29">
        <f t="shared" si="34"/>
        <v>58915.557339031031</v>
      </c>
      <c r="Y129">
        <f t="shared" si="35"/>
        <v>0</v>
      </c>
    </row>
    <row r="130" spans="1:25" x14ac:dyDescent="0.25">
      <c r="A130" s="4" t="s">
        <v>906</v>
      </c>
      <c r="B130" s="7" t="s">
        <v>449</v>
      </c>
      <c r="C130" s="2" t="s">
        <v>907</v>
      </c>
      <c r="D130">
        <f>VLOOKUP(B130,'Model allocations'!$A$1:$L$317,6,FALSE)</f>
        <v>952633.26071646321</v>
      </c>
      <c r="E130" s="31">
        <f>VLOOKUP(B130,'Initial adjusted formula count'!$A$1:$P$317,12,FALSE)</f>
        <v>0.18699631197923799</v>
      </c>
      <c r="F130">
        <f>VLOOKUP(B130,'Model allocations'!$A$1:$L$317,11,FALSE)</f>
        <v>974521.58327527484</v>
      </c>
      <c r="G130" s="30">
        <f t="shared" si="36"/>
        <v>0.9</v>
      </c>
      <c r="H130">
        <f t="shared" si="37"/>
        <v>857369.93464481691</v>
      </c>
      <c r="I130">
        <f t="shared" si="19"/>
        <v>0</v>
      </c>
      <c r="J130">
        <f t="shared" si="20"/>
        <v>974521.58327527484</v>
      </c>
      <c r="K130">
        <f t="shared" si="21"/>
        <v>973953.17488910782</v>
      </c>
      <c r="L130">
        <f t="shared" si="22"/>
        <v>973953.17488910782</v>
      </c>
      <c r="M130">
        <f t="shared" si="23"/>
        <v>0</v>
      </c>
      <c r="N130" s="29">
        <f t="shared" si="24"/>
        <v>973953.17488910782</v>
      </c>
      <c r="O130" s="29">
        <f t="shared" si="25"/>
        <v>973879.02894215542</v>
      </c>
      <c r="P130" s="29">
        <f t="shared" si="26"/>
        <v>973879.02894215542</v>
      </c>
      <c r="Q130">
        <f t="shared" si="27"/>
        <v>0</v>
      </c>
      <c r="R130" s="29">
        <f t="shared" si="28"/>
        <v>973879.02894215542</v>
      </c>
      <c r="S130" s="29">
        <f t="shared" si="29"/>
        <v>973879.02894215542</v>
      </c>
      <c r="T130" s="29">
        <f t="shared" si="30"/>
        <v>973879.02894215542</v>
      </c>
      <c r="U130">
        <f t="shared" si="31"/>
        <v>0</v>
      </c>
      <c r="V130" s="29">
        <f t="shared" si="32"/>
        <v>973879.02894215542</v>
      </c>
      <c r="W130" s="29">
        <f t="shared" si="33"/>
        <v>973879.02894215542</v>
      </c>
      <c r="X130" s="29">
        <f t="shared" si="34"/>
        <v>973879.02894215542</v>
      </c>
      <c r="Y130">
        <f t="shared" si="35"/>
        <v>0</v>
      </c>
    </row>
    <row r="131" spans="1:25" x14ac:dyDescent="0.25">
      <c r="A131" s="4" t="s">
        <v>908</v>
      </c>
      <c r="B131" s="7" t="s">
        <v>451</v>
      </c>
      <c r="C131" s="2" t="s">
        <v>909</v>
      </c>
      <c r="D131">
        <f>VLOOKUP(B131,'Model allocations'!$A$1:$L$317,6,FALSE)</f>
        <v>39835.160257704461</v>
      </c>
      <c r="E131" s="31">
        <f>VLOOKUP(B131,'Initial adjusted formula count'!$A$1:$P$317,12,FALSE)</f>
        <v>0.22957198443579799</v>
      </c>
      <c r="F131">
        <f>VLOOKUP(B131,'Model allocations'!$A$1:$L$317,11,FALSE)</f>
        <v>42708.08031332089</v>
      </c>
      <c r="G131" s="30">
        <f t="shared" si="36"/>
        <v>0.9</v>
      </c>
      <c r="H131">
        <f t="shared" si="37"/>
        <v>35851.644231934013</v>
      </c>
      <c r="I131">
        <f t="shared" si="19"/>
        <v>0</v>
      </c>
      <c r="J131">
        <f t="shared" si="20"/>
        <v>42708.08031332089</v>
      </c>
      <c r="K131">
        <f t="shared" si="21"/>
        <v>42683.170007152403</v>
      </c>
      <c r="L131">
        <f t="shared" si="22"/>
        <v>42683.170007152403</v>
      </c>
      <c r="M131">
        <f t="shared" si="23"/>
        <v>0</v>
      </c>
      <c r="N131" s="29">
        <f t="shared" si="24"/>
        <v>42683.170007152403</v>
      </c>
      <c r="O131" s="29">
        <f t="shared" si="25"/>
        <v>42679.920585988526</v>
      </c>
      <c r="P131" s="29">
        <f t="shared" si="26"/>
        <v>42679.920585988526</v>
      </c>
      <c r="Q131">
        <f t="shared" si="27"/>
        <v>0</v>
      </c>
      <c r="R131" s="29">
        <f t="shared" si="28"/>
        <v>42679.920585988526</v>
      </c>
      <c r="S131" s="29">
        <f t="shared" si="29"/>
        <v>42679.920585988526</v>
      </c>
      <c r="T131" s="29">
        <f t="shared" si="30"/>
        <v>42679.920585988526</v>
      </c>
      <c r="U131">
        <f t="shared" si="31"/>
        <v>0</v>
      </c>
      <c r="V131" s="29">
        <f t="shared" si="32"/>
        <v>42679.920585988526</v>
      </c>
      <c r="W131" s="29">
        <f t="shared" si="33"/>
        <v>42679.920585988526</v>
      </c>
      <c r="X131" s="29">
        <f t="shared" si="34"/>
        <v>42679.920585988526</v>
      </c>
      <c r="Y131">
        <f t="shared" si="35"/>
        <v>0</v>
      </c>
    </row>
    <row r="132" spans="1:25" x14ac:dyDescent="0.25">
      <c r="A132" s="4" t="s">
        <v>910</v>
      </c>
      <c r="B132" s="7" t="s">
        <v>453</v>
      </c>
      <c r="C132" s="2" t="s">
        <v>911</v>
      </c>
      <c r="D132">
        <f>VLOOKUP(B132,'Model allocations'!$A$1:$L$317,6,FALSE)</f>
        <v>32157.95613618995</v>
      </c>
      <c r="E132" s="31">
        <f>VLOOKUP(B132,'Initial adjusted formula count'!$A$1:$P$317,12,FALSE)</f>
        <v>0.17142857142857101</v>
      </c>
      <c r="F132">
        <f>VLOOKUP(B132,'Model allocations'!$A$1:$L$317,11,FALSE)</f>
        <v>29259.611143748622</v>
      </c>
      <c r="G132" s="30">
        <f t="shared" si="36"/>
        <v>0.9</v>
      </c>
      <c r="H132">
        <f t="shared" si="37"/>
        <v>28942.160522570957</v>
      </c>
      <c r="I132">
        <f t="shared" ref="I132:I195" si="38">IF(F132&lt;H132,H132,0)</f>
        <v>0</v>
      </c>
      <c r="J132">
        <f t="shared" ref="J132:J195" si="39">IF(I132=0,F132,0)</f>
        <v>29259.611143748622</v>
      </c>
      <c r="K132">
        <f t="shared" ref="K132:K195" si="40">(J132/$J$3)*($F$3-$I$3)</f>
        <v>29242.544914908216</v>
      </c>
      <c r="L132">
        <f t="shared" ref="L132:L195" si="41">I132+K132</f>
        <v>29242.544914908216</v>
      </c>
      <c r="M132">
        <f t="shared" ref="M132:M195" si="42">IF(L132&lt;H132,H132,0)</f>
        <v>0</v>
      </c>
      <c r="N132" s="29">
        <f t="shared" ref="N132:N195" si="43">IF($I132+$M132=0,L132,0)</f>
        <v>29242.544914908216</v>
      </c>
      <c r="O132" s="29">
        <f t="shared" ref="O132:O195" si="44">((N132/$N$3)*($F$3-$I$3-$M$3))</f>
        <v>29240.318713238659</v>
      </c>
      <c r="P132" s="29">
        <f t="shared" ref="P132:P195" si="45">$I132+$M132+O132</f>
        <v>29240.318713238659</v>
      </c>
      <c r="Q132">
        <f t="shared" ref="Q132:Q195" si="46">IF(P132&lt;H132,H132,0)</f>
        <v>0</v>
      </c>
      <c r="R132" s="29">
        <f t="shared" ref="R132:R195" si="47">IF($I132+$M132+$Q132=0,P132,0)</f>
        <v>29240.318713238659</v>
      </c>
      <c r="S132" s="29">
        <f t="shared" ref="S132:S195" si="48">((R132/$R$3)*($F$3-$I$3-$M$3-$Q$3))</f>
        <v>29240.318713238659</v>
      </c>
      <c r="T132" s="29">
        <f t="shared" ref="T132:T195" si="49">$I132+$M132+$Q132+S132</f>
        <v>29240.318713238659</v>
      </c>
      <c r="U132">
        <f t="shared" ref="U132:U195" si="50">IF(T132&lt;H132,H132,0)</f>
        <v>0</v>
      </c>
      <c r="V132" s="29">
        <f t="shared" ref="V132:V195" si="51">IF($I132+$M132+$Q132+U132=0,T132,0)</f>
        <v>29240.318713238659</v>
      </c>
      <c r="W132" s="29">
        <f t="shared" ref="W132:W195" si="52">((V132/$V$3)*($F$3-$I$3-$M$3-$Q$3-$U$3))</f>
        <v>29240.318713238659</v>
      </c>
      <c r="X132" s="29">
        <f t="shared" ref="X132:X195" si="53">$I132+$M132+$Q132+$U132+W132</f>
        <v>29240.318713238659</v>
      </c>
      <c r="Y132">
        <f t="shared" ref="Y132:Y195" si="54">IF(X132&lt;H132,H132,0)</f>
        <v>0</v>
      </c>
    </row>
    <row r="133" spans="1:25" x14ac:dyDescent="0.25">
      <c r="A133" s="4" t="s">
        <v>29</v>
      </c>
      <c r="B133" s="7" t="s">
        <v>76</v>
      </c>
      <c r="C133" s="2" t="s">
        <v>912</v>
      </c>
      <c r="D133">
        <f>VLOOKUP(B133,'Model allocations'!$A$1:$L$317,6,FALSE)</f>
        <v>0</v>
      </c>
      <c r="E133" s="31">
        <f>VLOOKUP(B133,'Initial adjusted formula count'!$A$1:$P$317,12,FALSE)</f>
        <v>0.20320371091916001</v>
      </c>
      <c r="F133">
        <f>VLOOKUP(B133,'Model allocations'!$A$1:$L$317,11,FALSE)</f>
        <v>0</v>
      </c>
      <c r="G133" s="30">
        <f t="shared" ref="G133:G196" si="55">IF(E133&lt;0.15,0.85,IF(AND(E133&gt;=0.15,E133&lt;0.3),0.9,0.95))</f>
        <v>0.9</v>
      </c>
      <c r="H133">
        <f t="shared" ref="H133:H196" si="5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si="41"/>
        <v>0</v>
      </c>
      <c r="M133">
        <f t="shared" si="42"/>
        <v>0</v>
      </c>
      <c r="N133" s="29">
        <f t="shared" si="43"/>
        <v>0</v>
      </c>
      <c r="O133" s="29">
        <f t="shared" si="44"/>
        <v>0</v>
      </c>
      <c r="P133" s="29">
        <f t="shared" si="45"/>
        <v>0</v>
      </c>
      <c r="Q133">
        <f t="shared" si="46"/>
        <v>0</v>
      </c>
      <c r="R133" s="29">
        <f t="shared" si="47"/>
        <v>0</v>
      </c>
      <c r="S133" s="29">
        <f t="shared" si="48"/>
        <v>0</v>
      </c>
      <c r="T133" s="29">
        <f t="shared" si="49"/>
        <v>0</v>
      </c>
      <c r="U133">
        <f t="shared" si="50"/>
        <v>0</v>
      </c>
      <c r="V133" s="29">
        <f t="shared" si="51"/>
        <v>0</v>
      </c>
      <c r="W133" s="29">
        <f t="shared" si="52"/>
        <v>0</v>
      </c>
      <c r="X133" s="29">
        <f t="shared" si="53"/>
        <v>0</v>
      </c>
      <c r="Y133">
        <f t="shared" si="54"/>
        <v>0</v>
      </c>
    </row>
    <row r="134" spans="1:25" x14ac:dyDescent="0.25">
      <c r="A134" s="4" t="s">
        <v>913</v>
      </c>
      <c r="B134" s="7" t="s">
        <v>455</v>
      </c>
      <c r="C134" s="2" t="s">
        <v>914</v>
      </c>
      <c r="D134">
        <f>VLOOKUP(B134,'Model allocations'!$A$1:$L$317,6,FALSE)</f>
        <v>57163.873176635258</v>
      </c>
      <c r="E134" s="31">
        <f>VLOOKUP(B134,'Initial adjusted formula count'!$A$1:$P$317,12,FALSE)</f>
        <v>0.21531100478468901</v>
      </c>
      <c r="F134">
        <f>VLOOKUP(B134,'Model allocations'!$A$1:$L$317,11,FALSE)</f>
        <v>61995.491403668944</v>
      </c>
      <c r="G134" s="30">
        <f t="shared" si="55"/>
        <v>0.9</v>
      </c>
      <c r="H134">
        <f t="shared" si="56"/>
        <v>51447.485858971733</v>
      </c>
      <c r="I134">
        <f t="shared" si="38"/>
        <v>0</v>
      </c>
      <c r="J134">
        <f t="shared" si="39"/>
        <v>61995.491403668944</v>
      </c>
      <c r="K134">
        <f t="shared" si="40"/>
        <v>61959.331345417631</v>
      </c>
      <c r="L134">
        <f t="shared" si="41"/>
        <v>61959.331345417631</v>
      </c>
      <c r="M134">
        <f t="shared" si="42"/>
        <v>0</v>
      </c>
      <c r="N134" s="29">
        <f t="shared" si="43"/>
        <v>61959.331345417631</v>
      </c>
      <c r="O134" s="29">
        <f t="shared" si="44"/>
        <v>61954.614452025227</v>
      </c>
      <c r="P134" s="29">
        <f t="shared" si="45"/>
        <v>61954.614452025227</v>
      </c>
      <c r="Q134">
        <f t="shared" si="46"/>
        <v>0</v>
      </c>
      <c r="R134" s="29">
        <f t="shared" si="47"/>
        <v>61954.614452025227</v>
      </c>
      <c r="S134" s="29">
        <f t="shared" si="48"/>
        <v>61954.614452025227</v>
      </c>
      <c r="T134" s="29">
        <f t="shared" si="49"/>
        <v>61954.614452025227</v>
      </c>
      <c r="U134">
        <f t="shared" si="50"/>
        <v>0</v>
      </c>
      <c r="V134" s="29">
        <f t="shared" si="51"/>
        <v>61954.614452025227</v>
      </c>
      <c r="W134" s="29">
        <f t="shared" si="52"/>
        <v>61954.614452025227</v>
      </c>
      <c r="X134" s="29">
        <f t="shared" si="53"/>
        <v>61954.614452025227</v>
      </c>
      <c r="Y134">
        <f t="shared" si="54"/>
        <v>0</v>
      </c>
    </row>
    <row r="135" spans="1:25" x14ac:dyDescent="0.25">
      <c r="A135" s="4" t="s">
        <v>915</v>
      </c>
      <c r="B135" s="7" t="s">
        <v>161</v>
      </c>
      <c r="C135" s="2" t="s">
        <v>916</v>
      </c>
      <c r="D135">
        <f>VLOOKUP(B135,'Model allocations'!$A$1:$L$317,6,FALSE)</f>
        <v>193330.12430754534</v>
      </c>
      <c r="E135" s="31">
        <f>VLOOKUP(B135,'Initial adjusted formula count'!$A$1:$P$317,12,FALSE)</f>
        <v>8.0220032088012802E-2</v>
      </c>
      <c r="F135">
        <f>VLOOKUP(B135,'Model allocations'!$A$1:$L$317,11,FALSE)</f>
        <v>199697.04575313011</v>
      </c>
      <c r="G135" s="30">
        <f t="shared" si="55"/>
        <v>0.85</v>
      </c>
      <c r="H135">
        <f t="shared" si="56"/>
        <v>164330.60566141355</v>
      </c>
      <c r="I135">
        <f t="shared" si="38"/>
        <v>0</v>
      </c>
      <c r="J135">
        <f t="shared" si="39"/>
        <v>199697.04575313011</v>
      </c>
      <c r="K135">
        <f t="shared" si="40"/>
        <v>199580.56862481718</v>
      </c>
      <c r="L135">
        <f t="shared" si="41"/>
        <v>199580.56862481718</v>
      </c>
      <c r="M135">
        <f t="shared" si="42"/>
        <v>0</v>
      </c>
      <c r="N135" s="29">
        <f t="shared" si="43"/>
        <v>199580.56862481718</v>
      </c>
      <c r="O135" s="29">
        <f t="shared" si="44"/>
        <v>199565.37478322859</v>
      </c>
      <c r="P135" s="29">
        <f t="shared" si="45"/>
        <v>199565.37478322859</v>
      </c>
      <c r="Q135">
        <f t="shared" si="46"/>
        <v>0</v>
      </c>
      <c r="R135" s="29">
        <f t="shared" si="47"/>
        <v>199565.37478322859</v>
      </c>
      <c r="S135" s="29">
        <f t="shared" si="48"/>
        <v>199565.37478322859</v>
      </c>
      <c r="T135" s="29">
        <f t="shared" si="49"/>
        <v>199565.37478322859</v>
      </c>
      <c r="U135">
        <f t="shared" si="50"/>
        <v>0</v>
      </c>
      <c r="V135" s="29">
        <f t="shared" si="51"/>
        <v>199565.37478322859</v>
      </c>
      <c r="W135" s="29">
        <f t="shared" si="52"/>
        <v>199565.37478322859</v>
      </c>
      <c r="X135" s="29">
        <f t="shared" si="53"/>
        <v>199565.37478322859</v>
      </c>
      <c r="Y135">
        <f t="shared" si="54"/>
        <v>0</v>
      </c>
    </row>
    <row r="136" spans="1:25" x14ac:dyDescent="0.25">
      <c r="A136" s="4" t="s">
        <v>917</v>
      </c>
      <c r="B136" s="7" t="s">
        <v>457</v>
      </c>
      <c r="C136" s="2" t="s">
        <v>918</v>
      </c>
      <c r="D136">
        <f>VLOOKUP(B136,'Model allocations'!$A$1:$L$317,6,FALSE)</f>
        <v>146990.77471667511</v>
      </c>
      <c r="E136" s="31">
        <f>VLOOKUP(B136,'Initial adjusted formula count'!$A$1:$P$317,12,FALSE)</f>
        <v>0.15584415584415601</v>
      </c>
      <c r="F136">
        <f>VLOOKUP(B136,'Model allocations'!$A$1:$L$317,11,FALSE)</f>
        <v>132291.69724500761</v>
      </c>
      <c r="G136" s="30">
        <f t="shared" si="55"/>
        <v>0.9</v>
      </c>
      <c r="H136">
        <f t="shared" si="56"/>
        <v>132291.69724500761</v>
      </c>
      <c r="I136">
        <f t="shared" si="38"/>
        <v>0</v>
      </c>
      <c r="J136">
        <f t="shared" si="39"/>
        <v>132291.69724500761</v>
      </c>
      <c r="K136">
        <f t="shared" si="40"/>
        <v>132214.53557775999</v>
      </c>
      <c r="L136">
        <f t="shared" si="41"/>
        <v>132214.53557775999</v>
      </c>
      <c r="M136">
        <f t="shared" si="42"/>
        <v>132291.69724500761</v>
      </c>
      <c r="N136" s="29">
        <f t="shared" si="43"/>
        <v>0</v>
      </c>
      <c r="O136" s="29">
        <f t="shared" si="44"/>
        <v>0</v>
      </c>
      <c r="P136" s="29">
        <f t="shared" si="45"/>
        <v>132291.69724500761</v>
      </c>
      <c r="Q136">
        <f t="shared" si="46"/>
        <v>0</v>
      </c>
      <c r="R136" s="29">
        <f t="shared" si="47"/>
        <v>0</v>
      </c>
      <c r="S136" s="29">
        <f t="shared" si="48"/>
        <v>0</v>
      </c>
      <c r="T136" s="29">
        <f t="shared" si="49"/>
        <v>132291.69724500761</v>
      </c>
      <c r="U136">
        <f t="shared" si="50"/>
        <v>0</v>
      </c>
      <c r="V136" s="29">
        <f t="shared" si="51"/>
        <v>0</v>
      </c>
      <c r="W136" s="29">
        <f t="shared" si="52"/>
        <v>0</v>
      </c>
      <c r="X136" s="29">
        <f t="shared" si="53"/>
        <v>132291.69724500761</v>
      </c>
      <c r="Y136">
        <f t="shared" si="54"/>
        <v>0</v>
      </c>
    </row>
    <row r="137" spans="1:25" x14ac:dyDescent="0.25">
      <c r="A137" s="4" t="s">
        <v>919</v>
      </c>
      <c r="B137" s="7" t="s">
        <v>459</v>
      </c>
      <c r="C137" s="2" t="s">
        <v>920</v>
      </c>
      <c r="D137">
        <f>VLOOKUP(B137,'Model allocations'!$A$1:$L$317,6,FALSE)</f>
        <v>20942.526331187182</v>
      </c>
      <c r="E137" s="31">
        <f>VLOOKUP(B137,'Initial adjusted formula count'!$A$1:$P$317,12,FALSE)</f>
        <v>0.127906976744186</v>
      </c>
      <c r="F137">
        <f>VLOOKUP(B137,'Model allocations'!$A$1:$L$317,11,FALSE)</f>
        <v>17801.147381509105</v>
      </c>
      <c r="G137" s="30">
        <f t="shared" si="55"/>
        <v>0.85</v>
      </c>
      <c r="H137">
        <f t="shared" si="56"/>
        <v>17801.147381509105</v>
      </c>
      <c r="I137">
        <f t="shared" si="38"/>
        <v>0</v>
      </c>
      <c r="J137">
        <f t="shared" si="39"/>
        <v>17801.147381509105</v>
      </c>
      <c r="K137">
        <f t="shared" si="40"/>
        <v>17790.764521212634</v>
      </c>
      <c r="L137">
        <f t="shared" si="41"/>
        <v>17790.764521212634</v>
      </c>
      <c r="M137">
        <f t="shared" si="42"/>
        <v>17801.147381509105</v>
      </c>
      <c r="N137" s="29">
        <f t="shared" si="43"/>
        <v>0</v>
      </c>
      <c r="O137" s="29">
        <f t="shared" si="44"/>
        <v>0</v>
      </c>
      <c r="P137" s="29">
        <f t="shared" si="45"/>
        <v>17801.147381509105</v>
      </c>
      <c r="Q137">
        <f t="shared" si="46"/>
        <v>0</v>
      </c>
      <c r="R137" s="29">
        <f t="shared" si="47"/>
        <v>0</v>
      </c>
      <c r="S137" s="29">
        <f t="shared" si="48"/>
        <v>0</v>
      </c>
      <c r="T137" s="29">
        <f t="shared" si="49"/>
        <v>17801.147381509105</v>
      </c>
      <c r="U137">
        <f t="shared" si="50"/>
        <v>0</v>
      </c>
      <c r="V137" s="29">
        <f t="shared" si="51"/>
        <v>0</v>
      </c>
      <c r="W137" s="29">
        <f t="shared" si="52"/>
        <v>0</v>
      </c>
      <c r="X137" s="29">
        <f t="shared" si="53"/>
        <v>17801.147381509105</v>
      </c>
      <c r="Y137">
        <f t="shared" si="54"/>
        <v>0</v>
      </c>
    </row>
    <row r="138" spans="1:25" x14ac:dyDescent="0.25">
      <c r="A138" s="4" t="s">
        <v>921</v>
      </c>
      <c r="B138" s="7" t="s">
        <v>284</v>
      </c>
      <c r="C138" s="2" t="s">
        <v>922</v>
      </c>
      <c r="D138">
        <f>VLOOKUP(B138,'Model allocations'!$A$1:$L$317,6,FALSE)</f>
        <v>78540.397905578109</v>
      </c>
      <c r="E138" s="31">
        <f>VLOOKUP(B138,'Initial adjusted formula count'!$A$1:$P$317,12,FALSE)</f>
        <v>0.167752442996743</v>
      </c>
      <c r="F138">
        <f>VLOOKUP(B138,'Model allocations'!$A$1:$L$317,11,FALSE)</f>
        <v>70686.358115020295</v>
      </c>
      <c r="G138" s="30">
        <f t="shared" si="55"/>
        <v>0.9</v>
      </c>
      <c r="H138">
        <f t="shared" si="56"/>
        <v>70686.358115020295</v>
      </c>
      <c r="I138">
        <f t="shared" si="38"/>
        <v>0</v>
      </c>
      <c r="J138">
        <f t="shared" si="39"/>
        <v>70686.358115020295</v>
      </c>
      <c r="K138">
        <f t="shared" si="40"/>
        <v>70645.128942234674</v>
      </c>
      <c r="L138">
        <f t="shared" si="41"/>
        <v>70645.128942234674</v>
      </c>
      <c r="M138">
        <f t="shared" si="42"/>
        <v>70686.358115020295</v>
      </c>
      <c r="N138" s="29">
        <f t="shared" si="43"/>
        <v>0</v>
      </c>
      <c r="O138" s="29">
        <f t="shared" si="44"/>
        <v>0</v>
      </c>
      <c r="P138" s="29">
        <f t="shared" si="45"/>
        <v>70686.358115020295</v>
      </c>
      <c r="Q138">
        <f t="shared" si="46"/>
        <v>0</v>
      </c>
      <c r="R138" s="29">
        <f t="shared" si="47"/>
        <v>0</v>
      </c>
      <c r="S138" s="29">
        <f t="shared" si="48"/>
        <v>0</v>
      </c>
      <c r="T138" s="29">
        <f t="shared" si="49"/>
        <v>70686.358115020295</v>
      </c>
      <c r="U138">
        <f t="shared" si="50"/>
        <v>0</v>
      </c>
      <c r="V138" s="29">
        <f t="shared" si="51"/>
        <v>0</v>
      </c>
      <c r="W138" s="29">
        <f t="shared" si="52"/>
        <v>0</v>
      </c>
      <c r="X138" s="29">
        <f t="shared" si="53"/>
        <v>70686.358115020295</v>
      </c>
      <c r="Y138">
        <f t="shared" si="54"/>
        <v>0</v>
      </c>
    </row>
    <row r="139" spans="1:25" x14ac:dyDescent="0.25">
      <c r="A139" s="4" t="s">
        <v>923</v>
      </c>
      <c r="B139" s="7" t="s">
        <v>461</v>
      </c>
      <c r="C139" s="2" t="s">
        <v>924</v>
      </c>
      <c r="D139">
        <f>VLOOKUP(B139,'Model allocations'!$A$1:$L$317,6,FALSE)</f>
        <v>29681.44419948291</v>
      </c>
      <c r="E139" s="31">
        <f>VLOOKUP(B139,'Initial adjusted formula count'!$A$1:$P$317,12,FALSE)</f>
        <v>0.120192307692308</v>
      </c>
      <c r="F139">
        <f>VLOOKUP(B139,'Model allocations'!$A$1:$L$317,11,FALSE)</f>
        <v>25229.227569560473</v>
      </c>
      <c r="G139" s="30">
        <f t="shared" si="55"/>
        <v>0.85</v>
      </c>
      <c r="H139">
        <f t="shared" si="56"/>
        <v>25229.227569560473</v>
      </c>
      <c r="I139">
        <f t="shared" si="38"/>
        <v>0</v>
      </c>
      <c r="J139">
        <f t="shared" si="39"/>
        <v>25229.227569560473</v>
      </c>
      <c r="K139">
        <f t="shared" si="40"/>
        <v>25214.51213916553</v>
      </c>
      <c r="L139">
        <f t="shared" si="41"/>
        <v>25214.51213916553</v>
      </c>
      <c r="M139">
        <f t="shared" si="42"/>
        <v>25229.227569560473</v>
      </c>
      <c r="N139" s="29">
        <f t="shared" si="43"/>
        <v>0</v>
      </c>
      <c r="O139" s="29">
        <f t="shared" si="44"/>
        <v>0</v>
      </c>
      <c r="P139" s="29">
        <f t="shared" si="45"/>
        <v>25229.227569560473</v>
      </c>
      <c r="Q139">
        <f t="shared" si="46"/>
        <v>0</v>
      </c>
      <c r="R139" s="29">
        <f t="shared" si="47"/>
        <v>0</v>
      </c>
      <c r="S139" s="29">
        <f t="shared" si="48"/>
        <v>0</v>
      </c>
      <c r="T139" s="29">
        <f t="shared" si="49"/>
        <v>25229.227569560473</v>
      </c>
      <c r="U139">
        <f t="shared" si="50"/>
        <v>0</v>
      </c>
      <c r="V139" s="29">
        <f t="shared" si="51"/>
        <v>0</v>
      </c>
      <c r="W139" s="29">
        <f t="shared" si="52"/>
        <v>0</v>
      </c>
      <c r="X139" s="29">
        <f t="shared" si="53"/>
        <v>25229.227569560473</v>
      </c>
      <c r="Y139">
        <f t="shared" si="54"/>
        <v>0</v>
      </c>
    </row>
    <row r="140" spans="1:25" x14ac:dyDescent="0.25">
      <c r="A140" s="4" t="s">
        <v>925</v>
      </c>
      <c r="B140" s="7" t="s">
        <v>463</v>
      </c>
      <c r="C140" s="2" t="s">
        <v>926</v>
      </c>
      <c r="D140">
        <f>VLOOKUP(B140,'Model allocations'!$A$1:$L$317,6,FALSE)</f>
        <v>104137.97606815456</v>
      </c>
      <c r="E140" s="31">
        <f>VLOOKUP(B140,'Initial adjusted formula count'!$A$1:$P$317,12,FALSE)</f>
        <v>0.18012422360248401</v>
      </c>
      <c r="F140">
        <f>VLOOKUP(B140,'Model allocations'!$A$1:$L$317,11,FALSE)</f>
        <v>93724.178461339106</v>
      </c>
      <c r="G140" s="30">
        <f t="shared" si="55"/>
        <v>0.9</v>
      </c>
      <c r="H140">
        <f t="shared" si="56"/>
        <v>93724.178461339106</v>
      </c>
      <c r="I140">
        <f t="shared" si="38"/>
        <v>0</v>
      </c>
      <c r="J140">
        <f t="shared" si="39"/>
        <v>93724.178461339106</v>
      </c>
      <c r="K140">
        <f t="shared" si="40"/>
        <v>93669.512038410845</v>
      </c>
      <c r="L140">
        <f t="shared" si="41"/>
        <v>93669.512038410845</v>
      </c>
      <c r="M140">
        <f t="shared" si="42"/>
        <v>93724.178461339106</v>
      </c>
      <c r="N140" s="29">
        <f t="shared" si="43"/>
        <v>0</v>
      </c>
      <c r="O140" s="29">
        <f t="shared" si="44"/>
        <v>0</v>
      </c>
      <c r="P140" s="29">
        <f t="shared" si="45"/>
        <v>93724.178461339106</v>
      </c>
      <c r="Q140">
        <f t="shared" si="46"/>
        <v>0</v>
      </c>
      <c r="R140" s="29">
        <f t="shared" si="47"/>
        <v>0</v>
      </c>
      <c r="S140" s="29">
        <f t="shared" si="48"/>
        <v>0</v>
      </c>
      <c r="T140" s="29">
        <f t="shared" si="49"/>
        <v>93724.178461339106</v>
      </c>
      <c r="U140">
        <f t="shared" si="50"/>
        <v>0</v>
      </c>
      <c r="V140" s="29">
        <f t="shared" si="51"/>
        <v>0</v>
      </c>
      <c r="W140" s="29">
        <f t="shared" si="52"/>
        <v>0</v>
      </c>
      <c r="X140" s="29">
        <f t="shared" si="53"/>
        <v>93724.178461339106</v>
      </c>
      <c r="Y140">
        <f t="shared" si="54"/>
        <v>0</v>
      </c>
    </row>
    <row r="141" spans="1:25" x14ac:dyDescent="0.25">
      <c r="A141" s="4" t="s">
        <v>927</v>
      </c>
      <c r="B141" s="7" t="s">
        <v>163</v>
      </c>
      <c r="C141" s="2" t="s">
        <v>928</v>
      </c>
      <c r="D141">
        <f>VLOOKUP(B141,'Model allocations'!$A$1:$L$317,6,FALSE)</f>
        <v>1081612.1107422076</v>
      </c>
      <c r="E141" s="31">
        <f>VLOOKUP(B141,'Initial adjusted formula count'!$A$1:$P$317,12,FALSE)</f>
        <v>0.114197530864198</v>
      </c>
      <c r="F141">
        <f>VLOOKUP(B141,'Model allocations'!$A$1:$L$317,11,FALSE)</f>
        <v>1037854.0749284106</v>
      </c>
      <c r="G141" s="30">
        <f t="shared" si="55"/>
        <v>0.85</v>
      </c>
      <c r="H141">
        <f t="shared" si="56"/>
        <v>919370.29413087643</v>
      </c>
      <c r="I141">
        <f t="shared" si="38"/>
        <v>0</v>
      </c>
      <c r="J141">
        <f t="shared" si="39"/>
        <v>1037854.0749284106</v>
      </c>
      <c r="K141">
        <f t="shared" si="40"/>
        <v>1037248.7266529786</v>
      </c>
      <c r="L141">
        <f t="shared" si="41"/>
        <v>1037248.7266529786</v>
      </c>
      <c r="M141">
        <f t="shared" si="42"/>
        <v>0</v>
      </c>
      <c r="N141" s="29">
        <f t="shared" si="43"/>
        <v>1037248.7266529786</v>
      </c>
      <c r="O141" s="29">
        <f t="shared" si="44"/>
        <v>1037169.7620876939</v>
      </c>
      <c r="P141" s="29">
        <f t="shared" si="45"/>
        <v>1037169.7620876939</v>
      </c>
      <c r="Q141">
        <f t="shared" si="46"/>
        <v>0</v>
      </c>
      <c r="R141" s="29">
        <f t="shared" si="47"/>
        <v>1037169.7620876939</v>
      </c>
      <c r="S141" s="29">
        <f t="shared" si="48"/>
        <v>1037169.7620876939</v>
      </c>
      <c r="T141" s="29">
        <f t="shared" si="49"/>
        <v>1037169.7620876939</v>
      </c>
      <c r="U141">
        <f t="shared" si="50"/>
        <v>0</v>
      </c>
      <c r="V141" s="29">
        <f t="shared" si="51"/>
        <v>1037169.7620876939</v>
      </c>
      <c r="W141" s="29">
        <f t="shared" si="52"/>
        <v>1037169.7620876939</v>
      </c>
      <c r="X141" s="29">
        <f t="shared" si="53"/>
        <v>1037169.7620876939</v>
      </c>
      <c r="Y141">
        <f t="shared" si="54"/>
        <v>0</v>
      </c>
    </row>
    <row r="142" spans="1:25" x14ac:dyDescent="0.25">
      <c r="A142" s="4" t="s">
        <v>929</v>
      </c>
      <c r="B142" s="7" t="s">
        <v>465</v>
      </c>
      <c r="C142" s="2" t="s">
        <v>930</v>
      </c>
      <c r="D142">
        <f>VLOOKUP(B142,'Model allocations'!$A$1:$L$317,6,FALSE)</f>
        <v>42427.253297942247</v>
      </c>
      <c r="E142" s="31">
        <f>VLOOKUP(B142,'Initial adjusted formula count'!$A$1:$P$317,12,FALSE)</f>
        <v>8.2024432809773104E-2</v>
      </c>
      <c r="F142">
        <f>VLOOKUP(B142,'Model allocations'!$A$1:$L$317,11,FALSE)</f>
        <v>36063.165303250906</v>
      </c>
      <c r="G142" s="30">
        <f t="shared" si="55"/>
        <v>0.85</v>
      </c>
      <c r="H142">
        <f t="shared" si="56"/>
        <v>36063.165303250906</v>
      </c>
      <c r="I142">
        <f t="shared" si="38"/>
        <v>0</v>
      </c>
      <c r="J142">
        <f t="shared" si="39"/>
        <v>36063.165303250906</v>
      </c>
      <c r="K142">
        <f t="shared" si="40"/>
        <v>36042.130771084667</v>
      </c>
      <c r="L142">
        <f t="shared" si="41"/>
        <v>36042.130771084667</v>
      </c>
      <c r="M142">
        <f t="shared" si="42"/>
        <v>36063.165303250906</v>
      </c>
      <c r="N142" s="29">
        <f t="shared" si="43"/>
        <v>0</v>
      </c>
      <c r="O142" s="29">
        <f t="shared" si="44"/>
        <v>0</v>
      </c>
      <c r="P142" s="29">
        <f t="shared" si="45"/>
        <v>36063.165303250906</v>
      </c>
      <c r="Q142">
        <f t="shared" si="46"/>
        <v>0</v>
      </c>
      <c r="R142" s="29">
        <f t="shared" si="47"/>
        <v>0</v>
      </c>
      <c r="S142" s="29">
        <f t="shared" si="48"/>
        <v>0</v>
      </c>
      <c r="T142" s="29">
        <f t="shared" si="49"/>
        <v>36063.165303250906</v>
      </c>
      <c r="U142">
        <f t="shared" si="50"/>
        <v>0</v>
      </c>
      <c r="V142" s="29">
        <f t="shared" si="51"/>
        <v>0</v>
      </c>
      <c r="W142" s="29">
        <f t="shared" si="52"/>
        <v>0</v>
      </c>
      <c r="X142" s="29">
        <f t="shared" si="53"/>
        <v>36063.165303250906</v>
      </c>
      <c r="Y142">
        <f t="shared" si="54"/>
        <v>0</v>
      </c>
    </row>
    <row r="143" spans="1:25" x14ac:dyDescent="0.25">
      <c r="A143" s="4" t="s">
        <v>931</v>
      </c>
      <c r="B143" s="7" t="s">
        <v>165</v>
      </c>
      <c r="C143" s="2" t="s">
        <v>932</v>
      </c>
      <c r="D143">
        <f>VLOOKUP(B143,'Model allocations'!$A$1:$L$317,6,FALSE)</f>
        <v>680250.2945436741</v>
      </c>
      <c r="E143" s="31">
        <f>VLOOKUP(B143,'Initial adjusted formula count'!$A$1:$P$317,12,FALSE)</f>
        <v>7.4355584930601404E-2</v>
      </c>
      <c r="F143">
        <f>VLOOKUP(B143,'Model allocations'!$A$1:$L$317,11,FALSE)</f>
        <v>578212.75036212301</v>
      </c>
      <c r="G143" s="30">
        <f t="shared" si="55"/>
        <v>0.85</v>
      </c>
      <c r="H143">
        <f t="shared" si="56"/>
        <v>578212.75036212301</v>
      </c>
      <c r="I143">
        <f t="shared" si="38"/>
        <v>0</v>
      </c>
      <c r="J143">
        <f t="shared" si="39"/>
        <v>578212.75036212301</v>
      </c>
      <c r="K143">
        <f t="shared" si="40"/>
        <v>577875.49669639103</v>
      </c>
      <c r="L143">
        <f t="shared" si="41"/>
        <v>577875.49669639103</v>
      </c>
      <c r="M143">
        <f t="shared" si="42"/>
        <v>578212.75036212301</v>
      </c>
      <c r="N143" s="29">
        <f t="shared" si="43"/>
        <v>0</v>
      </c>
      <c r="O143" s="29">
        <f t="shared" si="44"/>
        <v>0</v>
      </c>
      <c r="P143" s="29">
        <f t="shared" si="45"/>
        <v>578212.75036212301</v>
      </c>
      <c r="Q143">
        <f t="shared" si="46"/>
        <v>0</v>
      </c>
      <c r="R143" s="29">
        <f t="shared" si="47"/>
        <v>0</v>
      </c>
      <c r="S143" s="29">
        <f t="shared" si="48"/>
        <v>0</v>
      </c>
      <c r="T143" s="29">
        <f t="shared" si="49"/>
        <v>578212.75036212301</v>
      </c>
      <c r="U143">
        <f t="shared" si="50"/>
        <v>0</v>
      </c>
      <c r="V143" s="29">
        <f t="shared" si="51"/>
        <v>0</v>
      </c>
      <c r="W143" s="29">
        <f t="shared" si="52"/>
        <v>0</v>
      </c>
      <c r="X143" s="29">
        <f t="shared" si="53"/>
        <v>578212.75036212301</v>
      </c>
      <c r="Y143">
        <f t="shared" si="54"/>
        <v>0</v>
      </c>
    </row>
    <row r="144" spans="1:25" x14ac:dyDescent="0.25">
      <c r="A144" s="4" t="s">
        <v>933</v>
      </c>
      <c r="B144" s="7" t="s">
        <v>167</v>
      </c>
      <c r="C144" s="2" t="s">
        <v>934</v>
      </c>
      <c r="D144">
        <f>VLOOKUP(B144,'Model allocations'!$A$1:$L$317,6,FALSE)</f>
        <v>118796.30923423827</v>
      </c>
      <c r="E144" s="31">
        <f>VLOOKUP(B144,'Initial adjusted formula count'!$A$1:$P$317,12,FALSE)</f>
        <v>9.3715545755236995E-2</v>
      </c>
      <c r="F144">
        <f>VLOOKUP(B144,'Model allocations'!$A$1:$L$317,11,FALSE)</f>
        <v>100976.86284910253</v>
      </c>
      <c r="G144" s="30">
        <f t="shared" si="55"/>
        <v>0.85</v>
      </c>
      <c r="H144">
        <f t="shared" si="56"/>
        <v>100976.86284910253</v>
      </c>
      <c r="I144">
        <f t="shared" si="38"/>
        <v>0</v>
      </c>
      <c r="J144">
        <f t="shared" si="39"/>
        <v>100976.86284910253</v>
      </c>
      <c r="K144">
        <f t="shared" si="40"/>
        <v>100917.96615903707</v>
      </c>
      <c r="L144">
        <f t="shared" si="41"/>
        <v>100917.96615903707</v>
      </c>
      <c r="M144">
        <f t="shared" si="42"/>
        <v>100976.86284910253</v>
      </c>
      <c r="N144" s="29">
        <f t="shared" si="43"/>
        <v>0</v>
      </c>
      <c r="O144" s="29">
        <f t="shared" si="44"/>
        <v>0</v>
      </c>
      <c r="P144" s="29">
        <f t="shared" si="45"/>
        <v>100976.86284910253</v>
      </c>
      <c r="Q144">
        <f t="shared" si="46"/>
        <v>0</v>
      </c>
      <c r="R144" s="29">
        <f t="shared" si="47"/>
        <v>0</v>
      </c>
      <c r="S144" s="29">
        <f t="shared" si="48"/>
        <v>0</v>
      </c>
      <c r="T144" s="29">
        <f t="shared" si="49"/>
        <v>100976.86284910253</v>
      </c>
      <c r="U144">
        <f t="shared" si="50"/>
        <v>0</v>
      </c>
      <c r="V144" s="29">
        <f t="shared" si="51"/>
        <v>0</v>
      </c>
      <c r="W144" s="29">
        <f t="shared" si="52"/>
        <v>0</v>
      </c>
      <c r="X144" s="29">
        <f t="shared" si="53"/>
        <v>100976.86284910253</v>
      </c>
      <c r="Y144">
        <f t="shared" si="54"/>
        <v>0</v>
      </c>
    </row>
    <row r="145" spans="1:25" x14ac:dyDescent="0.25">
      <c r="A145" s="4" t="s">
        <v>935</v>
      </c>
      <c r="B145" s="7" t="s">
        <v>169</v>
      </c>
      <c r="C145" s="2" t="s">
        <v>936</v>
      </c>
      <c r="D145">
        <f>VLOOKUP(B145,'Model allocations'!$A$1:$L$317,6,FALSE)</f>
        <v>0</v>
      </c>
      <c r="E145" s="31">
        <f>VLOOKUP(B145,'Initial adjusted formula count'!$A$1:$P$317,12,FALSE)</f>
        <v>3.06122448979592E-2</v>
      </c>
      <c r="F145">
        <f>VLOOKUP(B145,'Model allocations'!$A$1:$L$317,11,FALSE)</f>
        <v>0</v>
      </c>
      <c r="G145" s="30">
        <f t="shared" si="55"/>
        <v>0.85</v>
      </c>
      <c r="H145">
        <f t="shared" si="5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1"/>
        <v>0</v>
      </c>
      <c r="M145">
        <f t="shared" si="42"/>
        <v>0</v>
      </c>
      <c r="N145" s="29">
        <f t="shared" si="43"/>
        <v>0</v>
      </c>
      <c r="O145" s="29">
        <f t="shared" si="44"/>
        <v>0</v>
      </c>
      <c r="P145" s="29">
        <f t="shared" si="45"/>
        <v>0</v>
      </c>
      <c r="Q145">
        <f t="shared" si="46"/>
        <v>0</v>
      </c>
      <c r="R145" s="29">
        <f t="shared" si="47"/>
        <v>0</v>
      </c>
      <c r="S145" s="29">
        <f t="shared" si="48"/>
        <v>0</v>
      </c>
      <c r="T145" s="29">
        <f t="shared" si="49"/>
        <v>0</v>
      </c>
      <c r="U145">
        <f t="shared" si="50"/>
        <v>0</v>
      </c>
      <c r="V145" s="29">
        <f t="shared" si="51"/>
        <v>0</v>
      </c>
      <c r="W145" s="29">
        <f t="shared" si="52"/>
        <v>0</v>
      </c>
      <c r="X145" s="29">
        <f t="shared" si="53"/>
        <v>0</v>
      </c>
      <c r="Y145">
        <f t="shared" si="54"/>
        <v>0</v>
      </c>
    </row>
    <row r="146" spans="1:25" x14ac:dyDescent="0.25">
      <c r="A146" s="4" t="s">
        <v>937</v>
      </c>
      <c r="B146" s="7" t="s">
        <v>171</v>
      </c>
      <c r="C146" s="2" t="s">
        <v>938</v>
      </c>
      <c r="D146">
        <f>VLOOKUP(B146,'Model allocations'!$A$1:$L$317,6,FALSE)</f>
        <v>117664.91581295978</v>
      </c>
      <c r="E146" s="31">
        <f>VLOOKUP(B146,'Initial adjusted formula count'!$A$1:$P$317,12,FALSE)</f>
        <v>0.12697483908718499</v>
      </c>
      <c r="F146">
        <f>VLOOKUP(B146,'Model allocations'!$A$1:$L$317,11,FALSE)</f>
        <v>123812.16836694066</v>
      </c>
      <c r="G146" s="30">
        <f t="shared" si="55"/>
        <v>0.85</v>
      </c>
      <c r="H146">
        <f t="shared" si="56"/>
        <v>100015.17844101581</v>
      </c>
      <c r="I146">
        <f t="shared" si="38"/>
        <v>0</v>
      </c>
      <c r="J146">
        <f t="shared" si="39"/>
        <v>123812.16836694066</v>
      </c>
      <c r="K146">
        <f t="shared" si="40"/>
        <v>123739.95254738665</v>
      </c>
      <c r="L146">
        <f t="shared" si="41"/>
        <v>123739.95254738665</v>
      </c>
      <c r="M146">
        <f t="shared" si="42"/>
        <v>0</v>
      </c>
      <c r="N146" s="29">
        <f t="shared" si="43"/>
        <v>123739.95254738665</v>
      </c>
      <c r="O146" s="29">
        <f t="shared" si="44"/>
        <v>123730.53236560173</v>
      </c>
      <c r="P146" s="29">
        <f t="shared" si="45"/>
        <v>123730.53236560173</v>
      </c>
      <c r="Q146">
        <f t="shared" si="46"/>
        <v>0</v>
      </c>
      <c r="R146" s="29">
        <f t="shared" si="47"/>
        <v>123730.53236560173</v>
      </c>
      <c r="S146" s="29">
        <f t="shared" si="48"/>
        <v>123730.53236560173</v>
      </c>
      <c r="T146" s="29">
        <f t="shared" si="49"/>
        <v>123730.53236560173</v>
      </c>
      <c r="U146">
        <f t="shared" si="50"/>
        <v>0</v>
      </c>
      <c r="V146" s="29">
        <f t="shared" si="51"/>
        <v>123730.53236560173</v>
      </c>
      <c r="W146" s="29">
        <f t="shared" si="52"/>
        <v>123730.53236560173</v>
      </c>
      <c r="X146" s="29">
        <f t="shared" si="53"/>
        <v>123730.53236560173</v>
      </c>
      <c r="Y146">
        <f t="shared" si="54"/>
        <v>0</v>
      </c>
    </row>
    <row r="147" spans="1:25" x14ac:dyDescent="0.25">
      <c r="A147" s="4" t="s">
        <v>939</v>
      </c>
      <c r="B147" s="7" t="s">
        <v>467</v>
      </c>
      <c r="C147" s="2" t="s">
        <v>940</v>
      </c>
      <c r="D147">
        <f>VLOOKUP(B147,'Model allocations'!$A$1:$L$317,6,FALSE)</f>
        <v>46491.291797766848</v>
      </c>
      <c r="E147" s="31">
        <f>VLOOKUP(B147,'Initial adjusted formula count'!$A$1:$P$317,12,FALSE)</f>
        <v>0.154121863799283</v>
      </c>
      <c r="F147">
        <f>VLOOKUP(B147,'Model allocations'!$A$1:$L$317,11,FALSE)</f>
        <v>73602.625434725094</v>
      </c>
      <c r="G147" s="30">
        <f t="shared" si="55"/>
        <v>0.9</v>
      </c>
      <c r="H147">
        <f t="shared" si="56"/>
        <v>41842.162617990165</v>
      </c>
      <c r="I147">
        <f t="shared" si="38"/>
        <v>0</v>
      </c>
      <c r="J147">
        <f t="shared" si="39"/>
        <v>73602.625434725094</v>
      </c>
      <c r="K147">
        <f t="shared" si="40"/>
        <v>73559.695293146899</v>
      </c>
      <c r="L147">
        <f t="shared" si="41"/>
        <v>73559.695293146899</v>
      </c>
      <c r="M147">
        <f t="shared" si="42"/>
        <v>0</v>
      </c>
      <c r="N147" s="29">
        <f t="shared" si="43"/>
        <v>73559.695293146899</v>
      </c>
      <c r="O147" s="29">
        <f t="shared" si="44"/>
        <v>73554.095277247106</v>
      </c>
      <c r="P147" s="29">
        <f t="shared" si="45"/>
        <v>73554.095277247106</v>
      </c>
      <c r="Q147">
        <f t="shared" si="46"/>
        <v>0</v>
      </c>
      <c r="R147" s="29">
        <f t="shared" si="47"/>
        <v>73554.095277247106</v>
      </c>
      <c r="S147" s="29">
        <f t="shared" si="48"/>
        <v>73554.095277247106</v>
      </c>
      <c r="T147" s="29">
        <f t="shared" si="49"/>
        <v>73554.095277247106</v>
      </c>
      <c r="U147">
        <f t="shared" si="50"/>
        <v>0</v>
      </c>
      <c r="V147" s="29">
        <f t="shared" si="51"/>
        <v>73554.095277247106</v>
      </c>
      <c r="W147" s="29">
        <f t="shared" si="52"/>
        <v>73554.095277247106</v>
      </c>
      <c r="X147" s="29">
        <f t="shared" si="53"/>
        <v>73554.095277247106</v>
      </c>
      <c r="Y147">
        <f t="shared" si="54"/>
        <v>0</v>
      </c>
    </row>
    <row r="148" spans="1:25" x14ac:dyDescent="0.25">
      <c r="A148" s="4" t="s">
        <v>941</v>
      </c>
      <c r="B148" s="7" t="s">
        <v>469</v>
      </c>
      <c r="C148" s="2" t="s">
        <v>942</v>
      </c>
      <c r="D148">
        <f>VLOOKUP(B148,'Model allocations'!$A$1:$L$317,6,FALSE)</f>
        <v>13623.136470449468</v>
      </c>
      <c r="E148" s="31">
        <f>VLOOKUP(B148,'Initial adjusted formula count'!$A$1:$P$317,12,FALSE)</f>
        <v>0.17808219178082199</v>
      </c>
      <c r="F148">
        <f>VLOOKUP(B148,'Model allocations'!$A$1:$L$317,11,FALSE)</f>
        <v>12260.822823404522</v>
      </c>
      <c r="G148" s="30">
        <f t="shared" si="55"/>
        <v>0.9</v>
      </c>
      <c r="H148">
        <f t="shared" si="56"/>
        <v>12260.822823404522</v>
      </c>
      <c r="I148">
        <f t="shared" si="38"/>
        <v>0</v>
      </c>
      <c r="J148">
        <f t="shared" si="39"/>
        <v>12260.822823404522</v>
      </c>
      <c r="K148">
        <f t="shared" si="40"/>
        <v>12253.671463564231</v>
      </c>
      <c r="L148">
        <f t="shared" si="41"/>
        <v>12253.671463564231</v>
      </c>
      <c r="M148">
        <f t="shared" si="42"/>
        <v>12260.822823404522</v>
      </c>
      <c r="N148" s="29">
        <f t="shared" si="43"/>
        <v>0</v>
      </c>
      <c r="O148" s="29">
        <f t="shared" si="44"/>
        <v>0</v>
      </c>
      <c r="P148" s="29">
        <f t="shared" si="45"/>
        <v>12260.822823404522</v>
      </c>
      <c r="Q148">
        <f t="shared" si="46"/>
        <v>0</v>
      </c>
      <c r="R148" s="29">
        <f t="shared" si="47"/>
        <v>0</v>
      </c>
      <c r="S148" s="29">
        <f t="shared" si="48"/>
        <v>0</v>
      </c>
      <c r="T148" s="29">
        <f t="shared" si="49"/>
        <v>12260.822823404522</v>
      </c>
      <c r="U148">
        <f t="shared" si="50"/>
        <v>0</v>
      </c>
      <c r="V148" s="29">
        <f t="shared" si="51"/>
        <v>0</v>
      </c>
      <c r="W148" s="29">
        <f t="shared" si="52"/>
        <v>0</v>
      </c>
      <c r="X148" s="29">
        <f t="shared" si="53"/>
        <v>12260.822823404522</v>
      </c>
      <c r="Y148">
        <f t="shared" si="54"/>
        <v>0</v>
      </c>
    </row>
    <row r="149" spans="1:25" x14ac:dyDescent="0.25">
      <c r="A149" s="4" t="s">
        <v>943</v>
      </c>
      <c r="B149" s="7" t="s">
        <v>173</v>
      </c>
      <c r="C149" s="2" t="s">
        <v>944</v>
      </c>
      <c r="D149">
        <f>VLOOKUP(B149,'Model allocations'!$A$1:$L$317,6,FALSE)</f>
        <v>246078.06912806502</v>
      </c>
      <c r="E149" s="31">
        <f>VLOOKUP(B149,'Initial adjusted formula count'!$A$1:$P$317,12,FALSE)</f>
        <v>6.8399044205495793E-2</v>
      </c>
      <c r="F149">
        <f>VLOOKUP(B149,'Model allocations'!$A$1:$L$317,11,FALSE)</f>
        <v>261317.84844266743</v>
      </c>
      <c r="G149" s="30">
        <f t="shared" si="55"/>
        <v>0.85</v>
      </c>
      <c r="H149">
        <f t="shared" si="56"/>
        <v>209166.35875885526</v>
      </c>
      <c r="I149">
        <f t="shared" si="38"/>
        <v>0</v>
      </c>
      <c r="J149">
        <f t="shared" si="39"/>
        <v>261317.84844266743</v>
      </c>
      <c r="K149">
        <f t="shared" si="40"/>
        <v>261165.42980047507</v>
      </c>
      <c r="L149">
        <f t="shared" si="41"/>
        <v>261165.42980047507</v>
      </c>
      <c r="M149">
        <f t="shared" si="42"/>
        <v>0</v>
      </c>
      <c r="N149" s="29">
        <f t="shared" si="43"/>
        <v>261165.42980047507</v>
      </c>
      <c r="O149" s="29">
        <f t="shared" si="44"/>
        <v>261145.54757348201</v>
      </c>
      <c r="P149" s="29">
        <f t="shared" si="45"/>
        <v>261145.54757348201</v>
      </c>
      <c r="Q149">
        <f t="shared" si="46"/>
        <v>0</v>
      </c>
      <c r="R149" s="29">
        <f t="shared" si="47"/>
        <v>261145.54757348201</v>
      </c>
      <c r="S149" s="29">
        <f t="shared" si="48"/>
        <v>261145.54757348201</v>
      </c>
      <c r="T149" s="29">
        <f t="shared" si="49"/>
        <v>261145.54757348201</v>
      </c>
      <c r="U149">
        <f t="shared" si="50"/>
        <v>0</v>
      </c>
      <c r="V149" s="29">
        <f t="shared" si="51"/>
        <v>261145.54757348201</v>
      </c>
      <c r="W149" s="29">
        <f t="shared" si="52"/>
        <v>261145.54757348201</v>
      </c>
      <c r="X149" s="29">
        <f t="shared" si="53"/>
        <v>261145.54757348201</v>
      </c>
      <c r="Y149">
        <f t="shared" si="54"/>
        <v>0</v>
      </c>
    </row>
    <row r="150" spans="1:25" x14ac:dyDescent="0.25">
      <c r="A150" s="4" t="s">
        <v>945</v>
      </c>
      <c r="B150" s="7" t="s">
        <v>471</v>
      </c>
      <c r="C150" s="2" t="s">
        <v>946</v>
      </c>
      <c r="D150">
        <f>VLOOKUP(B150,'Model allocations'!$A$1:$L$317,6,FALSE)</f>
        <v>122683.83359942214</v>
      </c>
      <c r="E150" s="31">
        <f>VLOOKUP(B150,'Initial adjusted formula count'!$A$1:$P$317,12,FALSE)</f>
        <v>9.4988780852655205E-2</v>
      </c>
      <c r="F150">
        <f>VLOOKUP(B150,'Model allocations'!$A$1:$L$317,11,FALSE)</f>
        <v>104281.25855950882</v>
      </c>
      <c r="G150" s="30">
        <f t="shared" si="55"/>
        <v>0.85</v>
      </c>
      <c r="H150">
        <f t="shared" si="56"/>
        <v>104281.25855950882</v>
      </c>
      <c r="I150">
        <f t="shared" si="38"/>
        <v>0</v>
      </c>
      <c r="J150">
        <f t="shared" si="39"/>
        <v>104281.25855950882</v>
      </c>
      <c r="K150">
        <f t="shared" si="40"/>
        <v>104220.43451733002</v>
      </c>
      <c r="L150">
        <f t="shared" si="41"/>
        <v>104220.43451733002</v>
      </c>
      <c r="M150">
        <f t="shared" si="42"/>
        <v>104281.25855950882</v>
      </c>
      <c r="N150" s="29">
        <f t="shared" si="43"/>
        <v>0</v>
      </c>
      <c r="O150" s="29">
        <f t="shared" si="44"/>
        <v>0</v>
      </c>
      <c r="P150" s="29">
        <f t="shared" si="45"/>
        <v>104281.25855950882</v>
      </c>
      <c r="Q150">
        <f t="shared" si="46"/>
        <v>0</v>
      </c>
      <c r="R150" s="29">
        <f t="shared" si="47"/>
        <v>0</v>
      </c>
      <c r="S150" s="29">
        <f t="shared" si="48"/>
        <v>0</v>
      </c>
      <c r="T150" s="29">
        <f t="shared" si="49"/>
        <v>104281.25855950882</v>
      </c>
      <c r="U150">
        <f t="shared" si="50"/>
        <v>0</v>
      </c>
      <c r="V150" s="29">
        <f t="shared" si="51"/>
        <v>0</v>
      </c>
      <c r="W150" s="29">
        <f t="shared" si="52"/>
        <v>0</v>
      </c>
      <c r="X150" s="29">
        <f t="shared" si="53"/>
        <v>104281.25855950882</v>
      </c>
      <c r="Y150">
        <f t="shared" si="54"/>
        <v>0</v>
      </c>
    </row>
    <row r="151" spans="1:25" x14ac:dyDescent="0.25">
      <c r="A151" s="4" t="s">
        <v>947</v>
      </c>
      <c r="B151" s="7" t="s">
        <v>473</v>
      </c>
      <c r="C151" s="2" t="s">
        <v>948</v>
      </c>
      <c r="D151">
        <f>VLOOKUP(B151,'Model allocations'!$A$1:$L$317,6,FALSE)</f>
        <v>35308.432974070725</v>
      </c>
      <c r="E151" s="31">
        <f>VLOOKUP(B151,'Initial adjusted formula count'!$A$1:$P$317,12,FALSE)</f>
        <v>0.124629080118694</v>
      </c>
      <c r="F151">
        <f>VLOOKUP(B151,'Model allocations'!$A$1:$L$317,11,FALSE)</f>
        <v>30012.168027960117</v>
      </c>
      <c r="G151" s="30">
        <f t="shared" si="55"/>
        <v>0.85</v>
      </c>
      <c r="H151">
        <f t="shared" si="56"/>
        <v>30012.168027960117</v>
      </c>
      <c r="I151">
        <f t="shared" si="38"/>
        <v>0</v>
      </c>
      <c r="J151">
        <f t="shared" si="39"/>
        <v>30012.168027960117</v>
      </c>
      <c r="K151">
        <f t="shared" si="40"/>
        <v>29994.662855897313</v>
      </c>
      <c r="L151">
        <f t="shared" si="41"/>
        <v>29994.662855897313</v>
      </c>
      <c r="M151">
        <f t="shared" si="42"/>
        <v>30012.168027960117</v>
      </c>
      <c r="N151" s="29">
        <f t="shared" si="43"/>
        <v>0</v>
      </c>
      <c r="O151" s="29">
        <f t="shared" si="44"/>
        <v>0</v>
      </c>
      <c r="P151" s="29">
        <f t="shared" si="45"/>
        <v>30012.168027960117</v>
      </c>
      <c r="Q151">
        <f t="shared" si="46"/>
        <v>0</v>
      </c>
      <c r="R151" s="29">
        <f t="shared" si="47"/>
        <v>0</v>
      </c>
      <c r="S151" s="29">
        <f t="shared" si="48"/>
        <v>0</v>
      </c>
      <c r="T151" s="29">
        <f t="shared" si="49"/>
        <v>30012.168027960117</v>
      </c>
      <c r="U151">
        <f t="shared" si="50"/>
        <v>0</v>
      </c>
      <c r="V151" s="29">
        <f t="shared" si="51"/>
        <v>0</v>
      </c>
      <c r="W151" s="29">
        <f t="shared" si="52"/>
        <v>0</v>
      </c>
      <c r="X151" s="29">
        <f t="shared" si="53"/>
        <v>30012.168027960117</v>
      </c>
      <c r="Y151">
        <f t="shared" si="54"/>
        <v>0</v>
      </c>
    </row>
    <row r="152" spans="1:25" x14ac:dyDescent="0.25">
      <c r="A152" s="4" t="s">
        <v>949</v>
      </c>
      <c r="B152" s="7" t="s">
        <v>475</v>
      </c>
      <c r="C152" s="2" t="s">
        <v>950</v>
      </c>
      <c r="D152">
        <f>VLOOKUP(B152,'Model allocations'!$A$1:$L$317,6,FALSE)</f>
        <v>973846.88736543432</v>
      </c>
      <c r="E152" s="31">
        <f>VLOOKUP(B152,'Initial adjusted formula count'!$A$1:$P$317,12,FALSE)</f>
        <v>0.16554054054054099</v>
      </c>
      <c r="F152">
        <f>VLOOKUP(B152,'Model allocations'!$A$1:$L$317,11,FALSE)</f>
        <v>1186771.0147614591</v>
      </c>
      <c r="G152" s="30">
        <f t="shared" si="55"/>
        <v>0.9</v>
      </c>
      <c r="H152">
        <f t="shared" si="56"/>
        <v>876462.19862889091</v>
      </c>
      <c r="I152">
        <f t="shared" si="38"/>
        <v>0</v>
      </c>
      <c r="J152">
        <f t="shared" si="39"/>
        <v>1186771.0147614591</v>
      </c>
      <c r="K152">
        <f t="shared" si="40"/>
        <v>1186078.807827485</v>
      </c>
      <c r="L152">
        <f t="shared" si="41"/>
        <v>1186078.807827485</v>
      </c>
      <c r="M152">
        <f t="shared" si="42"/>
        <v>0</v>
      </c>
      <c r="N152" s="29">
        <f t="shared" si="43"/>
        <v>1186078.807827485</v>
      </c>
      <c r="O152" s="29">
        <f t="shared" si="44"/>
        <v>1185988.5129974729</v>
      </c>
      <c r="P152" s="29">
        <f t="shared" si="45"/>
        <v>1185988.5129974729</v>
      </c>
      <c r="Q152">
        <f t="shared" si="46"/>
        <v>0</v>
      </c>
      <c r="R152" s="29">
        <f t="shared" si="47"/>
        <v>1185988.5129974729</v>
      </c>
      <c r="S152" s="29">
        <f t="shared" si="48"/>
        <v>1185988.5129974729</v>
      </c>
      <c r="T152" s="29">
        <f t="shared" si="49"/>
        <v>1185988.5129974729</v>
      </c>
      <c r="U152">
        <f t="shared" si="50"/>
        <v>0</v>
      </c>
      <c r="V152" s="29">
        <f t="shared" si="51"/>
        <v>1185988.5129974729</v>
      </c>
      <c r="W152" s="29">
        <f t="shared" si="52"/>
        <v>1185988.5129974729</v>
      </c>
      <c r="X152" s="29">
        <f t="shared" si="53"/>
        <v>1185988.5129974729</v>
      </c>
      <c r="Y152">
        <f t="shared" si="54"/>
        <v>0</v>
      </c>
    </row>
    <row r="153" spans="1:25" x14ac:dyDescent="0.25">
      <c r="A153" s="4" t="s">
        <v>951</v>
      </c>
      <c r="B153" s="7" t="s">
        <v>477</v>
      </c>
      <c r="C153" s="2" t="s">
        <v>952</v>
      </c>
      <c r="D153">
        <f>VLOOKUP(B153,'Model allocations'!$A$1:$L$317,6,FALSE)</f>
        <v>76551.125422615267</v>
      </c>
      <c r="E153" s="31">
        <f>VLOOKUP(B153,'Initial adjusted formula count'!$A$1:$P$317,12,FALSE)</f>
        <v>9.6045197740112997E-2</v>
      </c>
      <c r="F153">
        <f>VLOOKUP(B153,'Model allocations'!$A$1:$L$317,11,FALSE)</f>
        <v>65068.456609222972</v>
      </c>
      <c r="G153" s="30">
        <f t="shared" si="55"/>
        <v>0.85</v>
      </c>
      <c r="H153">
        <f t="shared" si="56"/>
        <v>65068.456609222972</v>
      </c>
      <c r="I153">
        <f t="shared" si="38"/>
        <v>0</v>
      </c>
      <c r="J153">
        <f t="shared" si="39"/>
        <v>65068.456609222972</v>
      </c>
      <c r="K153">
        <f t="shared" si="40"/>
        <v>65030.504185134712</v>
      </c>
      <c r="L153">
        <f t="shared" si="41"/>
        <v>65030.504185134712</v>
      </c>
      <c r="M153">
        <f t="shared" si="42"/>
        <v>65068.456609222972</v>
      </c>
      <c r="N153" s="29">
        <f t="shared" si="43"/>
        <v>0</v>
      </c>
      <c r="O153" s="29">
        <f t="shared" si="44"/>
        <v>0</v>
      </c>
      <c r="P153" s="29">
        <f t="shared" si="45"/>
        <v>65068.456609222972</v>
      </c>
      <c r="Q153">
        <f t="shared" si="46"/>
        <v>0</v>
      </c>
      <c r="R153" s="29">
        <f t="shared" si="47"/>
        <v>0</v>
      </c>
      <c r="S153" s="29">
        <f t="shared" si="48"/>
        <v>0</v>
      </c>
      <c r="T153" s="29">
        <f t="shared" si="49"/>
        <v>65068.456609222972</v>
      </c>
      <c r="U153">
        <f t="shared" si="50"/>
        <v>0</v>
      </c>
      <c r="V153" s="29">
        <f t="shared" si="51"/>
        <v>0</v>
      </c>
      <c r="W153" s="29">
        <f t="shared" si="52"/>
        <v>0</v>
      </c>
      <c r="X153" s="29">
        <f t="shared" si="53"/>
        <v>65068.456609222972</v>
      </c>
      <c r="Y153">
        <f t="shared" si="54"/>
        <v>0</v>
      </c>
    </row>
    <row r="154" spans="1:25" x14ac:dyDescent="0.25">
      <c r="A154" s="4" t="s">
        <v>953</v>
      </c>
      <c r="B154" s="7" t="s">
        <v>479</v>
      </c>
      <c r="C154" s="2" t="s">
        <v>954</v>
      </c>
      <c r="D154">
        <f>VLOOKUP(B154,'Model allocations'!$A$1:$L$317,6,FALSE)</f>
        <v>216599.81153050347</v>
      </c>
      <c r="E154" s="31">
        <f>VLOOKUP(B154,'Initial adjusted formula count'!$A$1:$P$317,12,FALSE)</f>
        <v>0.1312625250501</v>
      </c>
      <c r="F154">
        <f>VLOOKUP(B154,'Model allocations'!$A$1:$L$317,11,FALSE)</f>
        <v>184109.83980092793</v>
      </c>
      <c r="G154" s="30">
        <f t="shared" si="55"/>
        <v>0.85</v>
      </c>
      <c r="H154">
        <f t="shared" si="56"/>
        <v>184109.83980092793</v>
      </c>
      <c r="I154">
        <f t="shared" si="38"/>
        <v>0</v>
      </c>
      <c r="J154">
        <f t="shared" si="39"/>
        <v>184109.83980092793</v>
      </c>
      <c r="K154">
        <f t="shared" si="40"/>
        <v>184002.45420915171</v>
      </c>
      <c r="L154">
        <f t="shared" si="41"/>
        <v>184002.45420915171</v>
      </c>
      <c r="M154">
        <f t="shared" si="42"/>
        <v>184109.83980092793</v>
      </c>
      <c r="N154" s="29">
        <f t="shared" si="43"/>
        <v>0</v>
      </c>
      <c r="O154" s="29">
        <f t="shared" si="44"/>
        <v>0</v>
      </c>
      <c r="P154" s="29">
        <f t="shared" si="45"/>
        <v>184109.83980092793</v>
      </c>
      <c r="Q154">
        <f t="shared" si="46"/>
        <v>0</v>
      </c>
      <c r="R154" s="29">
        <f t="shared" si="47"/>
        <v>0</v>
      </c>
      <c r="S154" s="29">
        <f t="shared" si="48"/>
        <v>0</v>
      </c>
      <c r="T154" s="29">
        <f t="shared" si="49"/>
        <v>184109.83980092793</v>
      </c>
      <c r="U154">
        <f t="shared" si="50"/>
        <v>0</v>
      </c>
      <c r="V154" s="29">
        <f t="shared" si="51"/>
        <v>0</v>
      </c>
      <c r="W154" s="29">
        <f t="shared" si="52"/>
        <v>0</v>
      </c>
      <c r="X154" s="29">
        <f t="shared" si="53"/>
        <v>184109.83980092793</v>
      </c>
      <c r="Y154">
        <f t="shared" si="54"/>
        <v>0</v>
      </c>
    </row>
    <row r="155" spans="1:25" x14ac:dyDescent="0.25">
      <c r="A155" s="4" t="s">
        <v>955</v>
      </c>
      <c r="B155" s="7" t="s">
        <v>481</v>
      </c>
      <c r="C155" s="2" t="s">
        <v>956</v>
      </c>
      <c r="D155">
        <f>VLOOKUP(B155,'Model allocations'!$A$1:$L$317,6,FALSE)</f>
        <v>208103.83701985318</v>
      </c>
      <c r="E155" s="31">
        <f>VLOOKUP(B155,'Initial adjusted formula count'!$A$1:$P$317,12,FALSE)</f>
        <v>0.111839410077837</v>
      </c>
      <c r="F155">
        <f>VLOOKUP(B155,'Model allocations'!$A$1:$L$317,11,FALSE)</f>
        <v>176888.26146687521</v>
      </c>
      <c r="G155" s="30">
        <f t="shared" si="55"/>
        <v>0.85</v>
      </c>
      <c r="H155">
        <f t="shared" si="56"/>
        <v>176888.26146687521</v>
      </c>
      <c r="I155">
        <f t="shared" si="38"/>
        <v>0</v>
      </c>
      <c r="J155">
        <f t="shared" si="39"/>
        <v>176888.26146687521</v>
      </c>
      <c r="K155">
        <f t="shared" si="40"/>
        <v>176785.08799903432</v>
      </c>
      <c r="L155">
        <f t="shared" si="41"/>
        <v>176785.08799903432</v>
      </c>
      <c r="M155">
        <f t="shared" si="42"/>
        <v>176888.26146687521</v>
      </c>
      <c r="N155" s="29">
        <f t="shared" si="43"/>
        <v>0</v>
      </c>
      <c r="O155" s="29">
        <f t="shared" si="44"/>
        <v>0</v>
      </c>
      <c r="P155" s="29">
        <f t="shared" si="45"/>
        <v>176888.26146687521</v>
      </c>
      <c r="Q155">
        <f t="shared" si="46"/>
        <v>0</v>
      </c>
      <c r="R155" s="29">
        <f t="shared" si="47"/>
        <v>0</v>
      </c>
      <c r="S155" s="29">
        <f t="shared" si="48"/>
        <v>0</v>
      </c>
      <c r="T155" s="29">
        <f t="shared" si="49"/>
        <v>176888.26146687521</v>
      </c>
      <c r="U155">
        <f t="shared" si="50"/>
        <v>0</v>
      </c>
      <c r="V155" s="29">
        <f t="shared" si="51"/>
        <v>0</v>
      </c>
      <c r="W155" s="29">
        <f t="shared" si="52"/>
        <v>0</v>
      </c>
      <c r="X155" s="29">
        <f t="shared" si="53"/>
        <v>176888.26146687521</v>
      </c>
      <c r="Y155">
        <f t="shared" si="54"/>
        <v>0</v>
      </c>
    </row>
    <row r="156" spans="1:25" x14ac:dyDescent="0.25">
      <c r="A156" s="4" t="s">
        <v>957</v>
      </c>
      <c r="B156" s="7" t="s">
        <v>175</v>
      </c>
      <c r="C156" s="2" t="s">
        <v>958</v>
      </c>
      <c r="D156">
        <f>VLOOKUP(B156,'Model allocations'!$A$1:$L$317,6,FALSE)</f>
        <v>0</v>
      </c>
      <c r="E156" s="31">
        <f>VLOOKUP(B156,'Initial adjusted formula count'!$A$1:$P$317,12,FALSE)</f>
        <v>4.8780487804878002E-2</v>
      </c>
      <c r="F156">
        <f>VLOOKUP(B156,'Model allocations'!$A$1:$L$317,11,FALSE)</f>
        <v>0</v>
      </c>
      <c r="G156" s="30">
        <f t="shared" si="55"/>
        <v>0.85</v>
      </c>
      <c r="H156">
        <f t="shared" si="5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1"/>
        <v>0</v>
      </c>
      <c r="M156">
        <f t="shared" si="42"/>
        <v>0</v>
      </c>
      <c r="N156" s="29">
        <f t="shared" si="43"/>
        <v>0</v>
      </c>
      <c r="O156" s="29">
        <f t="shared" si="44"/>
        <v>0</v>
      </c>
      <c r="P156" s="29">
        <f t="shared" si="45"/>
        <v>0</v>
      </c>
      <c r="Q156">
        <f t="shared" si="46"/>
        <v>0</v>
      </c>
      <c r="R156" s="29">
        <f t="shared" si="47"/>
        <v>0</v>
      </c>
      <c r="S156" s="29">
        <f t="shared" si="48"/>
        <v>0</v>
      </c>
      <c r="T156" s="29">
        <f t="shared" si="49"/>
        <v>0</v>
      </c>
      <c r="U156">
        <f t="shared" si="50"/>
        <v>0</v>
      </c>
      <c r="V156" s="29">
        <f t="shared" si="51"/>
        <v>0</v>
      </c>
      <c r="W156" s="29">
        <f t="shared" si="52"/>
        <v>0</v>
      </c>
      <c r="X156" s="29">
        <f t="shared" si="53"/>
        <v>0</v>
      </c>
      <c r="Y156">
        <f t="shared" si="54"/>
        <v>0</v>
      </c>
    </row>
    <row r="157" spans="1:25" x14ac:dyDescent="0.25">
      <c r="A157" s="4" t="s">
        <v>959</v>
      </c>
      <c r="B157" s="7" t="s">
        <v>483</v>
      </c>
      <c r="C157" s="9" t="s">
        <v>960</v>
      </c>
      <c r="D157">
        <f>VLOOKUP(B157,'Model allocations'!$A$1:$L$317,6,FALSE)</f>
        <v>595395.7879477893</v>
      </c>
      <c r="E157" s="31">
        <f>VLOOKUP(B157,'Initial adjusted formula count'!$A$1:$P$317,12,FALSE)</f>
        <v>0.13442136498516299</v>
      </c>
      <c r="F157">
        <f>VLOOKUP(B157,'Model allocations'!$A$1:$L$317,11,FALSE)</f>
        <v>578265.58820227813</v>
      </c>
      <c r="G157" s="30">
        <f t="shared" si="55"/>
        <v>0.85</v>
      </c>
      <c r="H157">
        <f t="shared" si="56"/>
        <v>506086.41975562088</v>
      </c>
      <c r="I157">
        <f t="shared" si="38"/>
        <v>0</v>
      </c>
      <c r="J157">
        <f t="shared" si="39"/>
        <v>578265.58820227813</v>
      </c>
      <c r="K157">
        <f t="shared" si="40"/>
        <v>577928.3037178634</v>
      </c>
      <c r="L157">
        <f t="shared" si="41"/>
        <v>577928.3037178634</v>
      </c>
      <c r="M157">
        <f t="shared" si="42"/>
        <v>0</v>
      </c>
      <c r="N157" s="29">
        <f t="shared" si="43"/>
        <v>577928.3037178634</v>
      </c>
      <c r="O157" s="29">
        <f t="shared" si="44"/>
        <v>577884.3066937204</v>
      </c>
      <c r="P157" s="29">
        <f t="shared" si="45"/>
        <v>577884.3066937204</v>
      </c>
      <c r="Q157">
        <f t="shared" si="46"/>
        <v>0</v>
      </c>
      <c r="R157" s="29">
        <f t="shared" si="47"/>
        <v>577884.3066937204</v>
      </c>
      <c r="S157" s="29">
        <f t="shared" si="48"/>
        <v>577884.3066937204</v>
      </c>
      <c r="T157" s="29">
        <f t="shared" si="49"/>
        <v>577884.3066937204</v>
      </c>
      <c r="U157">
        <f t="shared" si="50"/>
        <v>0</v>
      </c>
      <c r="V157" s="29">
        <f t="shared" si="51"/>
        <v>577884.3066937204</v>
      </c>
      <c r="W157" s="29">
        <f t="shared" si="52"/>
        <v>577884.3066937204</v>
      </c>
      <c r="X157" s="29">
        <f t="shared" si="53"/>
        <v>577884.3066937204</v>
      </c>
      <c r="Y157">
        <f t="shared" si="54"/>
        <v>0</v>
      </c>
    </row>
    <row r="158" spans="1:25" x14ac:dyDescent="0.25">
      <c r="A158" s="4" t="s">
        <v>961</v>
      </c>
      <c r="B158" s="7" t="s">
        <v>286</v>
      </c>
      <c r="C158" s="2" t="s">
        <v>962</v>
      </c>
      <c r="D158">
        <f>VLOOKUP(B158,'Model allocations'!$A$1:$L$317,6,FALSE)</f>
        <v>1790712.9375284822</v>
      </c>
      <c r="E158" s="31">
        <f>VLOOKUP(B158,'Initial adjusted formula count'!$A$1:$P$317,12,FALSE)</f>
        <v>0.144155235080314</v>
      </c>
      <c r="F158">
        <f>VLOOKUP(B158,'Model allocations'!$A$1:$L$317,11,FALSE)</f>
        <v>1963592.522741135</v>
      </c>
      <c r="G158" s="30">
        <f t="shared" si="55"/>
        <v>0.85</v>
      </c>
      <c r="H158">
        <f t="shared" si="56"/>
        <v>1522105.9968992099</v>
      </c>
      <c r="I158">
        <f t="shared" si="38"/>
        <v>0</v>
      </c>
      <c r="J158">
        <f t="shared" si="39"/>
        <v>1963592.522741135</v>
      </c>
      <c r="K158">
        <f t="shared" si="40"/>
        <v>1962447.2197780237</v>
      </c>
      <c r="L158">
        <f t="shared" si="41"/>
        <v>1962447.2197780237</v>
      </c>
      <c r="M158">
        <f t="shared" si="42"/>
        <v>0</v>
      </c>
      <c r="N158" s="29">
        <f t="shared" si="43"/>
        <v>1962447.2197780237</v>
      </c>
      <c r="O158" s="29">
        <f t="shared" si="44"/>
        <v>1962297.8209042319</v>
      </c>
      <c r="P158" s="29">
        <f t="shared" si="45"/>
        <v>1962297.8209042319</v>
      </c>
      <c r="Q158">
        <f t="shared" si="46"/>
        <v>0</v>
      </c>
      <c r="R158" s="29">
        <f t="shared" si="47"/>
        <v>1962297.8209042319</v>
      </c>
      <c r="S158" s="29">
        <f t="shared" si="48"/>
        <v>1962297.8209042319</v>
      </c>
      <c r="T158" s="29">
        <f t="shared" si="49"/>
        <v>1962297.8209042319</v>
      </c>
      <c r="U158">
        <f t="shared" si="50"/>
        <v>0</v>
      </c>
      <c r="V158" s="29">
        <f t="shared" si="51"/>
        <v>1962297.8209042319</v>
      </c>
      <c r="W158" s="29">
        <f t="shared" si="52"/>
        <v>1962297.8209042319</v>
      </c>
      <c r="X158" s="29">
        <f t="shared" si="53"/>
        <v>1962297.8209042319</v>
      </c>
      <c r="Y158">
        <f t="shared" si="54"/>
        <v>0</v>
      </c>
    </row>
    <row r="159" spans="1:25" x14ac:dyDescent="0.25">
      <c r="A159" s="4" t="s">
        <v>963</v>
      </c>
      <c r="B159" s="7" t="s">
        <v>485</v>
      </c>
      <c r="C159" s="2" t="s">
        <v>964</v>
      </c>
      <c r="D159">
        <f>VLOOKUP(B159,'Model allocations'!$A$1:$L$317,6,FALSE)</f>
        <v>123887.57962999133</v>
      </c>
      <c r="E159" s="31">
        <f>VLOOKUP(B159,'Initial adjusted formula count'!$A$1:$P$317,12,FALSE)</f>
        <v>0.107806691449814</v>
      </c>
      <c r="F159">
        <f>VLOOKUP(B159,'Model allocations'!$A$1:$L$317,11,FALSE)</f>
        <v>105304.44268549263</v>
      </c>
      <c r="G159" s="30">
        <f t="shared" si="55"/>
        <v>0.85</v>
      </c>
      <c r="H159">
        <f t="shared" si="56"/>
        <v>105304.44268549263</v>
      </c>
      <c r="I159">
        <f t="shared" si="38"/>
        <v>0</v>
      </c>
      <c r="J159">
        <f t="shared" si="39"/>
        <v>105304.44268549263</v>
      </c>
      <c r="K159">
        <f t="shared" si="40"/>
        <v>105243.02185156722</v>
      </c>
      <c r="L159">
        <f t="shared" si="41"/>
        <v>105243.02185156722</v>
      </c>
      <c r="M159">
        <f t="shared" si="42"/>
        <v>105304.44268549263</v>
      </c>
      <c r="N159" s="29">
        <f t="shared" si="43"/>
        <v>0</v>
      </c>
      <c r="O159" s="29">
        <f t="shared" si="44"/>
        <v>0</v>
      </c>
      <c r="P159" s="29">
        <f t="shared" si="45"/>
        <v>105304.44268549263</v>
      </c>
      <c r="Q159">
        <f t="shared" si="46"/>
        <v>0</v>
      </c>
      <c r="R159" s="29">
        <f t="shared" si="47"/>
        <v>0</v>
      </c>
      <c r="S159" s="29">
        <f t="shared" si="48"/>
        <v>0</v>
      </c>
      <c r="T159" s="29">
        <f t="shared" si="49"/>
        <v>105304.44268549263</v>
      </c>
      <c r="U159">
        <f t="shared" si="50"/>
        <v>0</v>
      </c>
      <c r="V159" s="29">
        <f t="shared" si="51"/>
        <v>0</v>
      </c>
      <c r="W159" s="29">
        <f t="shared" si="52"/>
        <v>0</v>
      </c>
      <c r="X159" s="29">
        <f t="shared" si="53"/>
        <v>105304.44268549263</v>
      </c>
      <c r="Y159">
        <f t="shared" si="54"/>
        <v>0</v>
      </c>
    </row>
    <row r="160" spans="1:25" x14ac:dyDescent="0.25">
      <c r="A160" s="4" t="s">
        <v>965</v>
      </c>
      <c r="B160" s="7" t="s">
        <v>487</v>
      </c>
      <c r="C160" s="2" t="s">
        <v>966</v>
      </c>
      <c r="D160">
        <f>VLOOKUP(B160,'Model allocations'!$A$1:$L$317,6,FALSE)</f>
        <v>39780.615224872839</v>
      </c>
      <c r="E160" s="31">
        <f>VLOOKUP(B160,'Initial adjusted formula count'!$A$1:$P$317,12,FALSE)</f>
        <v>0.104458598726115</v>
      </c>
      <c r="F160">
        <f>VLOOKUP(B160,'Model allocations'!$A$1:$L$317,11,FALSE)</f>
        <v>46786.165005019058</v>
      </c>
      <c r="G160" s="30">
        <f t="shared" si="55"/>
        <v>0.85</v>
      </c>
      <c r="H160">
        <f t="shared" si="56"/>
        <v>33813.522941141913</v>
      </c>
      <c r="I160">
        <f t="shared" si="38"/>
        <v>0</v>
      </c>
      <c r="J160">
        <f t="shared" si="39"/>
        <v>46786.165005019058</v>
      </c>
      <c r="K160">
        <f t="shared" si="40"/>
        <v>46758.876077814319</v>
      </c>
      <c r="L160">
        <f t="shared" si="41"/>
        <v>46758.876077814319</v>
      </c>
      <c r="M160">
        <f t="shared" si="42"/>
        <v>0</v>
      </c>
      <c r="N160" s="29">
        <f t="shared" si="43"/>
        <v>46758.876077814319</v>
      </c>
      <c r="O160" s="29">
        <f t="shared" si="44"/>
        <v>46755.316377784999</v>
      </c>
      <c r="P160" s="29">
        <f t="shared" si="45"/>
        <v>46755.316377784999</v>
      </c>
      <c r="Q160">
        <f t="shared" si="46"/>
        <v>0</v>
      </c>
      <c r="R160" s="29">
        <f t="shared" si="47"/>
        <v>46755.316377784999</v>
      </c>
      <c r="S160" s="29">
        <f t="shared" si="48"/>
        <v>46755.316377784999</v>
      </c>
      <c r="T160" s="29">
        <f t="shared" si="49"/>
        <v>46755.316377784999</v>
      </c>
      <c r="U160">
        <f t="shared" si="50"/>
        <v>0</v>
      </c>
      <c r="V160" s="29">
        <f t="shared" si="51"/>
        <v>46755.316377784999</v>
      </c>
      <c r="W160" s="29">
        <f t="shared" si="52"/>
        <v>46755.316377784999</v>
      </c>
      <c r="X160" s="29">
        <f t="shared" si="53"/>
        <v>46755.316377784999</v>
      </c>
      <c r="Y160">
        <f t="shared" si="54"/>
        <v>0</v>
      </c>
    </row>
    <row r="161" spans="1:25" x14ac:dyDescent="0.25">
      <c r="A161" s="4" t="s">
        <v>967</v>
      </c>
      <c r="B161" s="7" t="s">
        <v>489</v>
      </c>
      <c r="C161" s="2" t="s">
        <v>968</v>
      </c>
      <c r="D161">
        <f>VLOOKUP(B161,'Model allocations'!$A$1:$L$317,6,FALSE)</f>
        <v>22094.871349433746</v>
      </c>
      <c r="E161" s="31">
        <f>VLOOKUP(B161,'Initial adjusted formula count'!$A$1:$P$317,12,FALSE)</f>
        <v>0.119402985074627</v>
      </c>
      <c r="F161">
        <f>VLOOKUP(B161,'Model allocations'!$A$1:$L$317,11,FALSE)</f>
        <v>22822.519514643442</v>
      </c>
      <c r="G161" s="30">
        <f t="shared" si="55"/>
        <v>0.85</v>
      </c>
      <c r="H161">
        <f t="shared" si="56"/>
        <v>18780.640647018685</v>
      </c>
      <c r="I161">
        <f t="shared" si="38"/>
        <v>0</v>
      </c>
      <c r="J161">
        <f t="shared" si="39"/>
        <v>22822.519514643442</v>
      </c>
      <c r="K161">
        <f t="shared" si="40"/>
        <v>22809.207842836251</v>
      </c>
      <c r="L161">
        <f t="shared" si="41"/>
        <v>22809.207842836251</v>
      </c>
      <c r="M161">
        <f t="shared" si="42"/>
        <v>0</v>
      </c>
      <c r="N161" s="29">
        <f t="shared" si="43"/>
        <v>22809.207842836251</v>
      </c>
      <c r="O161" s="29">
        <f t="shared" si="44"/>
        <v>22807.471403797554</v>
      </c>
      <c r="P161" s="29">
        <f t="shared" si="45"/>
        <v>22807.471403797554</v>
      </c>
      <c r="Q161">
        <f t="shared" si="46"/>
        <v>0</v>
      </c>
      <c r="R161" s="29">
        <f t="shared" si="47"/>
        <v>22807.471403797554</v>
      </c>
      <c r="S161" s="29">
        <f t="shared" si="48"/>
        <v>22807.471403797554</v>
      </c>
      <c r="T161" s="29">
        <f t="shared" si="49"/>
        <v>22807.471403797554</v>
      </c>
      <c r="U161">
        <f t="shared" si="50"/>
        <v>0</v>
      </c>
      <c r="V161" s="29">
        <f t="shared" si="51"/>
        <v>22807.471403797554</v>
      </c>
      <c r="W161" s="29">
        <f t="shared" si="52"/>
        <v>22807.471403797554</v>
      </c>
      <c r="X161" s="29">
        <f t="shared" si="53"/>
        <v>22807.471403797554</v>
      </c>
      <c r="Y161">
        <f t="shared" si="54"/>
        <v>0</v>
      </c>
    </row>
    <row r="162" spans="1:25" x14ac:dyDescent="0.25">
      <c r="A162" s="4" t="s">
        <v>969</v>
      </c>
      <c r="B162" s="7" t="s">
        <v>491</v>
      </c>
      <c r="C162" s="2" t="s">
        <v>970</v>
      </c>
      <c r="D162">
        <f>VLOOKUP(B162,'Model allocations'!$A$1:$L$317,6,FALSE)</f>
        <v>55711.636435643173</v>
      </c>
      <c r="E162" s="31">
        <f>VLOOKUP(B162,'Initial adjusted formula count'!$A$1:$P$317,12,FALSE)</f>
        <v>0.284552845528455</v>
      </c>
      <c r="F162">
        <f>VLOOKUP(B162,'Model allocations'!$A$1:$L$317,11,FALSE)</f>
        <v>60172.685298183758</v>
      </c>
      <c r="G162" s="30">
        <f t="shared" si="55"/>
        <v>0.9</v>
      </c>
      <c r="H162">
        <f t="shared" si="56"/>
        <v>50140.472792078857</v>
      </c>
      <c r="I162">
        <f t="shared" si="38"/>
        <v>0</v>
      </c>
      <c r="J162">
        <f t="shared" si="39"/>
        <v>60172.685298183758</v>
      </c>
      <c r="K162">
        <f t="shared" si="40"/>
        <v>60137.588426520102</v>
      </c>
      <c r="L162">
        <f t="shared" si="41"/>
        <v>60137.588426520102</v>
      </c>
      <c r="M162">
        <f t="shared" si="42"/>
        <v>0</v>
      </c>
      <c r="N162" s="29">
        <f t="shared" si="43"/>
        <v>60137.588426520102</v>
      </c>
      <c r="O162" s="29">
        <f t="shared" si="44"/>
        <v>60133.010220343174</v>
      </c>
      <c r="P162" s="29">
        <f t="shared" si="45"/>
        <v>60133.010220343174</v>
      </c>
      <c r="Q162">
        <f t="shared" si="46"/>
        <v>0</v>
      </c>
      <c r="R162" s="29">
        <f t="shared" si="47"/>
        <v>60133.010220343174</v>
      </c>
      <c r="S162" s="29">
        <f t="shared" si="48"/>
        <v>60133.010220343174</v>
      </c>
      <c r="T162" s="29">
        <f t="shared" si="49"/>
        <v>60133.010220343174</v>
      </c>
      <c r="U162">
        <f t="shared" si="50"/>
        <v>0</v>
      </c>
      <c r="V162" s="29">
        <f t="shared" si="51"/>
        <v>60133.010220343174</v>
      </c>
      <c r="W162" s="29">
        <f t="shared" si="52"/>
        <v>60133.010220343174</v>
      </c>
      <c r="X162" s="29">
        <f t="shared" si="53"/>
        <v>60133.010220343174</v>
      </c>
      <c r="Y162">
        <f t="shared" si="54"/>
        <v>0</v>
      </c>
    </row>
    <row r="163" spans="1:25" x14ac:dyDescent="0.25">
      <c r="A163" s="4" t="s">
        <v>971</v>
      </c>
      <c r="B163" s="7" t="s">
        <v>493</v>
      </c>
      <c r="C163" s="2" t="s">
        <v>972</v>
      </c>
      <c r="D163">
        <f>VLOOKUP(B163,'Model allocations'!$A$1:$L$317,6,FALSE)</f>
        <v>197708.55611312875</v>
      </c>
      <c r="E163" s="31">
        <f>VLOOKUP(B163,'Initial adjusted formula count'!$A$1:$P$317,12,FALSE)</f>
        <v>0.190909090909091</v>
      </c>
      <c r="F163">
        <f>VLOOKUP(B163,'Model allocations'!$A$1:$L$317,11,FALSE)</f>
        <v>177937.70050181588</v>
      </c>
      <c r="G163" s="30">
        <f t="shared" si="55"/>
        <v>0.9</v>
      </c>
      <c r="H163">
        <f t="shared" si="56"/>
        <v>177937.70050181588</v>
      </c>
      <c r="I163">
        <f t="shared" si="38"/>
        <v>0</v>
      </c>
      <c r="J163">
        <f t="shared" si="39"/>
        <v>177937.70050181588</v>
      </c>
      <c r="K163">
        <f t="shared" si="40"/>
        <v>177833.91492854967</v>
      </c>
      <c r="L163">
        <f t="shared" si="41"/>
        <v>177833.91492854967</v>
      </c>
      <c r="M163">
        <f t="shared" si="42"/>
        <v>177937.70050181588</v>
      </c>
      <c r="N163" s="29">
        <f t="shared" si="43"/>
        <v>0</v>
      </c>
      <c r="O163" s="29">
        <f t="shared" si="44"/>
        <v>0</v>
      </c>
      <c r="P163" s="29">
        <f t="shared" si="45"/>
        <v>177937.70050181588</v>
      </c>
      <c r="Q163">
        <f t="shared" si="46"/>
        <v>0</v>
      </c>
      <c r="R163" s="29">
        <f t="shared" si="47"/>
        <v>0</v>
      </c>
      <c r="S163" s="29">
        <f t="shared" si="48"/>
        <v>0</v>
      </c>
      <c r="T163" s="29">
        <f t="shared" si="49"/>
        <v>177937.70050181588</v>
      </c>
      <c r="U163">
        <f t="shared" si="50"/>
        <v>0</v>
      </c>
      <c r="V163" s="29">
        <f t="shared" si="51"/>
        <v>0</v>
      </c>
      <c r="W163" s="29">
        <f t="shared" si="52"/>
        <v>0</v>
      </c>
      <c r="X163" s="29">
        <f t="shared" si="53"/>
        <v>177937.70050181588</v>
      </c>
      <c r="Y163">
        <f t="shared" si="54"/>
        <v>0</v>
      </c>
    </row>
    <row r="164" spans="1:25" x14ac:dyDescent="0.25">
      <c r="A164" s="4" t="s">
        <v>973</v>
      </c>
      <c r="B164" s="7" t="s">
        <v>495</v>
      </c>
      <c r="C164" s="2" t="s">
        <v>974</v>
      </c>
      <c r="D164">
        <f>VLOOKUP(B164,'Model allocations'!$A$1:$L$317,6,FALSE)</f>
        <v>115663.84652000164</v>
      </c>
      <c r="E164" s="31">
        <f>VLOOKUP(B164,'Initial adjusted formula count'!$A$1:$P$317,12,FALSE)</f>
        <v>7.3062261753494298E-2</v>
      </c>
      <c r="F164">
        <f>VLOOKUP(B164,'Model allocations'!$A$1:$L$317,11,FALSE)</f>
        <v>98314.269542001392</v>
      </c>
      <c r="G164" s="30">
        <f t="shared" si="55"/>
        <v>0.85</v>
      </c>
      <c r="H164">
        <f t="shared" si="56"/>
        <v>98314.269542001392</v>
      </c>
      <c r="I164">
        <f t="shared" si="38"/>
        <v>0</v>
      </c>
      <c r="J164">
        <f t="shared" si="39"/>
        <v>98314.269542001392</v>
      </c>
      <c r="K164">
        <f t="shared" si="40"/>
        <v>98256.925860500007</v>
      </c>
      <c r="L164">
        <f t="shared" si="41"/>
        <v>98256.925860500007</v>
      </c>
      <c r="M164">
        <f t="shared" si="42"/>
        <v>98314.269542001392</v>
      </c>
      <c r="N164" s="29">
        <f t="shared" si="43"/>
        <v>0</v>
      </c>
      <c r="O164" s="29">
        <f t="shared" si="44"/>
        <v>0</v>
      </c>
      <c r="P164" s="29">
        <f t="shared" si="45"/>
        <v>98314.269542001392</v>
      </c>
      <c r="Q164">
        <f t="shared" si="46"/>
        <v>0</v>
      </c>
      <c r="R164" s="29">
        <f t="shared" si="47"/>
        <v>0</v>
      </c>
      <c r="S164" s="29">
        <f t="shared" si="48"/>
        <v>0</v>
      </c>
      <c r="T164" s="29">
        <f t="shared" si="49"/>
        <v>98314.269542001392</v>
      </c>
      <c r="U164">
        <f t="shared" si="50"/>
        <v>0</v>
      </c>
      <c r="V164" s="29">
        <f t="shared" si="51"/>
        <v>0</v>
      </c>
      <c r="W164" s="29">
        <f t="shared" si="52"/>
        <v>0</v>
      </c>
      <c r="X164" s="29">
        <f t="shared" si="53"/>
        <v>98314.269542001392</v>
      </c>
      <c r="Y164">
        <f t="shared" si="54"/>
        <v>0</v>
      </c>
    </row>
    <row r="165" spans="1:25" x14ac:dyDescent="0.25">
      <c r="A165" s="4" t="s">
        <v>975</v>
      </c>
      <c r="B165" s="7" t="s">
        <v>177</v>
      </c>
      <c r="C165" s="2" t="s">
        <v>976</v>
      </c>
      <c r="D165">
        <f>VLOOKUP(B165,'Model allocations'!$A$1:$L$317,6,FALSE)</f>
        <v>139013.56557352067</v>
      </c>
      <c r="E165" s="31">
        <f>VLOOKUP(B165,'Initial adjusted formula count'!$A$1:$P$317,12,FALSE)</f>
        <v>0.112815884476534</v>
      </c>
      <c r="F165">
        <f>VLOOKUP(B165,'Model allocations'!$A$1:$L$317,11,FALSE)</f>
        <v>142640.74696652149</v>
      </c>
      <c r="G165" s="30">
        <f t="shared" si="55"/>
        <v>0.85</v>
      </c>
      <c r="H165">
        <f t="shared" si="56"/>
        <v>118161.53073749256</v>
      </c>
      <c r="I165">
        <f t="shared" si="38"/>
        <v>0</v>
      </c>
      <c r="J165">
        <f t="shared" si="39"/>
        <v>142640.74696652149</v>
      </c>
      <c r="K165">
        <f t="shared" si="40"/>
        <v>142557.54901772656</v>
      </c>
      <c r="L165">
        <f t="shared" si="41"/>
        <v>142557.54901772656</v>
      </c>
      <c r="M165">
        <f t="shared" si="42"/>
        <v>0</v>
      </c>
      <c r="N165" s="29">
        <f t="shared" si="43"/>
        <v>142557.54901772656</v>
      </c>
      <c r="O165" s="29">
        <f t="shared" si="44"/>
        <v>142546.69627373471</v>
      </c>
      <c r="P165" s="29">
        <f t="shared" si="45"/>
        <v>142546.69627373471</v>
      </c>
      <c r="Q165">
        <f t="shared" si="46"/>
        <v>0</v>
      </c>
      <c r="R165" s="29">
        <f t="shared" si="47"/>
        <v>142546.69627373471</v>
      </c>
      <c r="S165" s="29">
        <f t="shared" si="48"/>
        <v>142546.69627373471</v>
      </c>
      <c r="T165" s="29">
        <f t="shared" si="49"/>
        <v>142546.69627373471</v>
      </c>
      <c r="U165">
        <f t="shared" si="50"/>
        <v>0</v>
      </c>
      <c r="V165" s="29">
        <f t="shared" si="51"/>
        <v>142546.69627373471</v>
      </c>
      <c r="W165" s="29">
        <f t="shared" si="52"/>
        <v>142546.69627373471</v>
      </c>
      <c r="X165" s="29">
        <f t="shared" si="53"/>
        <v>142546.69627373471</v>
      </c>
      <c r="Y165">
        <f t="shared" si="54"/>
        <v>0</v>
      </c>
    </row>
    <row r="166" spans="1:25" x14ac:dyDescent="0.25">
      <c r="A166" s="4" t="s">
        <v>977</v>
      </c>
      <c r="B166" s="7" t="s">
        <v>497</v>
      </c>
      <c r="C166" s="2" t="s">
        <v>978</v>
      </c>
      <c r="D166">
        <f>VLOOKUP(B166,'Model allocations'!$A$1:$L$317,6,FALSE)</f>
        <v>113863.13692669111</v>
      </c>
      <c r="E166" s="31">
        <f>VLOOKUP(B166,'Initial adjusted formula count'!$A$1:$P$317,12,FALSE)</f>
        <v>0.182978723404255</v>
      </c>
      <c r="F166">
        <f>VLOOKUP(B166,'Model allocations'!$A$1:$L$317,11,FALSE)</f>
        <v>102476.823234022</v>
      </c>
      <c r="G166" s="30">
        <f t="shared" si="55"/>
        <v>0.9</v>
      </c>
      <c r="H166">
        <f t="shared" si="56"/>
        <v>102476.823234022</v>
      </c>
      <c r="I166">
        <f t="shared" si="38"/>
        <v>0</v>
      </c>
      <c r="J166">
        <f t="shared" si="39"/>
        <v>102476.823234022</v>
      </c>
      <c r="K166">
        <f t="shared" si="40"/>
        <v>102417.05166332141</v>
      </c>
      <c r="L166">
        <f t="shared" si="41"/>
        <v>102417.05166332141</v>
      </c>
      <c r="M166">
        <f t="shared" si="42"/>
        <v>102476.823234022</v>
      </c>
      <c r="N166" s="29">
        <f t="shared" si="43"/>
        <v>0</v>
      </c>
      <c r="O166" s="29">
        <f t="shared" si="44"/>
        <v>0</v>
      </c>
      <c r="P166" s="29">
        <f t="shared" si="45"/>
        <v>102476.823234022</v>
      </c>
      <c r="Q166">
        <f t="shared" si="46"/>
        <v>0</v>
      </c>
      <c r="R166" s="29">
        <f t="shared" si="47"/>
        <v>0</v>
      </c>
      <c r="S166" s="29">
        <f t="shared" si="48"/>
        <v>0</v>
      </c>
      <c r="T166" s="29">
        <f t="shared" si="49"/>
        <v>102476.823234022</v>
      </c>
      <c r="U166">
        <f t="shared" si="50"/>
        <v>0</v>
      </c>
      <c r="V166" s="29">
        <f t="shared" si="51"/>
        <v>0</v>
      </c>
      <c r="W166" s="29">
        <f t="shared" si="52"/>
        <v>0</v>
      </c>
      <c r="X166" s="29">
        <f t="shared" si="53"/>
        <v>102476.823234022</v>
      </c>
      <c r="Y166">
        <f t="shared" si="54"/>
        <v>0</v>
      </c>
    </row>
    <row r="167" spans="1:25" x14ac:dyDescent="0.25">
      <c r="A167" s="4" t="s">
        <v>979</v>
      </c>
      <c r="B167" s="7" t="s">
        <v>499</v>
      </c>
      <c r="C167" s="2" t="s">
        <v>980</v>
      </c>
      <c r="D167">
        <f>VLOOKUP(B167,'Model allocations'!$A$1:$L$317,6,FALSE)</f>
        <v>263696.49518707505</v>
      </c>
      <c r="E167" s="31">
        <f>VLOOKUP(B167,'Initial adjusted formula count'!$A$1:$P$317,12,FALSE)</f>
        <v>8.9673913043478201E-2</v>
      </c>
      <c r="F167">
        <f>VLOOKUP(B167,'Model allocations'!$A$1:$L$317,11,FALSE)</f>
        <v>224142.02090901378</v>
      </c>
      <c r="G167" s="30">
        <f t="shared" si="55"/>
        <v>0.85</v>
      </c>
      <c r="H167">
        <f t="shared" si="56"/>
        <v>224142.02090901378</v>
      </c>
      <c r="I167">
        <f t="shared" si="38"/>
        <v>0</v>
      </c>
      <c r="J167">
        <f t="shared" si="39"/>
        <v>224142.02090901378</v>
      </c>
      <c r="K167">
        <f t="shared" si="40"/>
        <v>224011.28578055318</v>
      </c>
      <c r="L167">
        <f t="shared" si="41"/>
        <v>224011.28578055318</v>
      </c>
      <c r="M167">
        <f t="shared" si="42"/>
        <v>224142.02090901378</v>
      </c>
      <c r="N167" s="29">
        <f t="shared" si="43"/>
        <v>0</v>
      </c>
      <c r="O167" s="29">
        <f t="shared" si="44"/>
        <v>0</v>
      </c>
      <c r="P167" s="29">
        <f t="shared" si="45"/>
        <v>224142.02090901378</v>
      </c>
      <c r="Q167">
        <f t="shared" si="46"/>
        <v>0</v>
      </c>
      <c r="R167" s="29">
        <f t="shared" si="47"/>
        <v>0</v>
      </c>
      <c r="S167" s="29">
        <f t="shared" si="48"/>
        <v>0</v>
      </c>
      <c r="T167" s="29">
        <f t="shared" si="49"/>
        <v>224142.02090901378</v>
      </c>
      <c r="U167">
        <f t="shared" si="50"/>
        <v>0</v>
      </c>
      <c r="V167" s="29">
        <f t="shared" si="51"/>
        <v>0</v>
      </c>
      <c r="W167" s="29">
        <f t="shared" si="52"/>
        <v>0</v>
      </c>
      <c r="X167" s="29">
        <f t="shared" si="53"/>
        <v>224142.02090901378</v>
      </c>
      <c r="Y167">
        <f t="shared" si="54"/>
        <v>0</v>
      </c>
    </row>
    <row r="168" spans="1:25" x14ac:dyDescent="0.25">
      <c r="A168" s="4" t="s">
        <v>981</v>
      </c>
      <c r="B168" s="7" t="s">
        <v>179</v>
      </c>
      <c r="C168" s="2" t="s">
        <v>982</v>
      </c>
      <c r="D168">
        <f>VLOOKUP(B168,'Model allocations'!$A$1:$L$317,6,FALSE)</f>
        <v>323578.51848563948</v>
      </c>
      <c r="E168" s="31">
        <f>VLOOKUP(B168,'Initial adjusted formula count'!$A$1:$P$317,12,FALSE)</f>
        <v>6.9692737430167601E-2</v>
      </c>
      <c r="F168">
        <f>VLOOKUP(B168,'Model allocations'!$A$1:$L$317,11,FALSE)</f>
        <v>284710.93094517692</v>
      </c>
      <c r="G168" s="30">
        <f t="shared" si="55"/>
        <v>0.85</v>
      </c>
      <c r="H168">
        <f t="shared" si="56"/>
        <v>275041.74071279354</v>
      </c>
      <c r="I168">
        <f t="shared" si="38"/>
        <v>0</v>
      </c>
      <c r="J168">
        <f t="shared" si="39"/>
        <v>284710.93094517692</v>
      </c>
      <c r="K168">
        <f t="shared" si="40"/>
        <v>284544.8678393822</v>
      </c>
      <c r="L168">
        <f t="shared" si="41"/>
        <v>284544.8678393822</v>
      </c>
      <c r="M168">
        <f t="shared" si="42"/>
        <v>0</v>
      </c>
      <c r="N168" s="29">
        <f t="shared" si="43"/>
        <v>284544.8678393822</v>
      </c>
      <c r="O168" s="29">
        <f t="shared" si="44"/>
        <v>284523.20576237451</v>
      </c>
      <c r="P168" s="29">
        <f t="shared" si="45"/>
        <v>284523.20576237451</v>
      </c>
      <c r="Q168">
        <f t="shared" si="46"/>
        <v>0</v>
      </c>
      <c r="R168" s="29">
        <f t="shared" si="47"/>
        <v>284523.20576237451</v>
      </c>
      <c r="S168" s="29">
        <f t="shared" si="48"/>
        <v>284523.20576237451</v>
      </c>
      <c r="T168" s="29">
        <f t="shared" si="49"/>
        <v>284523.20576237451</v>
      </c>
      <c r="U168">
        <f t="shared" si="50"/>
        <v>0</v>
      </c>
      <c r="V168" s="29">
        <f t="shared" si="51"/>
        <v>284523.20576237451</v>
      </c>
      <c r="W168" s="29">
        <f t="shared" si="52"/>
        <v>284523.20576237451</v>
      </c>
      <c r="X168" s="29">
        <f t="shared" si="53"/>
        <v>284523.20576237451</v>
      </c>
      <c r="Y168">
        <f t="shared" si="54"/>
        <v>0</v>
      </c>
    </row>
    <row r="169" spans="1:25" x14ac:dyDescent="0.25">
      <c r="A169" s="4" t="s">
        <v>983</v>
      </c>
      <c r="B169" s="7" t="s">
        <v>501</v>
      </c>
      <c r="C169" s="2" t="s">
        <v>984</v>
      </c>
      <c r="D169">
        <f>VLOOKUP(B169,'Model allocations'!$A$1:$L$317,6,FALSE)</f>
        <v>194033.97174925587</v>
      </c>
      <c r="E169" s="31">
        <f>VLOOKUP(B169,'Initial adjusted formula count'!$A$1:$P$317,12,FALSE)</f>
        <v>0.150242326332795</v>
      </c>
      <c r="F169">
        <f>VLOOKUP(B169,'Model allocations'!$A$1:$L$317,11,FALSE)</f>
        <v>212249.43148618404</v>
      </c>
      <c r="G169" s="30">
        <f t="shared" si="55"/>
        <v>0.9</v>
      </c>
      <c r="H169">
        <f t="shared" si="56"/>
        <v>174630.5745743303</v>
      </c>
      <c r="I169">
        <f t="shared" si="38"/>
        <v>0</v>
      </c>
      <c r="J169">
        <f t="shared" si="39"/>
        <v>212249.43148618404</v>
      </c>
      <c r="K169">
        <f t="shared" si="40"/>
        <v>212125.63293837715</v>
      </c>
      <c r="L169">
        <f t="shared" si="41"/>
        <v>212125.63293837715</v>
      </c>
      <c r="M169">
        <f t="shared" si="42"/>
        <v>0</v>
      </c>
      <c r="N169" s="29">
        <f t="shared" si="43"/>
        <v>212125.63293837715</v>
      </c>
      <c r="O169" s="29">
        <f t="shared" si="44"/>
        <v>212109.48405531727</v>
      </c>
      <c r="P169" s="29">
        <f t="shared" si="45"/>
        <v>212109.48405531727</v>
      </c>
      <c r="Q169">
        <f t="shared" si="46"/>
        <v>0</v>
      </c>
      <c r="R169" s="29">
        <f t="shared" si="47"/>
        <v>212109.48405531727</v>
      </c>
      <c r="S169" s="29">
        <f t="shared" si="48"/>
        <v>212109.48405531727</v>
      </c>
      <c r="T169" s="29">
        <f t="shared" si="49"/>
        <v>212109.48405531727</v>
      </c>
      <c r="U169">
        <f t="shared" si="50"/>
        <v>0</v>
      </c>
      <c r="V169" s="29">
        <f t="shared" si="51"/>
        <v>212109.48405531727</v>
      </c>
      <c r="W169" s="29">
        <f t="shared" si="52"/>
        <v>212109.48405531727</v>
      </c>
      <c r="X169" s="29">
        <f t="shared" si="53"/>
        <v>212109.48405531727</v>
      </c>
      <c r="Y169">
        <f t="shared" si="54"/>
        <v>0</v>
      </c>
    </row>
    <row r="170" spans="1:25" x14ac:dyDescent="0.25">
      <c r="A170" s="4" t="s">
        <v>985</v>
      </c>
      <c r="B170" s="7" t="s">
        <v>503</v>
      </c>
      <c r="C170" s="2" t="s">
        <v>986</v>
      </c>
      <c r="D170">
        <f>VLOOKUP(B170,'Model allocations'!$A$1:$L$317,6,FALSE)</f>
        <v>0</v>
      </c>
      <c r="E170" s="31">
        <f>VLOOKUP(B170,'Initial adjusted formula count'!$A$1:$P$317,12,FALSE)</f>
        <v>0.19607843137254899</v>
      </c>
      <c r="F170">
        <f>VLOOKUP(B170,'Model allocations'!$A$1:$L$317,11,FALSE)</f>
        <v>6584.6677459167477</v>
      </c>
      <c r="G170" s="30">
        <f t="shared" si="55"/>
        <v>0.9</v>
      </c>
      <c r="H170">
        <f t="shared" si="56"/>
        <v>0</v>
      </c>
      <c r="I170">
        <f t="shared" si="38"/>
        <v>0</v>
      </c>
      <c r="J170">
        <f t="shared" si="39"/>
        <v>6584.6677459167477</v>
      </c>
      <c r="K170">
        <f t="shared" si="40"/>
        <v>6580.8271122857068</v>
      </c>
      <c r="L170">
        <f t="shared" si="41"/>
        <v>6580.8271122857068</v>
      </c>
      <c r="M170">
        <f t="shared" si="42"/>
        <v>0</v>
      </c>
      <c r="N170" s="29">
        <f t="shared" si="43"/>
        <v>6580.8271122857068</v>
      </c>
      <c r="O170" s="29">
        <f t="shared" si="44"/>
        <v>6580.3261214059094</v>
      </c>
      <c r="P170" s="29">
        <f t="shared" si="45"/>
        <v>6580.3261214059094</v>
      </c>
      <c r="Q170">
        <f t="shared" si="46"/>
        <v>0</v>
      </c>
      <c r="R170" s="29">
        <f t="shared" si="47"/>
        <v>6580.3261214059094</v>
      </c>
      <c r="S170" s="29">
        <f t="shared" si="48"/>
        <v>6580.3261214059094</v>
      </c>
      <c r="T170" s="29">
        <f t="shared" si="49"/>
        <v>6580.3261214059094</v>
      </c>
      <c r="U170">
        <f t="shared" si="50"/>
        <v>0</v>
      </c>
      <c r="V170" s="29">
        <f t="shared" si="51"/>
        <v>6580.3261214059094</v>
      </c>
      <c r="W170" s="29">
        <f t="shared" si="52"/>
        <v>6580.3261214059094</v>
      </c>
      <c r="X170" s="29">
        <f t="shared" si="53"/>
        <v>6580.3261214059094</v>
      </c>
      <c r="Y170">
        <f t="shared" si="54"/>
        <v>0</v>
      </c>
    </row>
    <row r="171" spans="1:25" x14ac:dyDescent="0.25">
      <c r="A171" s="4" t="s">
        <v>987</v>
      </c>
      <c r="B171" s="7" t="s">
        <v>181</v>
      </c>
      <c r="C171" s="2" t="s">
        <v>988</v>
      </c>
      <c r="D171">
        <f>VLOOKUP(B171,'Model allocations'!$A$1:$L$317,6,FALSE)</f>
        <v>1101751.5536431181</v>
      </c>
      <c r="E171" s="31">
        <f>VLOOKUP(B171,'Initial adjusted formula count'!$A$1:$P$317,12,FALSE)</f>
        <v>9.5308003993188103E-2</v>
      </c>
      <c r="F171">
        <f>VLOOKUP(B171,'Model allocations'!$A$1:$L$317,11,FALSE)</f>
        <v>1191906.0816522536</v>
      </c>
      <c r="G171" s="30">
        <f t="shared" si="55"/>
        <v>0.85</v>
      </c>
      <c r="H171">
        <f t="shared" si="56"/>
        <v>936488.82059665036</v>
      </c>
      <c r="I171">
        <f t="shared" si="38"/>
        <v>0</v>
      </c>
      <c r="J171">
        <f t="shared" si="39"/>
        <v>1191906.0816522536</v>
      </c>
      <c r="K171">
        <f t="shared" si="40"/>
        <v>1191210.8795921232</v>
      </c>
      <c r="L171">
        <f t="shared" si="41"/>
        <v>1191210.8795921232</v>
      </c>
      <c r="M171">
        <f t="shared" si="42"/>
        <v>0</v>
      </c>
      <c r="N171" s="29">
        <f t="shared" si="43"/>
        <v>1191210.8795921232</v>
      </c>
      <c r="O171" s="29">
        <f t="shared" si="44"/>
        <v>1191120.1940633273</v>
      </c>
      <c r="P171" s="29">
        <f t="shared" si="45"/>
        <v>1191120.1940633273</v>
      </c>
      <c r="Q171">
        <f t="shared" si="46"/>
        <v>0</v>
      </c>
      <c r="R171" s="29">
        <f t="shared" si="47"/>
        <v>1191120.1940633273</v>
      </c>
      <c r="S171" s="29">
        <f t="shared" si="48"/>
        <v>1191120.1940633273</v>
      </c>
      <c r="T171" s="29">
        <f t="shared" si="49"/>
        <v>1191120.1940633273</v>
      </c>
      <c r="U171">
        <f t="shared" si="50"/>
        <v>0</v>
      </c>
      <c r="V171" s="29">
        <f t="shared" si="51"/>
        <v>1191120.1940633273</v>
      </c>
      <c r="W171" s="29">
        <f t="shared" si="52"/>
        <v>1191120.1940633273</v>
      </c>
      <c r="X171" s="29">
        <f t="shared" si="53"/>
        <v>1191120.1940633273</v>
      </c>
      <c r="Y171">
        <f t="shared" si="54"/>
        <v>0</v>
      </c>
    </row>
    <row r="172" spans="1:25" x14ac:dyDescent="0.25">
      <c r="A172" s="4" t="s">
        <v>989</v>
      </c>
      <c r="B172" s="7" t="s">
        <v>505</v>
      </c>
      <c r="C172" s="2" t="s">
        <v>990</v>
      </c>
      <c r="D172">
        <f>VLOOKUP(B172,'Model allocations'!$A$1:$L$317,6,FALSE)</f>
        <v>63925.496104453719</v>
      </c>
      <c r="E172" s="31">
        <f>VLOOKUP(B172,'Initial adjusted formula count'!$A$1:$P$317,12,FALSE)</f>
        <v>0.19383259911894299</v>
      </c>
      <c r="F172">
        <f>VLOOKUP(B172,'Model allocations'!$A$1:$L$317,11,FALSE)</f>
        <v>57532.946494008349</v>
      </c>
      <c r="G172" s="30">
        <f t="shared" si="55"/>
        <v>0.9</v>
      </c>
      <c r="H172">
        <f t="shared" si="56"/>
        <v>57532.946494008349</v>
      </c>
      <c r="I172">
        <f t="shared" si="38"/>
        <v>0</v>
      </c>
      <c r="J172">
        <f t="shared" si="39"/>
        <v>57532.946494008349</v>
      </c>
      <c r="K172">
        <f t="shared" si="40"/>
        <v>57499.389300582021</v>
      </c>
      <c r="L172">
        <f t="shared" si="41"/>
        <v>57499.389300582021</v>
      </c>
      <c r="M172">
        <f t="shared" si="42"/>
        <v>57532.946494008349</v>
      </c>
      <c r="N172" s="29">
        <f t="shared" si="43"/>
        <v>0</v>
      </c>
      <c r="O172" s="29">
        <f t="shared" si="44"/>
        <v>0</v>
      </c>
      <c r="P172" s="29">
        <f t="shared" si="45"/>
        <v>57532.946494008349</v>
      </c>
      <c r="Q172">
        <f t="shared" si="46"/>
        <v>0</v>
      </c>
      <c r="R172" s="29">
        <f t="shared" si="47"/>
        <v>0</v>
      </c>
      <c r="S172" s="29">
        <f t="shared" si="48"/>
        <v>0</v>
      </c>
      <c r="T172" s="29">
        <f t="shared" si="49"/>
        <v>57532.946494008349</v>
      </c>
      <c r="U172">
        <f t="shared" si="50"/>
        <v>0</v>
      </c>
      <c r="V172" s="29">
        <f t="shared" si="51"/>
        <v>0</v>
      </c>
      <c r="W172" s="29">
        <f t="shared" si="52"/>
        <v>0</v>
      </c>
      <c r="X172" s="29">
        <f t="shared" si="53"/>
        <v>57532.946494008349</v>
      </c>
      <c r="Y172">
        <f t="shared" si="54"/>
        <v>0</v>
      </c>
    </row>
    <row r="173" spans="1:25" x14ac:dyDescent="0.25">
      <c r="A173" s="4" t="s">
        <v>991</v>
      </c>
      <c r="B173" s="7" t="s">
        <v>183</v>
      </c>
      <c r="C173" s="2" t="s">
        <v>992</v>
      </c>
      <c r="D173">
        <f>VLOOKUP(B173,'Model allocations'!$A$1:$L$317,6,FALSE)</f>
        <v>0</v>
      </c>
      <c r="E173" s="31">
        <f>VLOOKUP(B173,'Initial adjusted formula count'!$A$1:$P$317,12,FALSE)</f>
        <v>4.0660881427867702E-2</v>
      </c>
      <c r="F173">
        <f>VLOOKUP(B173,'Model allocations'!$A$1:$L$317,11,FALSE)</f>
        <v>0</v>
      </c>
      <c r="G173" s="30">
        <f t="shared" si="55"/>
        <v>0.85</v>
      </c>
      <c r="H173">
        <f t="shared" si="5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1"/>
        <v>0</v>
      </c>
      <c r="M173">
        <f t="shared" si="42"/>
        <v>0</v>
      </c>
      <c r="N173" s="29">
        <f t="shared" si="43"/>
        <v>0</v>
      </c>
      <c r="O173" s="29">
        <f t="shared" si="44"/>
        <v>0</v>
      </c>
      <c r="P173" s="29">
        <f t="shared" si="45"/>
        <v>0</v>
      </c>
      <c r="Q173">
        <f t="shared" si="46"/>
        <v>0</v>
      </c>
      <c r="R173" s="29">
        <f t="shared" si="47"/>
        <v>0</v>
      </c>
      <c r="S173" s="29">
        <f t="shared" si="48"/>
        <v>0</v>
      </c>
      <c r="T173" s="29">
        <f t="shared" si="49"/>
        <v>0</v>
      </c>
      <c r="U173">
        <f t="shared" si="50"/>
        <v>0</v>
      </c>
      <c r="V173" s="29">
        <f t="shared" si="51"/>
        <v>0</v>
      </c>
      <c r="W173" s="29">
        <f t="shared" si="52"/>
        <v>0</v>
      </c>
      <c r="X173" s="29">
        <f t="shared" si="53"/>
        <v>0</v>
      </c>
      <c r="Y173">
        <f t="shared" si="54"/>
        <v>0</v>
      </c>
    </row>
    <row r="174" spans="1:25" x14ac:dyDescent="0.25">
      <c r="A174" s="4" t="s">
        <v>993</v>
      </c>
      <c r="B174" s="7" t="s">
        <v>185</v>
      </c>
      <c r="C174" s="2" t="s">
        <v>994</v>
      </c>
      <c r="D174">
        <f>VLOOKUP(B174,'Model allocations'!$A$1:$L$317,6,FALSE)</f>
        <v>257773.49907672699</v>
      </c>
      <c r="E174" s="31">
        <f>VLOOKUP(B174,'Initial adjusted formula count'!$A$1:$P$317,12,FALSE)</f>
        <v>9.6389588581024394E-2</v>
      </c>
      <c r="F174">
        <f>VLOOKUP(B174,'Model allocations'!$A$1:$L$317,11,FALSE)</f>
        <v>327503.15503513347</v>
      </c>
      <c r="G174" s="30">
        <f t="shared" si="55"/>
        <v>0.85</v>
      </c>
      <c r="H174">
        <f t="shared" si="56"/>
        <v>219107.47421521792</v>
      </c>
      <c r="I174">
        <f t="shared" si="38"/>
        <v>0</v>
      </c>
      <c r="J174">
        <f t="shared" si="39"/>
        <v>327503.15503513347</v>
      </c>
      <c r="K174">
        <f t="shared" si="40"/>
        <v>327312.13254470029</v>
      </c>
      <c r="L174">
        <f t="shared" si="41"/>
        <v>327312.13254470029</v>
      </c>
      <c r="M174">
        <f t="shared" si="42"/>
        <v>0</v>
      </c>
      <c r="N174" s="29">
        <f t="shared" si="43"/>
        <v>327312.13254470029</v>
      </c>
      <c r="O174" s="29">
        <f t="shared" si="44"/>
        <v>327287.21464449499</v>
      </c>
      <c r="P174" s="29">
        <f t="shared" si="45"/>
        <v>327287.21464449499</v>
      </c>
      <c r="Q174">
        <f t="shared" si="46"/>
        <v>0</v>
      </c>
      <c r="R174" s="29">
        <f t="shared" si="47"/>
        <v>327287.21464449499</v>
      </c>
      <c r="S174" s="29">
        <f t="shared" si="48"/>
        <v>327287.21464449499</v>
      </c>
      <c r="T174" s="29">
        <f t="shared" si="49"/>
        <v>327287.21464449499</v>
      </c>
      <c r="U174">
        <f t="shared" si="50"/>
        <v>0</v>
      </c>
      <c r="V174" s="29">
        <f t="shared" si="51"/>
        <v>327287.21464449499</v>
      </c>
      <c r="W174" s="29">
        <f t="shared" si="52"/>
        <v>327287.21464449499</v>
      </c>
      <c r="X174" s="29">
        <f t="shared" si="53"/>
        <v>327287.21464449499</v>
      </c>
      <c r="Y174">
        <f t="shared" si="54"/>
        <v>0</v>
      </c>
    </row>
    <row r="175" spans="1:25" x14ac:dyDescent="0.25">
      <c r="A175" s="4" t="s">
        <v>995</v>
      </c>
      <c r="B175" s="7" t="s">
        <v>187</v>
      </c>
      <c r="C175" s="2" t="s">
        <v>996</v>
      </c>
      <c r="D175">
        <f>VLOOKUP(B175,'Model allocations'!$A$1:$L$317,6,FALSE)</f>
        <v>9616.8440808669056</v>
      </c>
      <c r="E175" s="31">
        <f>VLOOKUP(B175,'Initial adjusted formula count'!$A$1:$P$317,12,FALSE)</f>
        <v>6.8702290076335895E-2</v>
      </c>
      <c r="F175">
        <f>VLOOKUP(B175,'Model allocations'!$A$1:$L$317,11,FALSE)</f>
        <v>0</v>
      </c>
      <c r="G175" s="30">
        <f t="shared" si="55"/>
        <v>0.85</v>
      </c>
      <c r="H175">
        <f t="shared" si="5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1"/>
        <v>0</v>
      </c>
      <c r="M175">
        <f t="shared" si="42"/>
        <v>0</v>
      </c>
      <c r="N175" s="29">
        <f t="shared" si="43"/>
        <v>0</v>
      </c>
      <c r="O175" s="29">
        <f t="shared" si="44"/>
        <v>0</v>
      </c>
      <c r="P175" s="29">
        <f t="shared" si="45"/>
        <v>0</v>
      </c>
      <c r="Q175">
        <f t="shared" si="46"/>
        <v>0</v>
      </c>
      <c r="R175" s="29">
        <f t="shared" si="47"/>
        <v>0</v>
      </c>
      <c r="S175" s="29">
        <f t="shared" si="48"/>
        <v>0</v>
      </c>
      <c r="T175" s="29">
        <f t="shared" si="49"/>
        <v>0</v>
      </c>
      <c r="U175">
        <f t="shared" si="50"/>
        <v>0</v>
      </c>
      <c r="V175" s="29">
        <f t="shared" si="51"/>
        <v>0</v>
      </c>
      <c r="W175" s="29">
        <f t="shared" si="52"/>
        <v>0</v>
      </c>
      <c r="X175" s="29">
        <f t="shared" si="53"/>
        <v>0</v>
      </c>
      <c r="Y175">
        <f t="shared" si="54"/>
        <v>0</v>
      </c>
    </row>
    <row r="176" spans="1:25" x14ac:dyDescent="0.25">
      <c r="A176" s="4" t="s">
        <v>997</v>
      </c>
      <c r="B176" s="7" t="s">
        <v>507</v>
      </c>
      <c r="C176" s="2" t="s">
        <v>998</v>
      </c>
      <c r="D176">
        <f>VLOOKUP(B176,'Model allocations'!$A$1:$L$317,6,FALSE)</f>
        <v>86436.336023009426</v>
      </c>
      <c r="E176" s="31">
        <f>VLOOKUP(B176,'Initial adjusted formula count'!$A$1:$P$317,12,FALSE)</f>
        <v>0.146017699115044</v>
      </c>
      <c r="F176">
        <f>VLOOKUP(B176,'Model allocations'!$A$1:$L$317,11,FALSE)</f>
        <v>73470.885619558016</v>
      </c>
      <c r="G176" s="30">
        <f t="shared" si="55"/>
        <v>0.85</v>
      </c>
      <c r="H176">
        <f t="shared" si="56"/>
        <v>73470.885619558016</v>
      </c>
      <c r="I176">
        <f t="shared" si="38"/>
        <v>0</v>
      </c>
      <c r="J176">
        <f t="shared" si="39"/>
        <v>73470.885619558016</v>
      </c>
      <c r="K176">
        <f t="shared" si="40"/>
        <v>73428.032317751276</v>
      </c>
      <c r="L176">
        <f t="shared" si="41"/>
        <v>73428.032317751276</v>
      </c>
      <c r="M176">
        <f t="shared" si="42"/>
        <v>73470.885619558016</v>
      </c>
      <c r="N176" s="29">
        <f t="shared" si="43"/>
        <v>0</v>
      </c>
      <c r="O176" s="29">
        <f t="shared" si="44"/>
        <v>0</v>
      </c>
      <c r="P176" s="29">
        <f t="shared" si="45"/>
        <v>73470.885619558016</v>
      </c>
      <c r="Q176">
        <f t="shared" si="46"/>
        <v>0</v>
      </c>
      <c r="R176" s="29">
        <f t="shared" si="47"/>
        <v>0</v>
      </c>
      <c r="S176" s="29">
        <f t="shared" si="48"/>
        <v>0</v>
      </c>
      <c r="T176" s="29">
        <f t="shared" si="49"/>
        <v>73470.885619558016</v>
      </c>
      <c r="U176">
        <f t="shared" si="50"/>
        <v>0</v>
      </c>
      <c r="V176" s="29">
        <f t="shared" si="51"/>
        <v>0</v>
      </c>
      <c r="W176" s="29">
        <f t="shared" si="52"/>
        <v>0</v>
      </c>
      <c r="X176" s="29">
        <f t="shared" si="53"/>
        <v>73470.885619558016</v>
      </c>
      <c r="Y176">
        <f t="shared" si="54"/>
        <v>0</v>
      </c>
    </row>
    <row r="177" spans="1:25" x14ac:dyDescent="0.25">
      <c r="A177" s="4" t="s">
        <v>999</v>
      </c>
      <c r="B177" s="7" t="s">
        <v>509</v>
      </c>
      <c r="C177" s="2" t="s">
        <v>1000</v>
      </c>
      <c r="D177">
        <f>VLOOKUP(B177,'Model allocations'!$A$1:$L$317,6,FALSE)</f>
        <v>121855.62533021074</v>
      </c>
      <c r="E177" s="31">
        <f>VLOOKUP(B177,'Initial adjusted formula count'!$A$1:$P$317,12,FALSE)</f>
        <v>0.18866080156402701</v>
      </c>
      <c r="F177">
        <f>VLOOKUP(B177,'Model allocations'!$A$1:$L$317,11,FALSE)</f>
        <v>124503.94746157891</v>
      </c>
      <c r="G177" s="30">
        <f t="shared" si="55"/>
        <v>0.9</v>
      </c>
      <c r="H177">
        <f t="shared" si="56"/>
        <v>109670.06279718966</v>
      </c>
      <c r="I177">
        <f t="shared" si="38"/>
        <v>0</v>
      </c>
      <c r="J177">
        <f t="shared" si="39"/>
        <v>124503.94746157891</v>
      </c>
      <c r="K177">
        <f t="shared" si="40"/>
        <v>124431.32814861284</v>
      </c>
      <c r="L177">
        <f t="shared" si="41"/>
        <v>124431.32814861284</v>
      </c>
      <c r="M177">
        <f t="shared" si="42"/>
        <v>0</v>
      </c>
      <c r="N177" s="29">
        <f t="shared" si="43"/>
        <v>124431.32814861284</v>
      </c>
      <c r="O177" s="29">
        <f t="shared" si="44"/>
        <v>124421.85533319009</v>
      </c>
      <c r="P177" s="29">
        <f t="shared" si="45"/>
        <v>124421.85533319009</v>
      </c>
      <c r="Q177">
        <f t="shared" si="46"/>
        <v>0</v>
      </c>
      <c r="R177" s="29">
        <f t="shared" si="47"/>
        <v>124421.85533319009</v>
      </c>
      <c r="S177" s="29">
        <f t="shared" si="48"/>
        <v>124421.85533319009</v>
      </c>
      <c r="T177" s="29">
        <f t="shared" si="49"/>
        <v>124421.85533319009</v>
      </c>
      <c r="U177">
        <f t="shared" si="50"/>
        <v>0</v>
      </c>
      <c r="V177" s="29">
        <f t="shared" si="51"/>
        <v>124421.85533319009</v>
      </c>
      <c r="W177" s="29">
        <f t="shared" si="52"/>
        <v>124421.85533319009</v>
      </c>
      <c r="X177" s="29">
        <f t="shared" si="53"/>
        <v>124421.85533319009</v>
      </c>
      <c r="Y177">
        <f t="shared" si="54"/>
        <v>0</v>
      </c>
    </row>
    <row r="178" spans="1:25" x14ac:dyDescent="0.25">
      <c r="A178" s="4" t="s">
        <v>1001</v>
      </c>
      <c r="B178" s="7" t="s">
        <v>511</v>
      </c>
      <c r="C178" s="2" t="s">
        <v>1002</v>
      </c>
      <c r="D178">
        <f>VLOOKUP(B178,'Model allocations'!$A$1:$L$317,6,FALSE)</f>
        <v>173066.14032105749</v>
      </c>
      <c r="E178" s="31">
        <f>VLOOKUP(B178,'Initial adjusted formula count'!$A$1:$P$317,12,FALSE)</f>
        <v>0.21212121212121199</v>
      </c>
      <c r="F178">
        <f>VLOOKUP(B178,'Model allocations'!$A$1:$L$317,11,FALSE)</f>
        <v>155759.52628895175</v>
      </c>
      <c r="G178" s="30">
        <f t="shared" si="55"/>
        <v>0.9</v>
      </c>
      <c r="H178">
        <f t="shared" si="56"/>
        <v>155759.52628895175</v>
      </c>
      <c r="I178">
        <f t="shared" si="38"/>
        <v>0</v>
      </c>
      <c r="J178">
        <f t="shared" si="39"/>
        <v>155759.52628895175</v>
      </c>
      <c r="K178">
        <f t="shared" si="40"/>
        <v>155668.67656074924</v>
      </c>
      <c r="L178">
        <f t="shared" si="41"/>
        <v>155668.67656074924</v>
      </c>
      <c r="M178">
        <f t="shared" si="42"/>
        <v>155759.52628895175</v>
      </c>
      <c r="N178" s="29">
        <f t="shared" si="43"/>
        <v>0</v>
      </c>
      <c r="O178" s="29">
        <f t="shared" si="44"/>
        <v>0</v>
      </c>
      <c r="P178" s="29">
        <f t="shared" si="45"/>
        <v>155759.52628895175</v>
      </c>
      <c r="Q178">
        <f t="shared" si="46"/>
        <v>0</v>
      </c>
      <c r="R178" s="29">
        <f t="shared" si="47"/>
        <v>0</v>
      </c>
      <c r="S178" s="29">
        <f t="shared" si="48"/>
        <v>0</v>
      </c>
      <c r="T178" s="29">
        <f t="shared" si="49"/>
        <v>155759.52628895175</v>
      </c>
      <c r="U178">
        <f t="shared" si="50"/>
        <v>0</v>
      </c>
      <c r="V178" s="29">
        <f t="shared" si="51"/>
        <v>0</v>
      </c>
      <c r="W178" s="29">
        <f t="shared" si="52"/>
        <v>0</v>
      </c>
      <c r="X178" s="29">
        <f t="shared" si="53"/>
        <v>155759.52628895175</v>
      </c>
      <c r="Y178">
        <f t="shared" si="54"/>
        <v>0</v>
      </c>
    </row>
    <row r="179" spans="1:25" x14ac:dyDescent="0.25">
      <c r="A179" s="4" t="s">
        <v>1003</v>
      </c>
      <c r="B179" s="7" t="s">
        <v>288</v>
      </c>
      <c r="C179" s="2" t="s">
        <v>1004</v>
      </c>
      <c r="D179">
        <f>VLOOKUP(B179,'Model allocations'!$A$1:$L$317,6,FALSE)</f>
        <v>18872.702610974666</v>
      </c>
      <c r="E179" s="31">
        <f>VLOOKUP(B179,'Initial adjusted formula count'!$A$1:$P$317,12,FALSE)</f>
        <v>0.14610389610389601</v>
      </c>
      <c r="F179">
        <f>VLOOKUP(B179,'Model allocations'!$A$1:$L$317,11,FALSE)</f>
        <v>25675.334453973872</v>
      </c>
      <c r="G179" s="30">
        <f t="shared" si="55"/>
        <v>0.85</v>
      </c>
      <c r="H179">
        <f t="shared" si="56"/>
        <v>16041.797219328466</v>
      </c>
      <c r="I179">
        <f t="shared" si="38"/>
        <v>0</v>
      </c>
      <c r="J179">
        <f t="shared" si="39"/>
        <v>25675.334453973872</v>
      </c>
      <c r="K179">
        <f t="shared" si="40"/>
        <v>25660.358823190782</v>
      </c>
      <c r="L179">
        <f t="shared" si="41"/>
        <v>25660.358823190782</v>
      </c>
      <c r="M179">
        <f t="shared" si="42"/>
        <v>0</v>
      </c>
      <c r="N179" s="29">
        <f t="shared" si="43"/>
        <v>25660.358823190782</v>
      </c>
      <c r="O179" s="29">
        <f t="shared" si="44"/>
        <v>25658.405329272249</v>
      </c>
      <c r="P179" s="29">
        <f t="shared" si="45"/>
        <v>25658.405329272249</v>
      </c>
      <c r="Q179">
        <f t="shared" si="46"/>
        <v>0</v>
      </c>
      <c r="R179" s="29">
        <f t="shared" si="47"/>
        <v>25658.405329272249</v>
      </c>
      <c r="S179" s="29">
        <f t="shared" si="48"/>
        <v>25658.405329272249</v>
      </c>
      <c r="T179" s="29">
        <f t="shared" si="49"/>
        <v>25658.405329272249</v>
      </c>
      <c r="U179">
        <f t="shared" si="50"/>
        <v>0</v>
      </c>
      <c r="V179" s="29">
        <f t="shared" si="51"/>
        <v>25658.405329272249</v>
      </c>
      <c r="W179" s="29">
        <f t="shared" si="52"/>
        <v>25658.405329272249</v>
      </c>
      <c r="X179" s="29">
        <f t="shared" si="53"/>
        <v>25658.405329272249</v>
      </c>
      <c r="Y179">
        <f t="shared" si="54"/>
        <v>0</v>
      </c>
    </row>
    <row r="180" spans="1:25" x14ac:dyDescent="0.25">
      <c r="A180" s="4" t="s">
        <v>1005</v>
      </c>
      <c r="B180" s="7" t="s">
        <v>513</v>
      </c>
      <c r="C180" s="2" t="s">
        <v>1006</v>
      </c>
      <c r="D180">
        <f>VLOOKUP(B180,'Model allocations'!$A$1:$L$317,6,FALSE)</f>
        <v>162057.22416926097</v>
      </c>
      <c r="E180" s="31">
        <f>VLOOKUP(B180,'Initial adjusted formula count'!$A$1:$P$317,12,FALSE)</f>
        <v>0.15970772442588699</v>
      </c>
      <c r="F180">
        <f>VLOOKUP(B180,'Model allocations'!$A$1:$L$317,11,FALSE)</f>
        <v>145851.50175233488</v>
      </c>
      <c r="G180" s="30">
        <f t="shared" si="55"/>
        <v>0.9</v>
      </c>
      <c r="H180">
        <f t="shared" si="56"/>
        <v>145851.50175233488</v>
      </c>
      <c r="I180">
        <f t="shared" si="38"/>
        <v>0</v>
      </c>
      <c r="J180">
        <f t="shared" si="39"/>
        <v>145851.50175233488</v>
      </c>
      <c r="K180">
        <f t="shared" si="40"/>
        <v>145766.43106929012</v>
      </c>
      <c r="L180">
        <f t="shared" si="41"/>
        <v>145766.43106929012</v>
      </c>
      <c r="M180">
        <f t="shared" si="42"/>
        <v>145851.50175233488</v>
      </c>
      <c r="N180" s="29">
        <f t="shared" si="43"/>
        <v>0</v>
      </c>
      <c r="O180" s="29">
        <f t="shared" si="44"/>
        <v>0</v>
      </c>
      <c r="P180" s="29">
        <f t="shared" si="45"/>
        <v>145851.50175233488</v>
      </c>
      <c r="Q180">
        <f t="shared" si="46"/>
        <v>0</v>
      </c>
      <c r="R180" s="29">
        <f t="shared" si="47"/>
        <v>0</v>
      </c>
      <c r="S180" s="29">
        <f t="shared" si="48"/>
        <v>0</v>
      </c>
      <c r="T180" s="29">
        <f t="shared" si="49"/>
        <v>145851.50175233488</v>
      </c>
      <c r="U180">
        <f t="shared" si="50"/>
        <v>0</v>
      </c>
      <c r="V180" s="29">
        <f t="shared" si="51"/>
        <v>0</v>
      </c>
      <c r="W180" s="29">
        <f t="shared" si="52"/>
        <v>0</v>
      </c>
      <c r="X180" s="29">
        <f t="shared" si="53"/>
        <v>145851.50175233488</v>
      </c>
      <c r="Y180">
        <f t="shared" si="54"/>
        <v>0</v>
      </c>
    </row>
    <row r="181" spans="1:25" x14ac:dyDescent="0.25">
      <c r="A181" s="4" t="s">
        <v>1007</v>
      </c>
      <c r="B181" s="7" t="s">
        <v>189</v>
      </c>
      <c r="C181" s="2" t="s">
        <v>1008</v>
      </c>
      <c r="D181">
        <f>VLOOKUP(B181,'Model allocations'!$A$1:$L$317,6,FALSE)</f>
        <v>730314.45343524578</v>
      </c>
      <c r="E181" s="31">
        <f>VLOOKUP(B181,'Initial adjusted formula count'!$A$1:$P$317,12,FALSE)</f>
        <v>8.54479046520569E-2</v>
      </c>
      <c r="F181">
        <f>VLOOKUP(B181,'Model allocations'!$A$1:$L$317,11,FALSE)</f>
        <v>620443.32795966254</v>
      </c>
      <c r="G181" s="30">
        <f t="shared" si="55"/>
        <v>0.85</v>
      </c>
      <c r="H181">
        <f t="shared" si="56"/>
        <v>620767.28541995888</v>
      </c>
      <c r="I181">
        <f t="shared" si="38"/>
        <v>620767.28541995888</v>
      </c>
      <c r="J181">
        <f t="shared" si="39"/>
        <v>0</v>
      </c>
      <c r="K181">
        <f t="shared" si="40"/>
        <v>0</v>
      </c>
      <c r="L181">
        <f t="shared" si="41"/>
        <v>620767.28541995888</v>
      </c>
      <c r="M181">
        <f t="shared" si="42"/>
        <v>0</v>
      </c>
      <c r="N181" s="29">
        <f t="shared" si="43"/>
        <v>0</v>
      </c>
      <c r="O181" s="29">
        <f t="shared" si="44"/>
        <v>0</v>
      </c>
      <c r="P181" s="29">
        <f t="shared" si="45"/>
        <v>620767.28541995888</v>
      </c>
      <c r="Q181">
        <f t="shared" si="46"/>
        <v>0</v>
      </c>
      <c r="R181" s="29">
        <f t="shared" si="47"/>
        <v>0</v>
      </c>
      <c r="S181" s="29">
        <f t="shared" si="48"/>
        <v>0</v>
      </c>
      <c r="T181" s="29">
        <f t="shared" si="49"/>
        <v>620767.28541995888</v>
      </c>
      <c r="U181">
        <f t="shared" si="50"/>
        <v>0</v>
      </c>
      <c r="V181" s="29">
        <f t="shared" si="51"/>
        <v>0</v>
      </c>
      <c r="W181" s="29">
        <f t="shared" si="52"/>
        <v>0</v>
      </c>
      <c r="X181" s="29">
        <f t="shared" si="53"/>
        <v>620767.28541995888</v>
      </c>
      <c r="Y181">
        <f t="shared" si="54"/>
        <v>0</v>
      </c>
    </row>
    <row r="182" spans="1:25" x14ac:dyDescent="0.25">
      <c r="A182" s="4" t="s">
        <v>1009</v>
      </c>
      <c r="B182" s="7" t="s">
        <v>515</v>
      </c>
      <c r="C182" s="2" t="s">
        <v>1010</v>
      </c>
      <c r="D182">
        <f>VLOOKUP(B182,'Model allocations'!$A$1:$L$317,6,FALSE)</f>
        <v>318076.68946457456</v>
      </c>
      <c r="E182" s="31">
        <f>VLOOKUP(B182,'Initial adjusted formula count'!$A$1:$P$317,12,FALSE)</f>
        <v>0.21063829787234001</v>
      </c>
      <c r="F182">
        <f>VLOOKUP(B182,'Model allocations'!$A$1:$L$317,11,FALSE)</f>
        <v>286269.02051811712</v>
      </c>
      <c r="G182" s="30">
        <f t="shared" si="55"/>
        <v>0.9</v>
      </c>
      <c r="H182">
        <f t="shared" si="56"/>
        <v>286269.02051811712</v>
      </c>
      <c r="I182">
        <f t="shared" si="38"/>
        <v>0</v>
      </c>
      <c r="J182">
        <f t="shared" si="39"/>
        <v>286269.02051811712</v>
      </c>
      <c r="K182">
        <f t="shared" si="40"/>
        <v>286102.04862672457</v>
      </c>
      <c r="L182">
        <f t="shared" si="41"/>
        <v>286102.04862672457</v>
      </c>
      <c r="M182">
        <f t="shared" si="42"/>
        <v>286269.02051811712</v>
      </c>
      <c r="N182" s="29">
        <f t="shared" si="43"/>
        <v>0</v>
      </c>
      <c r="O182" s="29">
        <f t="shared" si="44"/>
        <v>0</v>
      </c>
      <c r="P182" s="29">
        <f t="shared" si="45"/>
        <v>286269.02051811712</v>
      </c>
      <c r="Q182">
        <f t="shared" si="46"/>
        <v>0</v>
      </c>
      <c r="R182" s="29">
        <f t="shared" si="47"/>
        <v>0</v>
      </c>
      <c r="S182" s="29">
        <f t="shared" si="48"/>
        <v>0</v>
      </c>
      <c r="T182" s="29">
        <f t="shared" si="49"/>
        <v>286269.02051811712</v>
      </c>
      <c r="U182">
        <f t="shared" si="50"/>
        <v>0</v>
      </c>
      <c r="V182" s="29">
        <f t="shared" si="51"/>
        <v>0</v>
      </c>
      <c r="W182" s="29">
        <f t="shared" si="52"/>
        <v>0</v>
      </c>
      <c r="X182" s="29">
        <f t="shared" si="53"/>
        <v>286269.02051811712</v>
      </c>
      <c r="Y182">
        <f t="shared" si="54"/>
        <v>0</v>
      </c>
    </row>
    <row r="183" spans="1:25" x14ac:dyDescent="0.25">
      <c r="A183" s="4" t="s">
        <v>1011</v>
      </c>
      <c r="B183" s="7" t="s">
        <v>517</v>
      </c>
      <c r="C183" s="2" t="s">
        <v>1012</v>
      </c>
      <c r="D183">
        <f>VLOOKUP(B183,'Model allocations'!$A$1:$L$317,6,FALSE)</f>
        <v>72974.875672460665</v>
      </c>
      <c r="E183" s="31">
        <f>VLOOKUP(B183,'Initial adjusted formula count'!$A$1:$P$317,12,FALSE)</f>
        <v>0.10993657505285399</v>
      </c>
      <c r="F183">
        <f>VLOOKUP(B183,'Model allocations'!$A$1:$L$317,11,FALSE)</f>
        <v>62028.644321591564</v>
      </c>
      <c r="G183" s="30">
        <f t="shared" si="55"/>
        <v>0.85</v>
      </c>
      <c r="H183">
        <f t="shared" si="56"/>
        <v>62028.644321591564</v>
      </c>
      <c r="I183">
        <f t="shared" si="38"/>
        <v>0</v>
      </c>
      <c r="J183">
        <f t="shared" si="39"/>
        <v>62028.644321591564</v>
      </c>
      <c r="K183">
        <f t="shared" si="40"/>
        <v>61992.464926265638</v>
      </c>
      <c r="L183">
        <f t="shared" si="41"/>
        <v>61992.464926265638</v>
      </c>
      <c r="M183">
        <f t="shared" si="42"/>
        <v>62028.644321591564</v>
      </c>
      <c r="N183" s="29">
        <f t="shared" si="43"/>
        <v>0</v>
      </c>
      <c r="O183" s="29">
        <f t="shared" si="44"/>
        <v>0</v>
      </c>
      <c r="P183" s="29">
        <f t="shared" si="45"/>
        <v>62028.644321591564</v>
      </c>
      <c r="Q183">
        <f t="shared" si="46"/>
        <v>0</v>
      </c>
      <c r="R183" s="29">
        <f t="shared" si="47"/>
        <v>0</v>
      </c>
      <c r="S183" s="29">
        <f t="shared" si="48"/>
        <v>0</v>
      </c>
      <c r="T183" s="29">
        <f t="shared" si="49"/>
        <v>62028.644321591564</v>
      </c>
      <c r="U183">
        <f t="shared" si="50"/>
        <v>0</v>
      </c>
      <c r="V183" s="29">
        <f t="shared" si="51"/>
        <v>0</v>
      </c>
      <c r="W183" s="29">
        <f t="shared" si="52"/>
        <v>0</v>
      </c>
      <c r="X183" s="29">
        <f t="shared" si="53"/>
        <v>62028.644321591564</v>
      </c>
      <c r="Y183">
        <f t="shared" si="54"/>
        <v>0</v>
      </c>
    </row>
    <row r="184" spans="1:25" x14ac:dyDescent="0.25">
      <c r="A184" s="4" t="s">
        <v>1013</v>
      </c>
      <c r="B184" s="7" t="s">
        <v>519</v>
      </c>
      <c r="C184" s="2" t="s">
        <v>1014</v>
      </c>
      <c r="D184">
        <f>VLOOKUP(B184,'Model allocations'!$A$1:$L$317,6,FALSE)</f>
        <v>17083.89923712708</v>
      </c>
      <c r="E184" s="31">
        <f>VLOOKUP(B184,'Initial adjusted formula count'!$A$1:$P$317,12,FALSE)</f>
        <v>0.38095238095238099</v>
      </c>
      <c r="F184">
        <f>VLOOKUP(B184,'Model allocations'!$A$1:$L$317,11,FALSE)</f>
        <v>26212.162905182362</v>
      </c>
      <c r="G184" s="30">
        <f t="shared" si="55"/>
        <v>0.95</v>
      </c>
      <c r="H184">
        <f t="shared" si="56"/>
        <v>16229.704275270726</v>
      </c>
      <c r="I184">
        <f t="shared" si="38"/>
        <v>0</v>
      </c>
      <c r="J184">
        <f t="shared" si="39"/>
        <v>26212.162905182362</v>
      </c>
      <c r="K184">
        <f t="shared" si="40"/>
        <v>26196.874158918981</v>
      </c>
      <c r="L184">
        <f t="shared" si="41"/>
        <v>26196.874158918981</v>
      </c>
      <c r="M184">
        <f t="shared" si="42"/>
        <v>0</v>
      </c>
      <c r="N184" s="29">
        <f t="shared" si="43"/>
        <v>26196.874158918981</v>
      </c>
      <c r="O184" s="29">
        <f t="shared" si="44"/>
        <v>26194.879820698436</v>
      </c>
      <c r="P184" s="29">
        <f t="shared" si="45"/>
        <v>26194.879820698436</v>
      </c>
      <c r="Q184">
        <f t="shared" si="46"/>
        <v>0</v>
      </c>
      <c r="R184" s="29">
        <f t="shared" si="47"/>
        <v>26194.879820698436</v>
      </c>
      <c r="S184" s="29">
        <f t="shared" si="48"/>
        <v>26194.879820698436</v>
      </c>
      <c r="T184" s="29">
        <f t="shared" si="49"/>
        <v>26194.879820698436</v>
      </c>
      <c r="U184">
        <f t="shared" si="50"/>
        <v>0</v>
      </c>
      <c r="V184" s="29">
        <f t="shared" si="51"/>
        <v>26194.879820698436</v>
      </c>
      <c r="W184" s="29">
        <f t="shared" si="52"/>
        <v>26194.879820698436</v>
      </c>
      <c r="X184" s="29">
        <f t="shared" si="53"/>
        <v>26194.879820698436</v>
      </c>
      <c r="Y184">
        <f t="shared" si="54"/>
        <v>0</v>
      </c>
    </row>
    <row r="185" spans="1:25" x14ac:dyDescent="0.25">
      <c r="A185" s="4" t="s">
        <v>1015</v>
      </c>
      <c r="B185" s="7" t="s">
        <v>521</v>
      </c>
      <c r="C185" s="2" t="s">
        <v>1016</v>
      </c>
      <c r="D185">
        <f>VLOOKUP(B185,'Model allocations'!$A$1:$L$317,6,FALSE)</f>
        <v>44690.040140499143</v>
      </c>
      <c r="E185" s="31">
        <f>VLOOKUP(B185,'Initial adjusted formula count'!$A$1:$P$317,12,FALSE)</f>
        <v>0.146596858638743</v>
      </c>
      <c r="F185">
        <f>VLOOKUP(B185,'Model allocations'!$A$1:$L$317,11,FALSE)</f>
        <v>47927.290980751226</v>
      </c>
      <c r="G185" s="30">
        <f t="shared" si="55"/>
        <v>0.85</v>
      </c>
      <c r="H185">
        <f t="shared" si="56"/>
        <v>37986.534119424272</v>
      </c>
      <c r="I185">
        <f t="shared" si="38"/>
        <v>0</v>
      </c>
      <c r="J185">
        <f t="shared" si="39"/>
        <v>47927.290980751226</v>
      </c>
      <c r="K185">
        <f t="shared" si="40"/>
        <v>47899.336469956128</v>
      </c>
      <c r="L185">
        <f t="shared" si="41"/>
        <v>47899.336469956128</v>
      </c>
      <c r="M185">
        <f t="shared" si="42"/>
        <v>0</v>
      </c>
      <c r="N185" s="29">
        <f t="shared" si="43"/>
        <v>47899.336469956128</v>
      </c>
      <c r="O185" s="29">
        <f t="shared" si="44"/>
        <v>47895.689947974861</v>
      </c>
      <c r="P185" s="29">
        <f t="shared" si="45"/>
        <v>47895.689947974861</v>
      </c>
      <c r="Q185">
        <f t="shared" si="46"/>
        <v>0</v>
      </c>
      <c r="R185" s="29">
        <f t="shared" si="47"/>
        <v>47895.689947974861</v>
      </c>
      <c r="S185" s="29">
        <f t="shared" si="48"/>
        <v>47895.689947974861</v>
      </c>
      <c r="T185" s="29">
        <f t="shared" si="49"/>
        <v>47895.689947974861</v>
      </c>
      <c r="U185">
        <f t="shared" si="50"/>
        <v>0</v>
      </c>
      <c r="V185" s="29">
        <f t="shared" si="51"/>
        <v>47895.689947974861</v>
      </c>
      <c r="W185" s="29">
        <f t="shared" si="52"/>
        <v>47895.689947974861</v>
      </c>
      <c r="X185" s="29">
        <f t="shared" si="53"/>
        <v>47895.689947974861</v>
      </c>
      <c r="Y185">
        <f t="shared" si="54"/>
        <v>0</v>
      </c>
    </row>
    <row r="186" spans="1:25" x14ac:dyDescent="0.25">
      <c r="A186" s="4" t="s">
        <v>1017</v>
      </c>
      <c r="B186" s="7" t="s">
        <v>290</v>
      </c>
      <c r="C186" s="2" t="s">
        <v>1018</v>
      </c>
      <c r="D186">
        <f>VLOOKUP(B186,'Model allocations'!$A$1:$L$317,6,FALSE)</f>
        <v>12445.327634063058</v>
      </c>
      <c r="E186" s="31">
        <f>VLOOKUP(B186,'Initial adjusted formula count'!$A$1:$P$317,12,FALSE)</f>
        <v>8.98876404494382E-2</v>
      </c>
      <c r="F186">
        <f>VLOOKUP(B186,'Model allocations'!$A$1:$L$317,11,FALSE)</f>
        <v>10578.5284889536</v>
      </c>
      <c r="G186" s="30">
        <f t="shared" si="55"/>
        <v>0.85</v>
      </c>
      <c r="H186">
        <f t="shared" si="56"/>
        <v>10578.5284889536</v>
      </c>
      <c r="I186">
        <f t="shared" si="38"/>
        <v>0</v>
      </c>
      <c r="J186">
        <f t="shared" si="39"/>
        <v>10578.5284889536</v>
      </c>
      <c r="K186">
        <f t="shared" si="40"/>
        <v>10572.35835951817</v>
      </c>
      <c r="L186">
        <f t="shared" si="41"/>
        <v>10572.35835951817</v>
      </c>
      <c r="M186">
        <f t="shared" si="42"/>
        <v>10578.5284889536</v>
      </c>
      <c r="N186" s="29">
        <f t="shared" si="43"/>
        <v>0</v>
      </c>
      <c r="O186" s="29">
        <f t="shared" si="44"/>
        <v>0</v>
      </c>
      <c r="P186" s="29">
        <f t="shared" si="45"/>
        <v>10578.5284889536</v>
      </c>
      <c r="Q186">
        <f t="shared" si="46"/>
        <v>0</v>
      </c>
      <c r="R186" s="29">
        <f t="shared" si="47"/>
        <v>0</v>
      </c>
      <c r="S186" s="29">
        <f t="shared" si="48"/>
        <v>0</v>
      </c>
      <c r="T186" s="29">
        <f t="shared" si="49"/>
        <v>10578.5284889536</v>
      </c>
      <c r="U186">
        <f t="shared" si="50"/>
        <v>0</v>
      </c>
      <c r="V186" s="29">
        <f t="shared" si="51"/>
        <v>0</v>
      </c>
      <c r="W186" s="29">
        <f t="shared" si="52"/>
        <v>0</v>
      </c>
      <c r="X186" s="29">
        <f t="shared" si="53"/>
        <v>10578.5284889536</v>
      </c>
      <c r="Y186">
        <f t="shared" si="54"/>
        <v>0</v>
      </c>
    </row>
    <row r="187" spans="1:25" x14ac:dyDescent="0.25">
      <c r="A187" s="4" t="s">
        <v>1019</v>
      </c>
      <c r="B187" s="7" t="s">
        <v>523</v>
      </c>
      <c r="C187" s="2" t="s">
        <v>1020</v>
      </c>
      <c r="D187">
        <f>VLOOKUP(B187,'Model allocations'!$A$1:$L$317,6,FALSE)</f>
        <v>30444.439294497824</v>
      </c>
      <c r="E187" s="31">
        <f>VLOOKUP(B187,'Initial adjusted formula count'!$A$1:$P$317,12,FALSE)</f>
        <v>0.34615384615384598</v>
      </c>
      <c r="F187">
        <f>VLOOKUP(B187,'Model allocations'!$A$1:$L$317,11,FALSE)</f>
        <v>45699.955716868986</v>
      </c>
      <c r="G187" s="30">
        <f t="shared" si="55"/>
        <v>0.95</v>
      </c>
      <c r="H187">
        <f t="shared" si="56"/>
        <v>28922.217329772931</v>
      </c>
      <c r="I187">
        <f t="shared" si="38"/>
        <v>0</v>
      </c>
      <c r="J187">
        <f t="shared" si="39"/>
        <v>45699.955716868986</v>
      </c>
      <c r="K187">
        <f t="shared" si="40"/>
        <v>45673.30034204432</v>
      </c>
      <c r="L187">
        <f t="shared" si="41"/>
        <v>45673.30034204432</v>
      </c>
      <c r="M187">
        <f t="shared" si="42"/>
        <v>0</v>
      </c>
      <c r="N187" s="29">
        <f t="shared" si="43"/>
        <v>45673.30034204432</v>
      </c>
      <c r="O187" s="29">
        <f t="shared" si="44"/>
        <v>45669.823285660488</v>
      </c>
      <c r="P187" s="29">
        <f t="shared" si="45"/>
        <v>45669.823285660488</v>
      </c>
      <c r="Q187">
        <f t="shared" si="46"/>
        <v>0</v>
      </c>
      <c r="R187" s="29">
        <f t="shared" si="47"/>
        <v>45669.823285660488</v>
      </c>
      <c r="S187" s="29">
        <f t="shared" si="48"/>
        <v>45669.823285660488</v>
      </c>
      <c r="T187" s="29">
        <f t="shared" si="49"/>
        <v>45669.823285660488</v>
      </c>
      <c r="U187">
        <f t="shared" si="50"/>
        <v>0</v>
      </c>
      <c r="V187" s="29">
        <f t="shared" si="51"/>
        <v>45669.823285660488</v>
      </c>
      <c r="W187" s="29">
        <f t="shared" si="52"/>
        <v>45669.823285660488</v>
      </c>
      <c r="X187" s="29">
        <f t="shared" si="53"/>
        <v>45669.823285660488</v>
      </c>
      <c r="Y187">
        <f t="shared" si="54"/>
        <v>0</v>
      </c>
    </row>
    <row r="188" spans="1:25" x14ac:dyDescent="0.25">
      <c r="A188" s="4" t="s">
        <v>1021</v>
      </c>
      <c r="B188" s="7" t="s">
        <v>525</v>
      </c>
      <c r="C188" s="2" t="s">
        <v>1022</v>
      </c>
      <c r="D188">
        <f>VLOOKUP(B188,'Model allocations'!$A$1:$L$317,6,FALSE)</f>
        <v>34863.15681055926</v>
      </c>
      <c r="E188" s="31">
        <f>VLOOKUP(B188,'Initial adjusted formula count'!$A$1:$P$317,12,FALSE)</f>
        <v>7.1969696969697003E-2</v>
      </c>
      <c r="F188">
        <f>VLOOKUP(B188,'Model allocations'!$A$1:$L$317,11,FALSE)</f>
        <v>29633.683288975371</v>
      </c>
      <c r="G188" s="30">
        <f t="shared" si="55"/>
        <v>0.85</v>
      </c>
      <c r="H188">
        <f t="shared" si="56"/>
        <v>29633.683288975371</v>
      </c>
      <c r="I188">
        <f t="shared" si="38"/>
        <v>0</v>
      </c>
      <c r="J188">
        <f t="shared" si="39"/>
        <v>29633.683288975371</v>
      </c>
      <c r="K188">
        <f t="shared" si="40"/>
        <v>29616.398875388695</v>
      </c>
      <c r="L188">
        <f t="shared" si="41"/>
        <v>29616.398875388695</v>
      </c>
      <c r="M188">
        <f t="shared" si="42"/>
        <v>29633.683288975371</v>
      </c>
      <c r="N188" s="29">
        <f t="shared" si="43"/>
        <v>0</v>
      </c>
      <c r="O188" s="29">
        <f t="shared" si="44"/>
        <v>0</v>
      </c>
      <c r="P188" s="29">
        <f t="shared" si="45"/>
        <v>29633.683288975371</v>
      </c>
      <c r="Q188">
        <f t="shared" si="46"/>
        <v>0</v>
      </c>
      <c r="R188" s="29">
        <f t="shared" si="47"/>
        <v>0</v>
      </c>
      <c r="S188" s="29">
        <f t="shared" si="48"/>
        <v>0</v>
      </c>
      <c r="T188" s="29">
        <f t="shared" si="49"/>
        <v>29633.683288975371</v>
      </c>
      <c r="U188">
        <f t="shared" si="50"/>
        <v>0</v>
      </c>
      <c r="V188" s="29">
        <f t="shared" si="51"/>
        <v>0</v>
      </c>
      <c r="W188" s="29">
        <f t="shared" si="52"/>
        <v>0</v>
      </c>
      <c r="X188" s="29">
        <f t="shared" si="53"/>
        <v>29633.683288975371</v>
      </c>
      <c r="Y188">
        <f t="shared" si="54"/>
        <v>0</v>
      </c>
    </row>
    <row r="189" spans="1:25" x14ac:dyDescent="0.25">
      <c r="A189" s="4" t="s">
        <v>1023</v>
      </c>
      <c r="B189" s="7" t="s">
        <v>527</v>
      </c>
      <c r="C189" s="2" t="s">
        <v>1024</v>
      </c>
      <c r="D189">
        <f>VLOOKUP(B189,'Model allocations'!$A$1:$L$317,6,FALSE)</f>
        <v>264395.0129220672</v>
      </c>
      <c r="E189" s="31">
        <f>VLOOKUP(B189,'Initial adjusted formula count'!$A$1:$P$317,12,FALSE)</f>
        <v>0.215317919075144</v>
      </c>
      <c r="F189">
        <f>VLOOKUP(B189,'Model allocations'!$A$1:$L$317,11,FALSE)</f>
        <v>237955.51162986047</v>
      </c>
      <c r="G189" s="30">
        <f t="shared" si="55"/>
        <v>0.9</v>
      </c>
      <c r="H189">
        <f t="shared" si="56"/>
        <v>237955.51162986047</v>
      </c>
      <c r="I189">
        <f t="shared" si="38"/>
        <v>0</v>
      </c>
      <c r="J189">
        <f t="shared" si="39"/>
        <v>237955.51162986047</v>
      </c>
      <c r="K189">
        <f t="shared" si="40"/>
        <v>237816.71951825786</v>
      </c>
      <c r="L189">
        <f t="shared" si="41"/>
        <v>237816.71951825786</v>
      </c>
      <c r="M189">
        <f t="shared" si="42"/>
        <v>237955.51162986047</v>
      </c>
      <c r="N189" s="29">
        <f t="shared" si="43"/>
        <v>0</v>
      </c>
      <c r="O189" s="29">
        <f t="shared" si="44"/>
        <v>0</v>
      </c>
      <c r="P189" s="29">
        <f t="shared" si="45"/>
        <v>237955.51162986047</v>
      </c>
      <c r="Q189">
        <f t="shared" si="46"/>
        <v>0</v>
      </c>
      <c r="R189" s="29">
        <f t="shared" si="47"/>
        <v>0</v>
      </c>
      <c r="S189" s="29">
        <f t="shared" si="48"/>
        <v>0</v>
      </c>
      <c r="T189" s="29">
        <f t="shared" si="49"/>
        <v>237955.51162986047</v>
      </c>
      <c r="U189">
        <f t="shared" si="50"/>
        <v>0</v>
      </c>
      <c r="V189" s="29">
        <f t="shared" si="51"/>
        <v>0</v>
      </c>
      <c r="W189" s="29">
        <f t="shared" si="52"/>
        <v>0</v>
      </c>
      <c r="X189" s="29">
        <f t="shared" si="53"/>
        <v>237955.51162986047</v>
      </c>
      <c r="Y189">
        <f t="shared" si="54"/>
        <v>0</v>
      </c>
    </row>
    <row r="190" spans="1:25" x14ac:dyDescent="0.25">
      <c r="A190" s="4" t="s">
        <v>1025</v>
      </c>
      <c r="B190" s="7" t="s">
        <v>292</v>
      </c>
      <c r="C190" s="2" t="s">
        <v>1026</v>
      </c>
      <c r="D190">
        <f>VLOOKUP(B190,'Model allocations'!$A$1:$L$317,6,FALSE)</f>
        <v>97865.530940586759</v>
      </c>
      <c r="E190" s="31">
        <f>VLOOKUP(B190,'Initial adjusted formula count'!$A$1:$P$317,12,FALSE)</f>
        <v>5.0091631032376301E-2</v>
      </c>
      <c r="F190">
        <f>VLOOKUP(B190,'Model allocations'!$A$1:$L$317,11,FALSE)</f>
        <v>93572.330010038102</v>
      </c>
      <c r="G190" s="30">
        <f t="shared" si="55"/>
        <v>0.85</v>
      </c>
      <c r="H190">
        <f t="shared" si="56"/>
        <v>83185.701299498745</v>
      </c>
      <c r="I190">
        <f t="shared" si="38"/>
        <v>0</v>
      </c>
      <c r="J190">
        <f t="shared" si="39"/>
        <v>93572.330010038102</v>
      </c>
      <c r="K190">
        <f t="shared" si="40"/>
        <v>93517.752155628623</v>
      </c>
      <c r="L190">
        <f t="shared" si="41"/>
        <v>93517.752155628623</v>
      </c>
      <c r="M190">
        <f t="shared" si="42"/>
        <v>0</v>
      </c>
      <c r="N190" s="29">
        <f t="shared" si="43"/>
        <v>93517.752155628623</v>
      </c>
      <c r="O190" s="29">
        <f t="shared" si="44"/>
        <v>93510.632755569968</v>
      </c>
      <c r="P190" s="29">
        <f t="shared" si="45"/>
        <v>93510.632755569968</v>
      </c>
      <c r="Q190">
        <f t="shared" si="46"/>
        <v>0</v>
      </c>
      <c r="R190" s="29">
        <f t="shared" si="47"/>
        <v>93510.632755569968</v>
      </c>
      <c r="S190" s="29">
        <f t="shared" si="48"/>
        <v>93510.632755569968</v>
      </c>
      <c r="T190" s="29">
        <f t="shared" si="49"/>
        <v>93510.632755569968</v>
      </c>
      <c r="U190">
        <f t="shared" si="50"/>
        <v>0</v>
      </c>
      <c r="V190" s="29">
        <f t="shared" si="51"/>
        <v>93510.632755569968</v>
      </c>
      <c r="W190" s="29">
        <f t="shared" si="52"/>
        <v>93510.632755569968</v>
      </c>
      <c r="X190" s="29">
        <f t="shared" si="53"/>
        <v>93510.632755569968</v>
      </c>
      <c r="Y190">
        <f t="shared" si="54"/>
        <v>0</v>
      </c>
    </row>
    <row r="191" spans="1:25" x14ac:dyDescent="0.25">
      <c r="A191" s="4" t="s">
        <v>1027</v>
      </c>
      <c r="B191" s="7" t="s">
        <v>529</v>
      </c>
      <c r="C191" s="2" t="s">
        <v>1028</v>
      </c>
      <c r="D191">
        <f>VLOOKUP(B191,'Model allocations'!$A$1:$L$317,6,FALSE)</f>
        <v>500479.12715852086</v>
      </c>
      <c r="E191" s="31">
        <f>VLOOKUP(B191,'Initial adjusted formula count'!$A$1:$P$317,12,FALSE)</f>
        <v>0.199514991181658</v>
      </c>
      <c r="F191">
        <f>VLOOKUP(B191,'Model allocations'!$A$1:$L$317,11,FALSE)</f>
        <v>601212.71867347159</v>
      </c>
      <c r="G191" s="30">
        <f t="shared" si="55"/>
        <v>0.9</v>
      </c>
      <c r="H191">
        <f t="shared" si="56"/>
        <v>450431.21444266877</v>
      </c>
      <c r="I191">
        <f t="shared" si="38"/>
        <v>0</v>
      </c>
      <c r="J191">
        <f t="shared" si="39"/>
        <v>601212.71867347159</v>
      </c>
      <c r="K191">
        <f t="shared" si="40"/>
        <v>600862.04983552161</v>
      </c>
      <c r="L191">
        <f t="shared" si="41"/>
        <v>600862.04983552161</v>
      </c>
      <c r="M191">
        <f t="shared" si="42"/>
        <v>0</v>
      </c>
      <c r="N191" s="29">
        <f t="shared" si="43"/>
        <v>600862.04983552161</v>
      </c>
      <c r="O191" s="29">
        <f t="shared" si="44"/>
        <v>600816.30689138279</v>
      </c>
      <c r="P191" s="29">
        <f t="shared" si="45"/>
        <v>600816.30689138279</v>
      </c>
      <c r="Q191">
        <f t="shared" si="46"/>
        <v>0</v>
      </c>
      <c r="R191" s="29">
        <f t="shared" si="47"/>
        <v>600816.30689138279</v>
      </c>
      <c r="S191" s="29">
        <f t="shared" si="48"/>
        <v>600816.30689138279</v>
      </c>
      <c r="T191" s="29">
        <f t="shared" si="49"/>
        <v>600816.30689138279</v>
      </c>
      <c r="U191">
        <f t="shared" si="50"/>
        <v>0</v>
      </c>
      <c r="V191" s="29">
        <f t="shared" si="51"/>
        <v>600816.30689138279</v>
      </c>
      <c r="W191" s="29">
        <f t="shared" si="52"/>
        <v>600816.30689138279</v>
      </c>
      <c r="X191" s="29">
        <f t="shared" si="53"/>
        <v>600816.30689138279</v>
      </c>
      <c r="Y191">
        <f t="shared" si="54"/>
        <v>0</v>
      </c>
    </row>
    <row r="192" spans="1:25" x14ac:dyDescent="0.25">
      <c r="A192" s="4" t="s">
        <v>1029</v>
      </c>
      <c r="B192" s="7" t="s">
        <v>531</v>
      </c>
      <c r="C192" s="2" t="s">
        <v>1030</v>
      </c>
      <c r="D192">
        <f>VLOOKUP(B192,'Model allocations'!$A$1:$L$317,6,FALSE)</f>
        <v>6879.6763651632755</v>
      </c>
      <c r="E192" s="31">
        <f>VLOOKUP(B192,'Initial adjusted formula count'!$A$1:$P$317,12,FALSE)</f>
        <v>0.10638297872340401</v>
      </c>
      <c r="F192">
        <f>VLOOKUP(B192,'Model allocations'!$A$1:$L$317,11,FALSE)</f>
        <v>0</v>
      </c>
      <c r="G192" s="30">
        <f t="shared" si="55"/>
        <v>0.85</v>
      </c>
      <c r="H192">
        <f t="shared" si="56"/>
        <v>0</v>
      </c>
      <c r="I192">
        <f t="shared" si="38"/>
        <v>0</v>
      </c>
      <c r="J192">
        <f t="shared" si="39"/>
        <v>0</v>
      </c>
      <c r="K192">
        <f t="shared" si="40"/>
        <v>0</v>
      </c>
      <c r="L192">
        <f t="shared" si="41"/>
        <v>0</v>
      </c>
      <c r="M192">
        <f t="shared" si="42"/>
        <v>0</v>
      </c>
      <c r="N192" s="29">
        <f t="shared" si="43"/>
        <v>0</v>
      </c>
      <c r="O192" s="29">
        <f t="shared" si="44"/>
        <v>0</v>
      </c>
      <c r="P192" s="29">
        <f t="shared" si="45"/>
        <v>0</v>
      </c>
      <c r="Q192">
        <f t="shared" si="46"/>
        <v>0</v>
      </c>
      <c r="R192" s="29">
        <f t="shared" si="47"/>
        <v>0</v>
      </c>
      <c r="S192" s="29">
        <f t="shared" si="48"/>
        <v>0</v>
      </c>
      <c r="T192" s="29">
        <f t="shared" si="49"/>
        <v>0</v>
      </c>
      <c r="U192">
        <f t="shared" si="50"/>
        <v>0</v>
      </c>
      <c r="V192" s="29">
        <f t="shared" si="51"/>
        <v>0</v>
      </c>
      <c r="W192" s="29">
        <f t="shared" si="52"/>
        <v>0</v>
      </c>
      <c r="X192" s="29">
        <f t="shared" si="53"/>
        <v>0</v>
      </c>
      <c r="Y192">
        <f t="shared" si="54"/>
        <v>0</v>
      </c>
    </row>
    <row r="193" spans="1:25" x14ac:dyDescent="0.25">
      <c r="A193" s="4" t="s">
        <v>1031</v>
      </c>
      <c r="B193" s="7" t="s">
        <v>533</v>
      </c>
      <c r="C193" s="2" t="s">
        <v>1032</v>
      </c>
      <c r="D193">
        <f>VLOOKUP(B193,'Model allocations'!$A$1:$L$317,6,FALSE)</f>
        <v>0</v>
      </c>
      <c r="E193" s="31">
        <f>VLOOKUP(B193,'Initial adjusted formula count'!$A$1:$P$317,12,FALSE)</f>
        <v>4.8582995951416998E-2</v>
      </c>
      <c r="F193">
        <f>VLOOKUP(B193,'Model allocations'!$A$1:$L$317,11,FALSE)</f>
        <v>0</v>
      </c>
      <c r="G193" s="30">
        <f t="shared" si="55"/>
        <v>0.85</v>
      </c>
      <c r="H193">
        <f t="shared" si="5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1"/>
        <v>0</v>
      </c>
      <c r="M193">
        <f t="shared" si="42"/>
        <v>0</v>
      </c>
      <c r="N193" s="29">
        <f t="shared" si="43"/>
        <v>0</v>
      </c>
      <c r="O193" s="29">
        <f t="shared" si="44"/>
        <v>0</v>
      </c>
      <c r="P193" s="29">
        <f t="shared" si="45"/>
        <v>0</v>
      </c>
      <c r="Q193">
        <f t="shared" si="46"/>
        <v>0</v>
      </c>
      <c r="R193" s="29">
        <f t="shared" si="47"/>
        <v>0</v>
      </c>
      <c r="S193" s="29">
        <f t="shared" si="48"/>
        <v>0</v>
      </c>
      <c r="T193" s="29">
        <f t="shared" si="49"/>
        <v>0</v>
      </c>
      <c r="U193">
        <f t="shared" si="50"/>
        <v>0</v>
      </c>
      <c r="V193" s="29">
        <f t="shared" si="51"/>
        <v>0</v>
      </c>
      <c r="W193" s="29">
        <f t="shared" si="52"/>
        <v>0</v>
      </c>
      <c r="X193" s="29">
        <f t="shared" si="53"/>
        <v>0</v>
      </c>
      <c r="Y193">
        <f t="shared" si="54"/>
        <v>0</v>
      </c>
    </row>
    <row r="194" spans="1:25" x14ac:dyDescent="0.25">
      <c r="A194" s="4" t="s">
        <v>1033</v>
      </c>
      <c r="B194" s="7" t="s">
        <v>535</v>
      </c>
      <c r="C194" s="2" t="s">
        <v>1034</v>
      </c>
      <c r="D194">
        <f>VLOOKUP(B194,'Model allocations'!$A$1:$L$317,6,FALSE)</f>
        <v>1903852.279656328</v>
      </c>
      <c r="E194" s="31">
        <f>VLOOKUP(B194,'Initial adjusted formula count'!$A$1:$P$317,12,FALSE)</f>
        <v>0.15642321086967201</v>
      </c>
      <c r="F194">
        <f>VLOOKUP(B194,'Model allocations'!$A$1:$L$317,11,FALSE)</f>
        <v>2796614.485025621</v>
      </c>
      <c r="G194" s="30">
        <f t="shared" si="55"/>
        <v>0.9</v>
      </c>
      <c r="H194">
        <f t="shared" si="56"/>
        <v>1713467.0516906953</v>
      </c>
      <c r="I194">
        <f t="shared" si="38"/>
        <v>0</v>
      </c>
      <c r="J194">
        <f t="shared" si="39"/>
        <v>2796614.485025621</v>
      </c>
      <c r="K194">
        <f t="shared" si="40"/>
        <v>2794983.3060415476</v>
      </c>
      <c r="L194">
        <f t="shared" si="41"/>
        <v>2794983.3060415476</v>
      </c>
      <c r="M194">
        <f t="shared" si="42"/>
        <v>0</v>
      </c>
      <c r="N194" s="29">
        <f t="shared" si="43"/>
        <v>2794983.3060415476</v>
      </c>
      <c r="O194" s="29">
        <f t="shared" si="44"/>
        <v>2794770.5271428432</v>
      </c>
      <c r="P194" s="29">
        <f t="shared" si="45"/>
        <v>2794770.5271428432</v>
      </c>
      <c r="Q194">
        <f t="shared" si="46"/>
        <v>0</v>
      </c>
      <c r="R194" s="29">
        <f t="shared" si="47"/>
        <v>2794770.5271428432</v>
      </c>
      <c r="S194" s="29">
        <f t="shared" si="48"/>
        <v>2794770.5271428432</v>
      </c>
      <c r="T194" s="29">
        <f t="shared" si="49"/>
        <v>2794770.5271428432</v>
      </c>
      <c r="U194">
        <f t="shared" si="50"/>
        <v>0</v>
      </c>
      <c r="V194" s="29">
        <f t="shared" si="51"/>
        <v>2794770.5271428432</v>
      </c>
      <c r="W194" s="29">
        <f t="shared" si="52"/>
        <v>2794770.5271428432</v>
      </c>
      <c r="X194" s="29">
        <f t="shared" si="53"/>
        <v>2794770.5271428432</v>
      </c>
      <c r="Y194">
        <f t="shared" si="54"/>
        <v>0</v>
      </c>
    </row>
    <row r="195" spans="1:25" x14ac:dyDescent="0.25">
      <c r="A195" s="4" t="s">
        <v>1035</v>
      </c>
      <c r="B195" s="7" t="s">
        <v>537</v>
      </c>
      <c r="C195" s="2" t="s">
        <v>1036</v>
      </c>
      <c r="D195">
        <f>VLOOKUP(B195,'Model allocations'!$A$1:$L$317,6,FALSE)</f>
        <v>37869.176754537511</v>
      </c>
      <c r="E195" s="31">
        <f>VLOOKUP(B195,'Initial adjusted formula count'!$A$1:$P$317,12,FALSE)</f>
        <v>0.16027874564459901</v>
      </c>
      <c r="F195">
        <f>VLOOKUP(B195,'Model allocations'!$A$1:$L$317,11,FALSE)</f>
        <v>34082.259079083764</v>
      </c>
      <c r="G195" s="30">
        <f t="shared" si="55"/>
        <v>0.9</v>
      </c>
      <c r="H195">
        <f t="shared" si="56"/>
        <v>34082.259079083764</v>
      </c>
      <c r="I195">
        <f t="shared" si="38"/>
        <v>0</v>
      </c>
      <c r="J195">
        <f t="shared" si="39"/>
        <v>34082.259079083764</v>
      </c>
      <c r="K195">
        <f t="shared" si="40"/>
        <v>34062.379948428745</v>
      </c>
      <c r="L195">
        <f t="shared" si="41"/>
        <v>34062.379948428745</v>
      </c>
      <c r="M195">
        <f t="shared" si="42"/>
        <v>34082.259079083764</v>
      </c>
      <c r="N195" s="29">
        <f t="shared" si="43"/>
        <v>0</v>
      </c>
      <c r="O195" s="29">
        <f t="shared" si="44"/>
        <v>0</v>
      </c>
      <c r="P195" s="29">
        <f t="shared" si="45"/>
        <v>34082.259079083764</v>
      </c>
      <c r="Q195">
        <f t="shared" si="46"/>
        <v>0</v>
      </c>
      <c r="R195" s="29">
        <f t="shared" si="47"/>
        <v>0</v>
      </c>
      <c r="S195" s="29">
        <f t="shared" si="48"/>
        <v>0</v>
      </c>
      <c r="T195" s="29">
        <f t="shared" si="49"/>
        <v>34082.259079083764</v>
      </c>
      <c r="U195">
        <f t="shared" si="50"/>
        <v>0</v>
      </c>
      <c r="V195" s="29">
        <f t="shared" si="51"/>
        <v>0</v>
      </c>
      <c r="W195" s="29">
        <f t="shared" si="52"/>
        <v>0</v>
      </c>
      <c r="X195" s="29">
        <f t="shared" si="53"/>
        <v>34082.259079083764</v>
      </c>
      <c r="Y195">
        <f t="shared" si="54"/>
        <v>0</v>
      </c>
    </row>
    <row r="196" spans="1:25" x14ac:dyDescent="0.25">
      <c r="A196" s="4" t="s">
        <v>1037</v>
      </c>
      <c r="B196" s="7" t="s">
        <v>191</v>
      </c>
      <c r="C196" s="2" t="s">
        <v>1038</v>
      </c>
      <c r="D196">
        <f>VLOOKUP(B196,'Model allocations'!$A$1:$L$317,6,FALSE)</f>
        <v>0</v>
      </c>
      <c r="E196" s="31">
        <f>VLOOKUP(B196,'Initial adjusted formula count'!$A$1:$P$317,12,FALSE)</f>
        <v>4.49438202247191E-2</v>
      </c>
      <c r="F196">
        <f>VLOOKUP(B196,'Model allocations'!$A$1:$L$317,11,FALSE)</f>
        <v>0</v>
      </c>
      <c r="G196" s="30">
        <f t="shared" si="55"/>
        <v>0.85</v>
      </c>
      <c r="H196">
        <f t="shared" si="56"/>
        <v>0</v>
      </c>
      <c r="I196">
        <f t="shared" ref="I196:I258" si="57">IF(F196&lt;H196,H196,0)</f>
        <v>0</v>
      </c>
      <c r="J196">
        <f t="shared" ref="J196:J258" si="58">IF(I196=0,F196,0)</f>
        <v>0</v>
      </c>
      <c r="K196">
        <f t="shared" ref="K196:K258" si="59">(J196/$J$3)*($F$3-$I$3)</f>
        <v>0</v>
      </c>
      <c r="L196">
        <f t="shared" ref="L196:L258" si="60">I196+K196</f>
        <v>0</v>
      </c>
      <c r="M196">
        <f t="shared" ref="M196:M258" si="61">IF(L196&lt;H196,H196,0)</f>
        <v>0</v>
      </c>
      <c r="N196" s="29">
        <f t="shared" ref="N196:N258" si="62">IF($I196+$M196=0,L196,0)</f>
        <v>0</v>
      </c>
      <c r="O196" s="29">
        <f t="shared" ref="O196:O258" si="63">((N196/$N$3)*($F$3-$I$3-$M$3))</f>
        <v>0</v>
      </c>
      <c r="P196" s="29">
        <f t="shared" ref="P196:P258" si="64">$I196+$M196+O196</f>
        <v>0</v>
      </c>
      <c r="Q196">
        <f t="shared" ref="Q196:Q258" si="65">IF(P196&lt;H196,H196,0)</f>
        <v>0</v>
      </c>
      <c r="R196" s="29">
        <f t="shared" ref="R196:R258" si="66">IF($I196+$M196+$Q196=0,P196,0)</f>
        <v>0</v>
      </c>
      <c r="S196" s="29">
        <f t="shared" ref="S196:S258" si="67">((R196/$R$3)*($F$3-$I$3-$M$3-$Q$3))</f>
        <v>0</v>
      </c>
      <c r="T196" s="29">
        <f t="shared" ref="T196:T258" si="68">$I196+$M196+$Q196+S196</f>
        <v>0</v>
      </c>
      <c r="U196">
        <f t="shared" ref="U196:U258" si="69">IF(T196&lt;H196,H196,0)</f>
        <v>0</v>
      </c>
      <c r="V196" s="29">
        <f t="shared" ref="V196:V258" si="70">IF($I196+$M196+$Q196+U196=0,T196,0)</f>
        <v>0</v>
      </c>
      <c r="W196" s="29">
        <f t="shared" ref="W196:W258" si="71">((V196/$V$3)*($F$3-$I$3-$M$3-$Q$3-$U$3))</f>
        <v>0</v>
      </c>
      <c r="X196" s="29">
        <f t="shared" ref="X196:X258" si="72">$I196+$M196+$Q196+$U196+W196</f>
        <v>0</v>
      </c>
      <c r="Y196">
        <f t="shared" ref="Y196:Y258" si="73">IF(X196&lt;H196,H196,0)</f>
        <v>0</v>
      </c>
    </row>
    <row r="197" spans="1:25" x14ac:dyDescent="0.25">
      <c r="A197" s="4" t="s">
        <v>1039</v>
      </c>
      <c r="B197" s="7" t="s">
        <v>294</v>
      </c>
      <c r="C197" s="2" t="s">
        <v>1040</v>
      </c>
      <c r="D197">
        <f>VLOOKUP(B197,'Model allocations'!$A$1:$L$317,6,FALSE)</f>
        <v>17278.449037065977</v>
      </c>
      <c r="E197" s="31">
        <f>VLOOKUP(B197,'Initial adjusted formula count'!$A$1:$P$317,12,FALSE)</f>
        <v>9.1269841269841306E-2</v>
      </c>
      <c r="F197">
        <f>VLOOKUP(B197,'Model allocations'!$A$1:$L$317,11,FALSE)</f>
        <v>14686.681681506079</v>
      </c>
      <c r="G197" s="30">
        <f t="shared" ref="G197:G259" si="74">IF(E197&lt;0.15,0.85,IF(AND(E197&gt;=0.15,E197&lt;0.3),0.9,0.95))</f>
        <v>0.85</v>
      </c>
      <c r="H197">
        <f t="shared" ref="H197:H259" si="75">IF(F197 = 0, 0, D197*G197)</f>
        <v>14686.681681506079</v>
      </c>
      <c r="I197">
        <f t="shared" si="57"/>
        <v>0</v>
      </c>
      <c r="J197">
        <f t="shared" si="58"/>
        <v>14686.681681506079</v>
      </c>
      <c r="K197">
        <f t="shared" si="59"/>
        <v>14678.115393005133</v>
      </c>
      <c r="L197">
        <f t="shared" si="60"/>
        <v>14678.115393005133</v>
      </c>
      <c r="M197">
        <f t="shared" si="61"/>
        <v>14686.681681506079</v>
      </c>
      <c r="N197" s="29">
        <f t="shared" si="62"/>
        <v>0</v>
      </c>
      <c r="O197" s="29">
        <f t="shared" si="63"/>
        <v>0</v>
      </c>
      <c r="P197" s="29">
        <f t="shared" si="64"/>
        <v>14686.681681506079</v>
      </c>
      <c r="Q197">
        <f t="shared" si="65"/>
        <v>0</v>
      </c>
      <c r="R197" s="29">
        <f t="shared" si="66"/>
        <v>0</v>
      </c>
      <c r="S197" s="29">
        <f t="shared" si="67"/>
        <v>0</v>
      </c>
      <c r="T197" s="29">
        <f t="shared" si="68"/>
        <v>14686.681681506079</v>
      </c>
      <c r="U197">
        <f t="shared" si="69"/>
        <v>0</v>
      </c>
      <c r="V197" s="29">
        <f t="shared" si="70"/>
        <v>0</v>
      </c>
      <c r="W197" s="29">
        <f t="shared" si="71"/>
        <v>0</v>
      </c>
      <c r="X197" s="29">
        <f t="shared" si="72"/>
        <v>14686.681681506079</v>
      </c>
      <c r="Y197">
        <f t="shared" si="73"/>
        <v>0</v>
      </c>
    </row>
    <row r="198" spans="1:25" x14ac:dyDescent="0.25">
      <c r="A198" s="4" t="s">
        <v>1041</v>
      </c>
      <c r="B198" s="7" t="s">
        <v>193</v>
      </c>
      <c r="C198" s="2" t="s">
        <v>1042</v>
      </c>
      <c r="D198">
        <f>VLOOKUP(B198,'Model allocations'!$A$1:$L$317,6,FALSE)</f>
        <v>0</v>
      </c>
      <c r="E198" s="31">
        <f>VLOOKUP(B198,'Initial adjusted formula count'!$A$1:$P$317,12,FALSE)</f>
        <v>4.4242527173912999E-2</v>
      </c>
      <c r="F198">
        <f>VLOOKUP(B198,'Model allocations'!$A$1:$L$317,11,FALSE)</f>
        <v>0</v>
      </c>
      <c r="G198" s="30">
        <f t="shared" si="74"/>
        <v>0.85</v>
      </c>
      <c r="H198">
        <f t="shared" si="7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0"/>
        <v>0</v>
      </c>
      <c r="M198">
        <f t="shared" si="61"/>
        <v>0</v>
      </c>
      <c r="N198" s="29">
        <f t="shared" si="62"/>
        <v>0</v>
      </c>
      <c r="O198" s="29">
        <f t="shared" si="63"/>
        <v>0</v>
      </c>
      <c r="P198" s="29">
        <f t="shared" si="64"/>
        <v>0</v>
      </c>
      <c r="Q198">
        <f t="shared" si="65"/>
        <v>0</v>
      </c>
      <c r="R198" s="29">
        <f t="shared" si="66"/>
        <v>0</v>
      </c>
      <c r="S198" s="29">
        <f t="shared" si="67"/>
        <v>0</v>
      </c>
      <c r="T198" s="29">
        <f t="shared" si="68"/>
        <v>0</v>
      </c>
      <c r="U198">
        <f t="shared" si="69"/>
        <v>0</v>
      </c>
      <c r="V198" s="29">
        <f t="shared" si="70"/>
        <v>0</v>
      </c>
      <c r="W198" s="29">
        <f t="shared" si="71"/>
        <v>0</v>
      </c>
      <c r="X198" s="29">
        <f t="shared" si="72"/>
        <v>0</v>
      </c>
      <c r="Y198">
        <f t="shared" si="73"/>
        <v>0</v>
      </c>
    </row>
    <row r="199" spans="1:25" x14ac:dyDescent="0.25">
      <c r="A199" s="4" t="s">
        <v>52</v>
      </c>
      <c r="B199" s="7" t="s">
        <v>83</v>
      </c>
      <c r="C199" s="2" t="s">
        <v>1043</v>
      </c>
      <c r="D199">
        <f>VLOOKUP(B199,'Model allocations'!$A$1:$L$317,6,FALSE)</f>
        <v>13108.720407113116</v>
      </c>
      <c r="E199" s="31">
        <f>VLOOKUP(B199,'Initial adjusted formula count'!$A$1:$P$317,12,FALSE)</f>
        <v>8.8673742888640106E-2</v>
      </c>
      <c r="F199">
        <f>VLOOKUP(B199,'Model allocations'!$A$1:$L$317,11,FALSE)</f>
        <v>15877.545822374846</v>
      </c>
      <c r="G199" s="30">
        <f t="shared" si="74"/>
        <v>0.85</v>
      </c>
      <c r="H199">
        <f t="shared" si="75"/>
        <v>11142.412346046149</v>
      </c>
      <c r="I199">
        <f t="shared" si="57"/>
        <v>0</v>
      </c>
      <c r="J199">
        <f t="shared" si="58"/>
        <v>15877.545822374846</v>
      </c>
      <c r="K199">
        <f t="shared" si="59"/>
        <v>15868.284939545698</v>
      </c>
      <c r="L199">
        <f t="shared" si="60"/>
        <v>15868.284939545698</v>
      </c>
      <c r="M199">
        <f t="shared" si="61"/>
        <v>0</v>
      </c>
      <c r="N199" s="29">
        <f t="shared" si="62"/>
        <v>15868.284939545698</v>
      </c>
      <c r="O199" s="29">
        <f t="shared" si="63"/>
        <v>15867.07690506962</v>
      </c>
      <c r="P199" s="29">
        <f t="shared" si="64"/>
        <v>15867.07690506962</v>
      </c>
      <c r="Q199">
        <f t="shared" si="65"/>
        <v>0</v>
      </c>
      <c r="R199" s="29">
        <f t="shared" si="66"/>
        <v>15867.07690506962</v>
      </c>
      <c r="S199" s="29">
        <f t="shared" si="67"/>
        <v>15867.07690506962</v>
      </c>
      <c r="T199" s="29">
        <f t="shared" si="68"/>
        <v>15867.07690506962</v>
      </c>
      <c r="U199">
        <f t="shared" si="69"/>
        <v>0</v>
      </c>
      <c r="V199" s="29">
        <f t="shared" si="70"/>
        <v>15867.07690506962</v>
      </c>
      <c r="W199" s="29">
        <f t="shared" si="71"/>
        <v>15867.07690506962</v>
      </c>
      <c r="X199" s="29">
        <f t="shared" si="72"/>
        <v>15867.07690506962</v>
      </c>
      <c r="Y199">
        <f t="shared" si="73"/>
        <v>0</v>
      </c>
    </row>
    <row r="200" spans="1:25" x14ac:dyDescent="0.25">
      <c r="A200" s="4" t="s">
        <v>1044</v>
      </c>
      <c r="B200" s="7" t="s">
        <v>539</v>
      </c>
      <c r="C200" s="2" t="s">
        <v>1045</v>
      </c>
      <c r="D200">
        <f>VLOOKUP(B200,'Model allocations'!$A$1:$L$317,6,FALSE)</f>
        <v>119684.0514973964</v>
      </c>
      <c r="E200" s="31">
        <f>VLOOKUP(B200,'Initial adjusted formula count'!$A$1:$P$317,12,FALSE)</f>
        <v>0.114417989417989</v>
      </c>
      <c r="F200">
        <f>VLOOKUP(B200,'Model allocations'!$A$1:$L$317,11,FALSE)</f>
        <v>101731.44377278694</v>
      </c>
      <c r="G200" s="30">
        <f t="shared" si="74"/>
        <v>0.85</v>
      </c>
      <c r="H200">
        <f t="shared" si="75"/>
        <v>101731.44377278694</v>
      </c>
      <c r="I200">
        <f t="shared" si="57"/>
        <v>0</v>
      </c>
      <c r="J200">
        <f t="shared" si="58"/>
        <v>101731.44377278694</v>
      </c>
      <c r="K200">
        <f t="shared" si="59"/>
        <v>101672.10695893927</v>
      </c>
      <c r="L200">
        <f t="shared" si="60"/>
        <v>101672.10695893927</v>
      </c>
      <c r="M200">
        <f t="shared" si="61"/>
        <v>101731.44377278694</v>
      </c>
      <c r="N200" s="29">
        <f t="shared" si="62"/>
        <v>0</v>
      </c>
      <c r="O200" s="29">
        <f t="shared" si="63"/>
        <v>0</v>
      </c>
      <c r="P200" s="29">
        <f t="shared" si="64"/>
        <v>101731.44377278694</v>
      </c>
      <c r="Q200">
        <f t="shared" si="65"/>
        <v>0</v>
      </c>
      <c r="R200" s="29">
        <f t="shared" si="66"/>
        <v>0</v>
      </c>
      <c r="S200" s="29">
        <f t="shared" si="67"/>
        <v>0</v>
      </c>
      <c r="T200" s="29">
        <f t="shared" si="68"/>
        <v>101731.44377278694</v>
      </c>
      <c r="U200">
        <f t="shared" si="69"/>
        <v>0</v>
      </c>
      <c r="V200" s="29">
        <f t="shared" si="70"/>
        <v>0</v>
      </c>
      <c r="W200" s="29">
        <f t="shared" si="71"/>
        <v>0</v>
      </c>
      <c r="X200" s="29">
        <f t="shared" si="72"/>
        <v>101731.44377278694</v>
      </c>
      <c r="Y200">
        <f t="shared" si="73"/>
        <v>0</v>
      </c>
    </row>
    <row r="201" spans="1:25" x14ac:dyDescent="0.25">
      <c r="A201" s="4" t="s">
        <v>1046</v>
      </c>
      <c r="B201" s="7" t="s">
        <v>541</v>
      </c>
      <c r="C201" s="2" t="s">
        <v>1047</v>
      </c>
      <c r="D201">
        <f>VLOOKUP(B201,'Model allocations'!$A$1:$L$317,6,FALSE)</f>
        <v>39427.674774613268</v>
      </c>
      <c r="E201" s="31">
        <f>VLOOKUP(B201,'Initial adjusted formula count'!$A$1:$P$317,12,FALSE)</f>
        <v>0.16253443526170799</v>
      </c>
      <c r="F201">
        <f>VLOOKUP(B201,'Model allocations'!$A$1:$L$317,11,FALSE)</f>
        <v>35484.907297151942</v>
      </c>
      <c r="G201" s="30">
        <f t="shared" si="74"/>
        <v>0.9</v>
      </c>
      <c r="H201">
        <f t="shared" si="75"/>
        <v>35484.907297151942</v>
      </c>
      <c r="I201">
        <f t="shared" si="57"/>
        <v>0</v>
      </c>
      <c r="J201">
        <f t="shared" si="58"/>
        <v>35484.907297151942</v>
      </c>
      <c r="K201">
        <f t="shared" si="59"/>
        <v>35464.210045047716</v>
      </c>
      <c r="L201">
        <f t="shared" si="60"/>
        <v>35464.210045047716</v>
      </c>
      <c r="M201">
        <f t="shared" si="61"/>
        <v>35484.907297151942</v>
      </c>
      <c r="N201" s="29">
        <f t="shared" si="62"/>
        <v>0</v>
      </c>
      <c r="O201" s="29">
        <f t="shared" si="63"/>
        <v>0</v>
      </c>
      <c r="P201" s="29">
        <f t="shared" si="64"/>
        <v>35484.907297151942</v>
      </c>
      <c r="Q201">
        <f t="shared" si="65"/>
        <v>0</v>
      </c>
      <c r="R201" s="29">
        <f t="shared" si="66"/>
        <v>0</v>
      </c>
      <c r="S201" s="29">
        <f t="shared" si="67"/>
        <v>0</v>
      </c>
      <c r="T201" s="29">
        <f t="shared" si="68"/>
        <v>35484.907297151942</v>
      </c>
      <c r="U201">
        <f t="shared" si="69"/>
        <v>0</v>
      </c>
      <c r="V201" s="29">
        <f t="shared" si="70"/>
        <v>0</v>
      </c>
      <c r="W201" s="29">
        <f t="shared" si="71"/>
        <v>0</v>
      </c>
      <c r="X201" s="29">
        <f t="shared" si="72"/>
        <v>35484.907297151942</v>
      </c>
      <c r="Y201">
        <f t="shared" si="73"/>
        <v>0</v>
      </c>
    </row>
    <row r="202" spans="1:25" x14ac:dyDescent="0.25">
      <c r="A202" s="4" t="s">
        <v>1048</v>
      </c>
      <c r="B202" s="7" t="s">
        <v>543</v>
      </c>
      <c r="C202" s="2" t="s">
        <v>1049</v>
      </c>
      <c r="D202">
        <f>VLOOKUP(B202,'Model allocations'!$A$1:$L$317,6,FALSE)</f>
        <v>336589.54283034179</v>
      </c>
      <c r="E202" s="31">
        <f>VLOOKUP(B202,'Initial adjusted formula count'!$A$1:$P$317,12,FALSE)</f>
        <v>0.142252527627557</v>
      </c>
      <c r="F202">
        <f>VLOOKUP(B202,'Model allocations'!$A$1:$L$317,11,FALSE)</f>
        <v>345190.60765898204</v>
      </c>
      <c r="G202" s="30">
        <f t="shared" si="74"/>
        <v>0.85</v>
      </c>
      <c r="H202">
        <f t="shared" si="75"/>
        <v>286101.11140579049</v>
      </c>
      <c r="I202">
        <f t="shared" si="57"/>
        <v>0</v>
      </c>
      <c r="J202">
        <f t="shared" si="58"/>
        <v>345190.60765898204</v>
      </c>
      <c r="K202">
        <f t="shared" si="59"/>
        <v>344989.26862289832</v>
      </c>
      <c r="L202">
        <f t="shared" si="60"/>
        <v>344989.26862289832</v>
      </c>
      <c r="M202">
        <f t="shared" si="61"/>
        <v>0</v>
      </c>
      <c r="N202" s="29">
        <f t="shared" si="62"/>
        <v>344989.26862289832</v>
      </c>
      <c r="O202" s="29">
        <f t="shared" si="63"/>
        <v>344963.00498243805</v>
      </c>
      <c r="P202" s="29">
        <f t="shared" si="64"/>
        <v>344963.00498243805</v>
      </c>
      <c r="Q202">
        <f t="shared" si="65"/>
        <v>0</v>
      </c>
      <c r="R202" s="29">
        <f t="shared" si="66"/>
        <v>344963.00498243805</v>
      </c>
      <c r="S202" s="29">
        <f t="shared" si="67"/>
        <v>344963.00498243805</v>
      </c>
      <c r="T202" s="29">
        <f t="shared" si="68"/>
        <v>344963.00498243805</v>
      </c>
      <c r="U202">
        <f t="shared" si="69"/>
        <v>0</v>
      </c>
      <c r="V202" s="29">
        <f t="shared" si="70"/>
        <v>344963.00498243805</v>
      </c>
      <c r="W202" s="29">
        <f t="shared" si="71"/>
        <v>344963.00498243805</v>
      </c>
      <c r="X202" s="29">
        <f t="shared" si="72"/>
        <v>344963.00498243805</v>
      </c>
      <c r="Y202">
        <f t="shared" si="73"/>
        <v>0</v>
      </c>
    </row>
    <row r="203" spans="1:25" x14ac:dyDescent="0.25">
      <c r="A203" s="4" t="s">
        <v>1050</v>
      </c>
      <c r="B203" s="7" t="s">
        <v>545</v>
      </c>
      <c r="C203" s="2" t="s">
        <v>1051</v>
      </c>
      <c r="D203">
        <f>VLOOKUP(B203,'Model allocations'!$A$1:$L$317,6,FALSE)</f>
        <v>142625.86989973413</v>
      </c>
      <c r="E203" s="31">
        <f>VLOOKUP(B203,'Initial adjusted formula count'!$A$1:$P$317,12,FALSE)</f>
        <v>0.173180076628352</v>
      </c>
      <c r="F203">
        <f>VLOOKUP(B203,'Model allocations'!$A$1:$L$317,11,FALSE)</f>
        <v>138652.93960357847</v>
      </c>
      <c r="G203" s="30">
        <f t="shared" si="74"/>
        <v>0.9</v>
      </c>
      <c r="H203">
        <f t="shared" si="75"/>
        <v>128363.28290976072</v>
      </c>
      <c r="I203">
        <f t="shared" si="57"/>
        <v>0</v>
      </c>
      <c r="J203">
        <f t="shared" si="58"/>
        <v>138652.93960357847</v>
      </c>
      <c r="K203">
        <f t="shared" si="59"/>
        <v>138572.067619838</v>
      </c>
      <c r="L203">
        <f t="shared" si="60"/>
        <v>138572.067619838</v>
      </c>
      <c r="M203">
        <f t="shared" si="61"/>
        <v>0</v>
      </c>
      <c r="N203" s="29">
        <f t="shared" si="62"/>
        <v>138572.067619838</v>
      </c>
      <c r="O203" s="29">
        <f t="shared" si="63"/>
        <v>138561.51828600993</v>
      </c>
      <c r="P203" s="29">
        <f t="shared" si="64"/>
        <v>138561.51828600993</v>
      </c>
      <c r="Q203">
        <f t="shared" si="65"/>
        <v>0</v>
      </c>
      <c r="R203" s="29">
        <f t="shared" si="66"/>
        <v>138561.51828600993</v>
      </c>
      <c r="S203" s="29">
        <f t="shared" si="67"/>
        <v>138561.51828600993</v>
      </c>
      <c r="T203" s="29">
        <f t="shared" si="68"/>
        <v>138561.51828600993</v>
      </c>
      <c r="U203">
        <f t="shared" si="69"/>
        <v>0</v>
      </c>
      <c r="V203" s="29">
        <f t="shared" si="70"/>
        <v>138561.51828600993</v>
      </c>
      <c r="W203" s="29">
        <f t="shared" si="71"/>
        <v>138561.51828600993</v>
      </c>
      <c r="X203" s="29">
        <f t="shared" si="72"/>
        <v>138561.51828600993</v>
      </c>
      <c r="Y203">
        <f t="shared" si="73"/>
        <v>0</v>
      </c>
    </row>
    <row r="204" spans="1:25" x14ac:dyDescent="0.25">
      <c r="A204" s="4" t="s">
        <v>1052</v>
      </c>
      <c r="B204" s="7" t="s">
        <v>547</v>
      </c>
      <c r="C204" s="2" t="s">
        <v>1053</v>
      </c>
      <c r="D204">
        <f>VLOOKUP(B204,'Model allocations'!$A$1:$L$317,6,FALSE)</f>
        <v>26022.048689404583</v>
      </c>
      <c r="E204" s="31">
        <f>VLOOKUP(B204,'Initial adjusted formula count'!$A$1:$P$317,12,FALSE)</f>
        <v>0.190751445086705</v>
      </c>
      <c r="F204">
        <f>VLOOKUP(B204,'Model allocations'!$A$1:$L$317,11,FALSE)</f>
        <v>42832.106442808275</v>
      </c>
      <c r="G204" s="30">
        <f t="shared" si="74"/>
        <v>0.9</v>
      </c>
      <c r="H204">
        <f t="shared" si="75"/>
        <v>23419.843820464124</v>
      </c>
      <c r="I204">
        <f t="shared" si="57"/>
        <v>0</v>
      </c>
      <c r="J204">
        <f t="shared" si="58"/>
        <v>42832.106442808275</v>
      </c>
      <c r="K204">
        <f t="shared" si="59"/>
        <v>42807.123796023305</v>
      </c>
      <c r="L204">
        <f t="shared" si="60"/>
        <v>42807.123796023305</v>
      </c>
      <c r="M204">
        <f t="shared" si="61"/>
        <v>0</v>
      </c>
      <c r="N204" s="29">
        <f t="shared" si="62"/>
        <v>42807.123796023305</v>
      </c>
      <c r="O204" s="29">
        <f t="shared" si="63"/>
        <v>42803.864938398525</v>
      </c>
      <c r="P204" s="29">
        <f t="shared" si="64"/>
        <v>42803.864938398525</v>
      </c>
      <c r="Q204">
        <f t="shared" si="65"/>
        <v>0</v>
      </c>
      <c r="R204" s="29">
        <f t="shared" si="66"/>
        <v>42803.864938398525</v>
      </c>
      <c r="S204" s="29">
        <f t="shared" si="67"/>
        <v>42803.864938398525</v>
      </c>
      <c r="T204" s="29">
        <f t="shared" si="68"/>
        <v>42803.864938398525</v>
      </c>
      <c r="U204">
        <f t="shared" si="69"/>
        <v>0</v>
      </c>
      <c r="V204" s="29">
        <f t="shared" si="70"/>
        <v>42803.864938398525</v>
      </c>
      <c r="W204" s="29">
        <f t="shared" si="71"/>
        <v>42803.864938398525</v>
      </c>
      <c r="X204" s="29">
        <f t="shared" si="72"/>
        <v>42803.864938398525</v>
      </c>
      <c r="Y204">
        <f t="shared" si="73"/>
        <v>0</v>
      </c>
    </row>
    <row r="205" spans="1:25" x14ac:dyDescent="0.25">
      <c r="A205" s="4" t="s">
        <v>33</v>
      </c>
      <c r="B205" s="7" t="s">
        <v>77</v>
      </c>
      <c r="C205" s="2" t="s">
        <v>1054</v>
      </c>
      <c r="D205">
        <f>VLOOKUP(B205,'Model allocations'!$A$1:$L$317,6,FALSE)</f>
        <v>63784.953350142547</v>
      </c>
      <c r="E205" s="31">
        <f>VLOOKUP(B205,'Initial adjusted formula count'!$A$1:$P$317,12,FALSE)</f>
        <v>9.0700501363157299E-2</v>
      </c>
      <c r="F205">
        <f>VLOOKUP(B205,'Model allocations'!$A$1:$L$317,11,FALSE)</f>
        <v>26226.704311824378</v>
      </c>
      <c r="G205" s="30">
        <f t="shared" si="74"/>
        <v>0.85</v>
      </c>
      <c r="H205">
        <f t="shared" si="75"/>
        <v>54217.210347621163</v>
      </c>
      <c r="I205">
        <f t="shared" si="57"/>
        <v>54217.210347621163</v>
      </c>
      <c r="J205">
        <f t="shared" si="58"/>
        <v>0</v>
      </c>
      <c r="K205">
        <f t="shared" si="59"/>
        <v>0</v>
      </c>
      <c r="L205">
        <f t="shared" si="60"/>
        <v>54217.210347621163</v>
      </c>
      <c r="M205">
        <f t="shared" si="61"/>
        <v>0</v>
      </c>
      <c r="N205" s="29">
        <f t="shared" si="62"/>
        <v>0</v>
      </c>
      <c r="O205" s="29">
        <f t="shared" si="63"/>
        <v>0</v>
      </c>
      <c r="P205" s="29">
        <f t="shared" si="64"/>
        <v>54217.210347621163</v>
      </c>
      <c r="Q205">
        <f t="shared" si="65"/>
        <v>0</v>
      </c>
      <c r="R205" s="29">
        <f t="shared" si="66"/>
        <v>0</v>
      </c>
      <c r="S205" s="29">
        <f t="shared" si="67"/>
        <v>0</v>
      </c>
      <c r="T205" s="29">
        <f t="shared" si="68"/>
        <v>54217.210347621163</v>
      </c>
      <c r="U205">
        <f t="shared" si="69"/>
        <v>0</v>
      </c>
      <c r="V205" s="29">
        <f t="shared" si="70"/>
        <v>0</v>
      </c>
      <c r="W205" s="29">
        <f t="shared" si="71"/>
        <v>0</v>
      </c>
      <c r="X205" s="29">
        <f t="shared" si="72"/>
        <v>54217.210347621163</v>
      </c>
      <c r="Y205">
        <f t="shared" si="73"/>
        <v>0</v>
      </c>
    </row>
    <row r="206" spans="1:25" x14ac:dyDescent="0.25">
      <c r="A206" s="4" t="s">
        <v>1055</v>
      </c>
      <c r="B206" s="7" t="s">
        <v>549</v>
      </c>
      <c r="C206" s="2" t="s">
        <v>1056</v>
      </c>
      <c r="D206">
        <f>VLOOKUP(B206,'Model allocations'!$A$1:$L$317,6,FALSE)</f>
        <v>190074.09477478123</v>
      </c>
      <c r="E206" s="31">
        <f>VLOOKUP(B206,'Initial adjusted formula count'!$A$1:$P$317,12,FALSE)</f>
        <v>0.121314808539478</v>
      </c>
      <c r="F206">
        <f>VLOOKUP(B206,'Model allocations'!$A$1:$L$317,11,FALSE)</f>
        <v>204261.54965605881</v>
      </c>
      <c r="G206" s="30">
        <f t="shared" si="74"/>
        <v>0.85</v>
      </c>
      <c r="H206">
        <f t="shared" si="75"/>
        <v>161562.98055856404</v>
      </c>
      <c r="I206">
        <f t="shared" si="57"/>
        <v>0</v>
      </c>
      <c r="J206">
        <f t="shared" si="58"/>
        <v>204261.54965605881</v>
      </c>
      <c r="K206">
        <f t="shared" si="59"/>
        <v>204142.41019338448</v>
      </c>
      <c r="L206">
        <f t="shared" si="60"/>
        <v>204142.41019338448</v>
      </c>
      <c r="M206">
        <f t="shared" si="61"/>
        <v>0</v>
      </c>
      <c r="N206" s="29">
        <f t="shared" si="62"/>
        <v>204142.41019338448</v>
      </c>
      <c r="O206" s="29">
        <f t="shared" si="63"/>
        <v>204126.86906398815</v>
      </c>
      <c r="P206" s="29">
        <f t="shared" si="64"/>
        <v>204126.86906398815</v>
      </c>
      <c r="Q206">
        <f t="shared" si="65"/>
        <v>0</v>
      </c>
      <c r="R206" s="29">
        <f t="shared" si="66"/>
        <v>204126.86906398815</v>
      </c>
      <c r="S206" s="29">
        <f t="shared" si="67"/>
        <v>204126.86906398815</v>
      </c>
      <c r="T206" s="29">
        <f t="shared" si="68"/>
        <v>204126.86906398815</v>
      </c>
      <c r="U206">
        <f t="shared" si="69"/>
        <v>0</v>
      </c>
      <c r="V206" s="29">
        <f t="shared" si="70"/>
        <v>204126.86906398815</v>
      </c>
      <c r="W206" s="29">
        <f t="shared" si="71"/>
        <v>204126.86906398815</v>
      </c>
      <c r="X206" s="29">
        <f t="shared" si="72"/>
        <v>204126.86906398815</v>
      </c>
      <c r="Y206">
        <f t="shared" si="73"/>
        <v>0</v>
      </c>
    </row>
    <row r="207" spans="1:25" x14ac:dyDescent="0.25">
      <c r="A207" s="4" t="s">
        <v>20</v>
      </c>
      <c r="B207" s="7" t="s">
        <v>58</v>
      </c>
      <c r="C207" s="2" t="s">
        <v>1057</v>
      </c>
      <c r="D207">
        <f>VLOOKUP(B207,'Model allocations'!$A$1:$L$317,6,FALSE)</f>
        <v>186114.21780030662</v>
      </c>
      <c r="E207" s="31">
        <f>VLOOKUP(B207,'Initial adjusted formula count'!$A$1:$P$317,12,FALSE)</f>
        <v>0.124072425051944</v>
      </c>
      <c r="F207">
        <f>VLOOKUP(B207,'Model allocations'!$A$1:$L$317,11,FALSE)</f>
        <v>238495.32892802396</v>
      </c>
      <c r="G207" s="30">
        <f t="shared" si="74"/>
        <v>0.85</v>
      </c>
      <c r="H207">
        <f t="shared" si="75"/>
        <v>158197.08513026062</v>
      </c>
      <c r="I207">
        <f t="shared" si="57"/>
        <v>0</v>
      </c>
      <c r="J207">
        <f t="shared" si="58"/>
        <v>238495.32892802396</v>
      </c>
      <c r="K207">
        <f t="shared" si="59"/>
        <v>238356.2219576388</v>
      </c>
      <c r="L207">
        <f t="shared" si="60"/>
        <v>238356.2219576388</v>
      </c>
      <c r="M207">
        <f t="shared" si="61"/>
        <v>0</v>
      </c>
      <c r="N207" s="29">
        <f t="shared" si="62"/>
        <v>238356.2219576388</v>
      </c>
      <c r="O207" s="29">
        <f t="shared" si="63"/>
        <v>238338.07616968441</v>
      </c>
      <c r="P207" s="29">
        <f t="shared" si="64"/>
        <v>238338.07616968441</v>
      </c>
      <c r="Q207">
        <f t="shared" si="65"/>
        <v>0</v>
      </c>
      <c r="R207" s="29">
        <f t="shared" si="66"/>
        <v>238338.07616968441</v>
      </c>
      <c r="S207" s="29">
        <f t="shared" si="67"/>
        <v>238338.07616968441</v>
      </c>
      <c r="T207" s="29">
        <f t="shared" si="68"/>
        <v>238338.07616968441</v>
      </c>
      <c r="U207">
        <f t="shared" si="69"/>
        <v>0</v>
      </c>
      <c r="V207" s="29">
        <f t="shared" si="70"/>
        <v>238338.07616968441</v>
      </c>
      <c r="W207" s="29">
        <f t="shared" si="71"/>
        <v>238338.07616968441</v>
      </c>
      <c r="X207" s="29">
        <f t="shared" si="72"/>
        <v>238338.07616968441</v>
      </c>
      <c r="Y207">
        <f t="shared" si="73"/>
        <v>0</v>
      </c>
    </row>
    <row r="208" spans="1:25" x14ac:dyDescent="0.25">
      <c r="A208" s="4" t="s">
        <v>1058</v>
      </c>
      <c r="B208" s="7" t="s">
        <v>195</v>
      </c>
      <c r="C208" s="2" t="s">
        <v>1059</v>
      </c>
      <c r="D208">
        <f>VLOOKUP(B208,'Model allocations'!$A$1:$L$317,6,FALSE)</f>
        <v>1370117.4331682152</v>
      </c>
      <c r="E208" s="31">
        <f>VLOOKUP(B208,'Initial adjusted formula count'!$A$1:$P$317,12,FALSE)</f>
        <v>8.1197576887232101E-2</v>
      </c>
      <c r="F208">
        <f>VLOOKUP(B208,'Model allocations'!$A$1:$L$317,11,FALSE)</f>
        <v>1592441.2991342463</v>
      </c>
      <c r="G208" s="30">
        <f t="shared" si="74"/>
        <v>0.85</v>
      </c>
      <c r="H208">
        <f t="shared" si="75"/>
        <v>1164599.8181929828</v>
      </c>
      <c r="I208">
        <f t="shared" si="57"/>
        <v>0</v>
      </c>
      <c r="J208">
        <f t="shared" si="58"/>
        <v>1592441.2991342463</v>
      </c>
      <c r="K208">
        <f t="shared" si="59"/>
        <v>1591512.4772338998</v>
      </c>
      <c r="L208">
        <f t="shared" si="60"/>
        <v>1591512.4772338998</v>
      </c>
      <c r="M208">
        <f t="shared" si="61"/>
        <v>0</v>
      </c>
      <c r="N208" s="29">
        <f t="shared" si="62"/>
        <v>1591512.4772338998</v>
      </c>
      <c r="O208" s="29">
        <f t="shared" si="63"/>
        <v>1591391.3171999748</v>
      </c>
      <c r="P208" s="29">
        <f t="shared" si="64"/>
        <v>1591391.3171999748</v>
      </c>
      <c r="Q208">
        <f t="shared" si="65"/>
        <v>0</v>
      </c>
      <c r="R208" s="29">
        <f t="shared" si="66"/>
        <v>1591391.3171999748</v>
      </c>
      <c r="S208" s="29">
        <f t="shared" si="67"/>
        <v>1591391.3171999748</v>
      </c>
      <c r="T208" s="29">
        <f t="shared" si="68"/>
        <v>1591391.3171999748</v>
      </c>
      <c r="U208">
        <f t="shared" si="69"/>
        <v>0</v>
      </c>
      <c r="V208" s="29">
        <f t="shared" si="70"/>
        <v>1591391.3171999748</v>
      </c>
      <c r="W208" s="29">
        <f t="shared" si="71"/>
        <v>1591391.3171999748</v>
      </c>
      <c r="X208" s="29">
        <f t="shared" si="72"/>
        <v>1591391.3171999748</v>
      </c>
      <c r="Y208">
        <f t="shared" si="73"/>
        <v>0</v>
      </c>
    </row>
    <row r="209" spans="1:25" x14ac:dyDescent="0.25">
      <c r="A209" s="4" t="s">
        <v>1060</v>
      </c>
      <c r="B209" s="7" t="s">
        <v>551</v>
      </c>
      <c r="C209" s="2" t="s">
        <v>1061</v>
      </c>
      <c r="D209">
        <f>VLOOKUP(B209,'Model allocations'!$A$1:$L$317,6,FALSE)</f>
        <v>11011.852169303249</v>
      </c>
      <c r="E209" s="31">
        <f>VLOOKUP(B209,'Initial adjusted formula count'!$A$1:$P$317,12,FALSE)</f>
        <v>0.29032258064516098</v>
      </c>
      <c r="F209">
        <f>VLOOKUP(B209,'Model allocations'!$A$1:$L$317,11,FALSE)</f>
        <v>0</v>
      </c>
      <c r="G209" s="30">
        <f t="shared" si="74"/>
        <v>0.9</v>
      </c>
      <c r="H209">
        <f t="shared" si="7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0"/>
        <v>0</v>
      </c>
      <c r="M209">
        <f t="shared" si="61"/>
        <v>0</v>
      </c>
      <c r="N209" s="29">
        <f t="shared" si="62"/>
        <v>0</v>
      </c>
      <c r="O209" s="29">
        <f t="shared" si="63"/>
        <v>0</v>
      </c>
      <c r="P209" s="29">
        <f t="shared" si="64"/>
        <v>0</v>
      </c>
      <c r="Q209">
        <f t="shared" si="65"/>
        <v>0</v>
      </c>
      <c r="R209" s="29">
        <f t="shared" si="66"/>
        <v>0</v>
      </c>
      <c r="S209" s="29">
        <f t="shared" si="67"/>
        <v>0</v>
      </c>
      <c r="T209" s="29">
        <f t="shared" si="68"/>
        <v>0</v>
      </c>
      <c r="U209">
        <f t="shared" si="69"/>
        <v>0</v>
      </c>
      <c r="V209" s="29">
        <f t="shared" si="70"/>
        <v>0</v>
      </c>
      <c r="W209" s="29">
        <f t="shared" si="71"/>
        <v>0</v>
      </c>
      <c r="X209" s="29">
        <f t="shared" si="72"/>
        <v>0</v>
      </c>
      <c r="Y209">
        <f t="shared" si="73"/>
        <v>0</v>
      </c>
    </row>
    <row r="210" spans="1:25" x14ac:dyDescent="0.25">
      <c r="A210" s="4" t="s">
        <v>1062</v>
      </c>
      <c r="B210" s="7" t="s">
        <v>553</v>
      </c>
      <c r="C210" s="2" t="s">
        <v>1063</v>
      </c>
      <c r="D210">
        <f>VLOOKUP(B210,'Model allocations'!$A$1:$L$317,6,FALSE)</f>
        <v>16405.204608537671</v>
      </c>
      <c r="E210" s="31">
        <f>VLOOKUP(B210,'Initial adjusted formula count'!$A$1:$P$317,12,FALSE)</f>
        <v>0.16062176165803099</v>
      </c>
      <c r="F210">
        <f>VLOOKUP(B210,'Model allocations'!$A$1:$L$317,11,FALSE)</f>
        <v>18085.677061229802</v>
      </c>
      <c r="G210" s="30">
        <f t="shared" si="74"/>
        <v>0.9</v>
      </c>
      <c r="H210">
        <f t="shared" si="75"/>
        <v>14764.684147683905</v>
      </c>
      <c r="I210">
        <f t="shared" si="57"/>
        <v>0</v>
      </c>
      <c r="J210">
        <f t="shared" si="58"/>
        <v>18085.677061229802</v>
      </c>
      <c r="K210">
        <f t="shared" si="59"/>
        <v>18075.128243545783</v>
      </c>
      <c r="L210">
        <f t="shared" si="60"/>
        <v>18075.128243545783</v>
      </c>
      <c r="M210">
        <f t="shared" si="61"/>
        <v>0</v>
      </c>
      <c r="N210" s="29">
        <f t="shared" si="62"/>
        <v>18075.128243545783</v>
      </c>
      <c r="O210" s="29">
        <f t="shared" si="63"/>
        <v>18073.752204600118</v>
      </c>
      <c r="P210" s="29">
        <f t="shared" si="64"/>
        <v>18073.752204600118</v>
      </c>
      <c r="Q210">
        <f t="shared" si="65"/>
        <v>0</v>
      </c>
      <c r="R210" s="29">
        <f t="shared" si="66"/>
        <v>18073.752204600118</v>
      </c>
      <c r="S210" s="29">
        <f t="shared" si="67"/>
        <v>18073.752204600118</v>
      </c>
      <c r="T210" s="29">
        <f t="shared" si="68"/>
        <v>18073.752204600118</v>
      </c>
      <c r="U210">
        <f t="shared" si="69"/>
        <v>0</v>
      </c>
      <c r="V210" s="29">
        <f t="shared" si="70"/>
        <v>18073.752204600118</v>
      </c>
      <c r="W210" s="29">
        <f t="shared" si="71"/>
        <v>18073.752204600118</v>
      </c>
      <c r="X210" s="29">
        <f t="shared" si="72"/>
        <v>18073.752204600118</v>
      </c>
      <c r="Y210">
        <f t="shared" si="73"/>
        <v>0</v>
      </c>
    </row>
    <row r="211" spans="1:25" x14ac:dyDescent="0.25">
      <c r="A211" s="4" t="s">
        <v>1064</v>
      </c>
      <c r="B211" s="7" t="s">
        <v>555</v>
      </c>
      <c r="C211" s="2" t="s">
        <v>1065</v>
      </c>
      <c r="D211">
        <f>VLOOKUP(B211,'Model allocations'!$A$1:$L$317,6,FALSE)</f>
        <v>216538.89026043261</v>
      </c>
      <c r="E211" s="31">
        <f>VLOOKUP(B211,'Initial adjusted formula count'!$A$1:$P$317,12,FALSE)</f>
        <v>0.17814113597246101</v>
      </c>
      <c r="F211">
        <f>VLOOKUP(B211,'Model allocations'!$A$1:$L$317,11,FALSE)</f>
        <v>194885.00123438935</v>
      </c>
      <c r="G211" s="30">
        <f t="shared" si="74"/>
        <v>0.9</v>
      </c>
      <c r="H211">
        <f t="shared" si="75"/>
        <v>194885.00123438935</v>
      </c>
      <c r="I211">
        <f t="shared" si="57"/>
        <v>0</v>
      </c>
      <c r="J211">
        <f t="shared" si="58"/>
        <v>194885.00123438935</v>
      </c>
      <c r="K211">
        <f t="shared" si="59"/>
        <v>194771.33082324514</v>
      </c>
      <c r="L211">
        <f t="shared" si="60"/>
        <v>194771.33082324514</v>
      </c>
      <c r="M211">
        <f t="shared" si="61"/>
        <v>194885.00123438935</v>
      </c>
      <c r="N211" s="29">
        <f t="shared" si="62"/>
        <v>0</v>
      </c>
      <c r="O211" s="29">
        <f t="shared" si="63"/>
        <v>0</v>
      </c>
      <c r="P211" s="29">
        <f t="shared" si="64"/>
        <v>194885.00123438935</v>
      </c>
      <c r="Q211">
        <f t="shared" si="65"/>
        <v>0</v>
      </c>
      <c r="R211" s="29">
        <f t="shared" si="66"/>
        <v>0</v>
      </c>
      <c r="S211" s="29">
        <f t="shared" si="67"/>
        <v>0</v>
      </c>
      <c r="T211" s="29">
        <f t="shared" si="68"/>
        <v>194885.00123438935</v>
      </c>
      <c r="U211">
        <f t="shared" si="69"/>
        <v>0</v>
      </c>
      <c r="V211" s="29">
        <f t="shared" si="70"/>
        <v>0</v>
      </c>
      <c r="W211" s="29">
        <f t="shared" si="71"/>
        <v>0</v>
      </c>
      <c r="X211" s="29">
        <f t="shared" si="72"/>
        <v>194885.00123438935</v>
      </c>
      <c r="Y211">
        <f t="shared" si="73"/>
        <v>0</v>
      </c>
    </row>
    <row r="212" spans="1:25" x14ac:dyDescent="0.25">
      <c r="A212" s="4" t="s">
        <v>1066</v>
      </c>
      <c r="B212" s="7" t="s">
        <v>445</v>
      </c>
      <c r="C212" s="2" t="s">
        <v>1067</v>
      </c>
      <c r="D212">
        <f>VLOOKUP(B212,'Model allocations'!$A$1:$L$317,6,FALSE)</f>
        <v>28745.623787612669</v>
      </c>
      <c r="E212" s="31">
        <f>VLOOKUP(B212,'Initial adjusted formula count'!$A$1:$P$317,12,FALSE)</f>
        <v>0.16571428571428601</v>
      </c>
      <c r="F212">
        <f>VLOOKUP(B212,'Model allocations'!$A$1:$L$317,11,FALSE)</f>
        <v>25871.061408851401</v>
      </c>
      <c r="G212" s="30">
        <f t="shared" si="74"/>
        <v>0.9</v>
      </c>
      <c r="H212">
        <f t="shared" si="75"/>
        <v>25871.061408851401</v>
      </c>
      <c r="I212">
        <f t="shared" si="57"/>
        <v>0</v>
      </c>
      <c r="J212">
        <f t="shared" si="58"/>
        <v>25871.061408851401</v>
      </c>
      <c r="K212">
        <f t="shared" si="59"/>
        <v>25855.971616571573</v>
      </c>
      <c r="L212">
        <f t="shared" si="60"/>
        <v>25855.971616571573</v>
      </c>
      <c r="M212">
        <f t="shared" si="61"/>
        <v>25871.061408851401</v>
      </c>
      <c r="N212" s="29">
        <f t="shared" si="62"/>
        <v>0</v>
      </c>
      <c r="O212" s="29">
        <f t="shared" si="63"/>
        <v>0</v>
      </c>
      <c r="P212" s="29">
        <f t="shared" si="64"/>
        <v>25871.061408851401</v>
      </c>
      <c r="Q212">
        <f t="shared" si="65"/>
        <v>0</v>
      </c>
      <c r="R212" s="29">
        <f t="shared" si="66"/>
        <v>0</v>
      </c>
      <c r="S212" s="29">
        <f t="shared" si="67"/>
        <v>0</v>
      </c>
      <c r="T212" s="29">
        <f t="shared" si="68"/>
        <v>25871.061408851401</v>
      </c>
      <c r="U212">
        <f t="shared" si="69"/>
        <v>0</v>
      </c>
      <c r="V212" s="29">
        <f t="shared" si="70"/>
        <v>0</v>
      </c>
      <c r="W212" s="29">
        <f t="shared" si="71"/>
        <v>0</v>
      </c>
      <c r="X212" s="29">
        <f t="shared" si="72"/>
        <v>25871.061408851401</v>
      </c>
      <c r="Y212">
        <f t="shared" si="73"/>
        <v>0</v>
      </c>
    </row>
    <row r="213" spans="1:25" x14ac:dyDescent="0.25">
      <c r="A213" s="4" t="s">
        <v>1068</v>
      </c>
      <c r="B213" s="7" t="s">
        <v>557</v>
      </c>
      <c r="C213" s="2" t="s">
        <v>1069</v>
      </c>
      <c r="D213">
        <f>VLOOKUP(B213,'Model allocations'!$A$1:$L$317,6,FALSE)</f>
        <v>264746.0605791597</v>
      </c>
      <c r="E213" s="31">
        <f>VLOOKUP(B213,'Initial adjusted formula count'!$A$1:$P$317,12,FALSE)</f>
        <v>0.14103788602355899</v>
      </c>
      <c r="F213">
        <f>VLOOKUP(B213,'Model allocations'!$A$1:$L$317,11,FALSE)</f>
        <v>252759.40362467608</v>
      </c>
      <c r="G213" s="30">
        <f t="shared" si="74"/>
        <v>0.85</v>
      </c>
      <c r="H213">
        <f t="shared" si="75"/>
        <v>225034.15149228575</v>
      </c>
      <c r="I213">
        <f t="shared" si="57"/>
        <v>0</v>
      </c>
      <c r="J213">
        <f t="shared" si="58"/>
        <v>252759.40362467608</v>
      </c>
      <c r="K213">
        <f t="shared" si="59"/>
        <v>252611.97685941146</v>
      </c>
      <c r="L213">
        <f t="shared" si="60"/>
        <v>252611.97685941146</v>
      </c>
      <c r="M213">
        <f t="shared" si="61"/>
        <v>0</v>
      </c>
      <c r="N213" s="29">
        <f t="shared" si="62"/>
        <v>252611.97685941146</v>
      </c>
      <c r="O213" s="29">
        <f t="shared" si="63"/>
        <v>252592.7457970579</v>
      </c>
      <c r="P213" s="29">
        <f t="shared" si="64"/>
        <v>252592.7457970579</v>
      </c>
      <c r="Q213">
        <f t="shared" si="65"/>
        <v>0</v>
      </c>
      <c r="R213" s="29">
        <f t="shared" si="66"/>
        <v>252592.7457970579</v>
      </c>
      <c r="S213" s="29">
        <f t="shared" si="67"/>
        <v>252592.7457970579</v>
      </c>
      <c r="T213" s="29">
        <f t="shared" si="68"/>
        <v>252592.7457970579</v>
      </c>
      <c r="U213">
        <f t="shared" si="69"/>
        <v>0</v>
      </c>
      <c r="V213" s="29">
        <f t="shared" si="70"/>
        <v>252592.7457970579</v>
      </c>
      <c r="W213" s="29">
        <f t="shared" si="71"/>
        <v>252592.7457970579</v>
      </c>
      <c r="X213" s="29">
        <f t="shared" si="72"/>
        <v>252592.7457970579</v>
      </c>
      <c r="Y213">
        <f t="shared" si="73"/>
        <v>0</v>
      </c>
    </row>
    <row r="214" spans="1:25" x14ac:dyDescent="0.25">
      <c r="A214" s="4" t="s">
        <v>1070</v>
      </c>
      <c r="B214" s="7" t="s">
        <v>197</v>
      </c>
      <c r="C214" s="2" t="s">
        <v>1071</v>
      </c>
      <c r="D214">
        <f>VLOOKUP(B214,'Model allocations'!$A$1:$L$317,6,FALSE)</f>
        <v>74109.880984559015</v>
      </c>
      <c r="E214" s="31">
        <f>VLOOKUP(B214,'Initial adjusted formula count'!$A$1:$P$317,12,FALSE)</f>
        <v>8.6744639376218305E-2</v>
      </c>
      <c r="F214">
        <f>VLOOKUP(B214,'Model allocations'!$A$1:$L$317,11,FALSE)</f>
        <v>62993.39883687516</v>
      </c>
      <c r="G214" s="30">
        <f t="shared" si="74"/>
        <v>0.85</v>
      </c>
      <c r="H214">
        <f t="shared" si="75"/>
        <v>62993.39883687516</v>
      </c>
      <c r="I214">
        <f t="shared" si="57"/>
        <v>0</v>
      </c>
      <c r="J214">
        <f t="shared" si="58"/>
        <v>62993.39883687516</v>
      </c>
      <c r="K214">
        <f t="shared" si="59"/>
        <v>62956.656729992617</v>
      </c>
      <c r="L214">
        <f t="shared" si="60"/>
        <v>62956.656729992617</v>
      </c>
      <c r="M214">
        <f t="shared" si="61"/>
        <v>62993.39883687516</v>
      </c>
      <c r="N214" s="29">
        <f t="shared" si="62"/>
        <v>0</v>
      </c>
      <c r="O214" s="29">
        <f t="shared" si="63"/>
        <v>0</v>
      </c>
      <c r="P214" s="29">
        <f t="shared" si="64"/>
        <v>62993.39883687516</v>
      </c>
      <c r="Q214">
        <f t="shared" si="65"/>
        <v>0</v>
      </c>
      <c r="R214" s="29">
        <f t="shared" si="66"/>
        <v>0</v>
      </c>
      <c r="S214" s="29">
        <f t="shared" si="67"/>
        <v>0</v>
      </c>
      <c r="T214" s="29">
        <f t="shared" si="68"/>
        <v>62993.39883687516</v>
      </c>
      <c r="U214">
        <f t="shared" si="69"/>
        <v>0</v>
      </c>
      <c r="V214" s="29">
        <f t="shared" si="70"/>
        <v>0</v>
      </c>
      <c r="W214" s="29">
        <f t="shared" si="71"/>
        <v>0</v>
      </c>
      <c r="X214" s="29">
        <f t="shared" si="72"/>
        <v>62993.39883687516</v>
      </c>
      <c r="Y214">
        <f t="shared" si="73"/>
        <v>0</v>
      </c>
    </row>
    <row r="215" spans="1:25" x14ac:dyDescent="0.25">
      <c r="A215" s="4" t="s">
        <v>15</v>
      </c>
      <c r="B215" s="7" t="s">
        <v>69</v>
      </c>
      <c r="C215" s="2" t="s">
        <v>1072</v>
      </c>
      <c r="D215">
        <f>VLOOKUP(B215,'Model allocations'!$A$1:$L$317,6,FALSE)</f>
        <v>49736.805696874522</v>
      </c>
      <c r="E215" s="31">
        <f>VLOOKUP(B215,'Initial adjusted formula count'!$A$1:$P$317,12,FALSE)</f>
        <v>0.172194800399085</v>
      </c>
      <c r="F215">
        <f>VLOOKUP(B215,'Model allocations'!$A$1:$L$317,11,FALSE)</f>
        <v>61442.219987210206</v>
      </c>
      <c r="G215" s="30">
        <f t="shared" si="74"/>
        <v>0.9</v>
      </c>
      <c r="H215">
        <f t="shared" si="75"/>
        <v>44763.125127187071</v>
      </c>
      <c r="I215">
        <f t="shared" si="57"/>
        <v>0</v>
      </c>
      <c r="J215">
        <f t="shared" si="58"/>
        <v>61442.219987210206</v>
      </c>
      <c r="K215">
        <f t="shared" si="59"/>
        <v>61406.382635113732</v>
      </c>
      <c r="L215">
        <f t="shared" si="60"/>
        <v>61406.382635113732</v>
      </c>
      <c r="M215">
        <f t="shared" si="61"/>
        <v>0</v>
      </c>
      <c r="N215" s="29">
        <f t="shared" si="62"/>
        <v>61406.382635113732</v>
      </c>
      <c r="O215" s="29">
        <f t="shared" si="63"/>
        <v>61401.707837077454</v>
      </c>
      <c r="P215" s="29">
        <f t="shared" si="64"/>
        <v>61401.707837077454</v>
      </c>
      <c r="Q215">
        <f t="shared" si="65"/>
        <v>0</v>
      </c>
      <c r="R215" s="29">
        <f t="shared" si="66"/>
        <v>61401.707837077454</v>
      </c>
      <c r="S215" s="29">
        <f t="shared" si="67"/>
        <v>61401.707837077454</v>
      </c>
      <c r="T215" s="29">
        <f t="shared" si="68"/>
        <v>61401.707837077454</v>
      </c>
      <c r="U215">
        <f t="shared" si="69"/>
        <v>0</v>
      </c>
      <c r="V215" s="29">
        <f t="shared" si="70"/>
        <v>61401.707837077454</v>
      </c>
      <c r="W215" s="29">
        <f t="shared" si="71"/>
        <v>61401.707837077454</v>
      </c>
      <c r="X215" s="29">
        <f t="shared" si="72"/>
        <v>61401.707837077454</v>
      </c>
      <c r="Y215">
        <f t="shared" si="73"/>
        <v>0</v>
      </c>
    </row>
    <row r="216" spans="1:25" x14ac:dyDescent="0.25">
      <c r="A216" s="4" t="s">
        <v>21</v>
      </c>
      <c r="B216" s="7" t="s">
        <v>71</v>
      </c>
      <c r="C216" s="2" t="s">
        <v>1073</v>
      </c>
      <c r="D216">
        <f>VLOOKUP(B216,'Model allocations'!$A$1:$L$317,6,FALSE)</f>
        <v>55511.693074575538</v>
      </c>
      <c r="E216" s="31">
        <f>VLOOKUP(B216,'Initial adjusted formula count'!$A$1:$P$317,12,FALSE)</f>
        <v>0.14380739082834301</v>
      </c>
      <c r="F216">
        <f>VLOOKUP(B216,'Model allocations'!$A$1:$L$317,11,FALSE)</f>
        <v>24761.064758580844</v>
      </c>
      <c r="G216" s="30">
        <f t="shared" si="74"/>
        <v>0.85</v>
      </c>
      <c r="H216">
        <f t="shared" si="75"/>
        <v>47184.939113389206</v>
      </c>
      <c r="I216">
        <f t="shared" si="57"/>
        <v>47184.939113389206</v>
      </c>
      <c r="J216">
        <f t="shared" si="58"/>
        <v>0</v>
      </c>
      <c r="K216">
        <f t="shared" si="59"/>
        <v>0</v>
      </c>
      <c r="L216">
        <f t="shared" si="60"/>
        <v>47184.939113389206</v>
      </c>
      <c r="M216">
        <f t="shared" si="61"/>
        <v>0</v>
      </c>
      <c r="N216" s="29">
        <f t="shared" si="62"/>
        <v>0</v>
      </c>
      <c r="O216" s="29">
        <f t="shared" si="63"/>
        <v>0</v>
      </c>
      <c r="P216" s="29">
        <f t="shared" si="64"/>
        <v>47184.939113389206</v>
      </c>
      <c r="Q216">
        <f t="shared" si="65"/>
        <v>0</v>
      </c>
      <c r="R216" s="29">
        <f t="shared" si="66"/>
        <v>0</v>
      </c>
      <c r="S216" s="29">
        <f t="shared" si="67"/>
        <v>0</v>
      </c>
      <c r="T216" s="29">
        <f t="shared" si="68"/>
        <v>47184.939113389206</v>
      </c>
      <c r="U216">
        <f t="shared" si="69"/>
        <v>0</v>
      </c>
      <c r="V216" s="29">
        <f t="shared" si="70"/>
        <v>0</v>
      </c>
      <c r="W216" s="29">
        <f t="shared" si="71"/>
        <v>0</v>
      </c>
      <c r="X216" s="29">
        <f t="shared" si="72"/>
        <v>47184.939113389206</v>
      </c>
      <c r="Y216">
        <f t="shared" si="73"/>
        <v>0</v>
      </c>
    </row>
    <row r="217" spans="1:25" x14ac:dyDescent="0.25">
      <c r="A217" s="4" t="s">
        <v>1074</v>
      </c>
      <c r="B217" s="7" t="s">
        <v>559</v>
      </c>
      <c r="C217" s="2" t="s">
        <v>1075</v>
      </c>
      <c r="D217">
        <f>VLOOKUP(B217,'Model allocations'!$A$1:$L$317,6,FALSE)</f>
        <v>68308.641500246391</v>
      </c>
      <c r="E217" s="31">
        <f>VLOOKUP(B217,'Initial adjusted formula count'!$A$1:$P$317,12,FALSE)</f>
        <v>0.19674796747967499</v>
      </c>
      <c r="F217">
        <f>VLOOKUP(B217,'Model allocations'!$A$1:$L$317,11,FALSE)</f>
        <v>79814.487324370115</v>
      </c>
      <c r="G217" s="30">
        <f t="shared" si="74"/>
        <v>0.9</v>
      </c>
      <c r="H217">
        <f t="shared" si="75"/>
        <v>61477.777350221753</v>
      </c>
      <c r="I217">
        <f t="shared" si="57"/>
        <v>0</v>
      </c>
      <c r="J217">
        <f t="shared" si="58"/>
        <v>79814.487324370115</v>
      </c>
      <c r="K217">
        <f t="shared" si="59"/>
        <v>79767.933995319851</v>
      </c>
      <c r="L217">
        <f t="shared" si="60"/>
        <v>79767.933995319851</v>
      </c>
      <c r="M217">
        <f t="shared" si="61"/>
        <v>0</v>
      </c>
      <c r="N217" s="29">
        <f t="shared" si="62"/>
        <v>79767.933995319851</v>
      </c>
      <c r="O217" s="29">
        <f t="shared" si="63"/>
        <v>79761.861353271946</v>
      </c>
      <c r="P217" s="29">
        <f t="shared" si="64"/>
        <v>79761.861353271946</v>
      </c>
      <c r="Q217">
        <f t="shared" si="65"/>
        <v>0</v>
      </c>
      <c r="R217" s="29">
        <f t="shared" si="66"/>
        <v>79761.861353271946</v>
      </c>
      <c r="S217" s="29">
        <f t="shared" si="67"/>
        <v>79761.861353271946</v>
      </c>
      <c r="T217" s="29">
        <f t="shared" si="68"/>
        <v>79761.861353271946</v>
      </c>
      <c r="U217">
        <f t="shared" si="69"/>
        <v>0</v>
      </c>
      <c r="V217" s="29">
        <f t="shared" si="70"/>
        <v>79761.861353271946</v>
      </c>
      <c r="W217" s="29">
        <f t="shared" si="71"/>
        <v>79761.861353271946</v>
      </c>
      <c r="X217" s="29">
        <f t="shared" si="72"/>
        <v>79761.861353271946</v>
      </c>
      <c r="Y217">
        <f t="shared" si="73"/>
        <v>0</v>
      </c>
    </row>
    <row r="218" spans="1:25" x14ac:dyDescent="0.25">
      <c r="A218" s="4" t="s">
        <v>1076</v>
      </c>
      <c r="B218" s="7" t="s">
        <v>561</v>
      </c>
      <c r="C218" s="2" t="s">
        <v>1077</v>
      </c>
      <c r="D218">
        <f>VLOOKUP(B218,'Model allocations'!$A$1:$L$317,6,FALSE)</f>
        <v>72409.17896182141</v>
      </c>
      <c r="E218" s="31">
        <f>VLOOKUP(B218,'Initial adjusted formula count'!$A$1:$P$317,12,FALSE)</f>
        <v>8.1000000000000003E-2</v>
      </c>
      <c r="F218">
        <f>VLOOKUP(B218,'Model allocations'!$A$1:$L$317,11,FALSE)</f>
        <v>61547.802117548199</v>
      </c>
      <c r="G218" s="30">
        <f t="shared" si="74"/>
        <v>0.85</v>
      </c>
      <c r="H218">
        <f t="shared" si="75"/>
        <v>61547.802117548199</v>
      </c>
      <c r="I218">
        <f t="shared" si="57"/>
        <v>0</v>
      </c>
      <c r="J218">
        <f t="shared" si="58"/>
        <v>61547.802117548199</v>
      </c>
      <c r="K218">
        <f t="shared" si="59"/>
        <v>61511.903182651156</v>
      </c>
      <c r="L218">
        <f t="shared" si="60"/>
        <v>61511.903182651156</v>
      </c>
      <c r="M218">
        <f t="shared" si="61"/>
        <v>61547.802117548199</v>
      </c>
      <c r="N218" s="29">
        <f t="shared" si="62"/>
        <v>0</v>
      </c>
      <c r="O218" s="29">
        <f t="shared" si="63"/>
        <v>0</v>
      </c>
      <c r="P218" s="29">
        <f t="shared" si="64"/>
        <v>61547.802117548199</v>
      </c>
      <c r="Q218">
        <f t="shared" si="65"/>
        <v>0</v>
      </c>
      <c r="R218" s="29">
        <f t="shared" si="66"/>
        <v>0</v>
      </c>
      <c r="S218" s="29">
        <f t="shared" si="67"/>
        <v>0</v>
      </c>
      <c r="T218" s="29">
        <f t="shared" si="68"/>
        <v>61547.802117548199</v>
      </c>
      <c r="U218">
        <f t="shared" si="69"/>
        <v>0</v>
      </c>
      <c r="V218" s="29">
        <f t="shared" si="70"/>
        <v>0</v>
      </c>
      <c r="W218" s="29">
        <f t="shared" si="71"/>
        <v>0</v>
      </c>
      <c r="X218" s="29">
        <f t="shared" si="72"/>
        <v>61547.802117548199</v>
      </c>
      <c r="Y218">
        <f t="shared" si="73"/>
        <v>0</v>
      </c>
    </row>
    <row r="219" spans="1:25" x14ac:dyDescent="0.25">
      <c r="A219" s="4" t="s">
        <v>1078</v>
      </c>
      <c r="B219" s="7" t="s">
        <v>563</v>
      </c>
      <c r="C219" s="2" t="s">
        <v>1079</v>
      </c>
      <c r="D219">
        <f>VLOOKUP(B219,'Model allocations'!$A$1:$L$317,6,FALSE)</f>
        <v>1767864.0598806071</v>
      </c>
      <c r="E219" s="31">
        <f>VLOOKUP(B219,'Initial adjusted formula count'!$A$1:$P$317,12,FALSE)</f>
        <v>0.13406075414032301</v>
      </c>
      <c r="F219">
        <f>VLOOKUP(B219,'Model allocations'!$A$1:$L$317,11,FALSE)</f>
        <v>1848450.14873035</v>
      </c>
      <c r="G219" s="30">
        <f t="shared" si="74"/>
        <v>0.85</v>
      </c>
      <c r="H219">
        <f t="shared" si="75"/>
        <v>1502684.450898516</v>
      </c>
      <c r="I219">
        <f t="shared" si="57"/>
        <v>0</v>
      </c>
      <c r="J219">
        <f t="shared" si="58"/>
        <v>1848450.14873035</v>
      </c>
      <c r="K219">
        <f t="shared" si="59"/>
        <v>1847372.0047631133</v>
      </c>
      <c r="L219">
        <f t="shared" si="60"/>
        <v>1847372.0047631133</v>
      </c>
      <c r="M219">
        <f t="shared" si="61"/>
        <v>0</v>
      </c>
      <c r="N219" s="29">
        <f t="shared" si="62"/>
        <v>1847372.0047631133</v>
      </c>
      <c r="O219" s="29">
        <f t="shared" si="63"/>
        <v>1847231.3664344978</v>
      </c>
      <c r="P219" s="29">
        <f t="shared" si="64"/>
        <v>1847231.3664344978</v>
      </c>
      <c r="Q219">
        <f t="shared" si="65"/>
        <v>0</v>
      </c>
      <c r="R219" s="29">
        <f t="shared" si="66"/>
        <v>1847231.3664344978</v>
      </c>
      <c r="S219" s="29">
        <f t="shared" si="67"/>
        <v>1847231.3664344978</v>
      </c>
      <c r="T219" s="29">
        <f t="shared" si="68"/>
        <v>1847231.3664344978</v>
      </c>
      <c r="U219">
        <f t="shared" si="69"/>
        <v>0</v>
      </c>
      <c r="V219" s="29">
        <f t="shared" si="70"/>
        <v>1847231.3664344978</v>
      </c>
      <c r="W219" s="29">
        <f t="shared" si="71"/>
        <v>1847231.3664344978</v>
      </c>
      <c r="X219" s="29">
        <f t="shared" si="72"/>
        <v>1847231.3664344978</v>
      </c>
      <c r="Y219">
        <f t="shared" si="73"/>
        <v>0</v>
      </c>
    </row>
    <row r="220" spans="1:25" x14ac:dyDescent="0.25">
      <c r="A220" s="4" t="s">
        <v>1080</v>
      </c>
      <c r="B220" s="7" t="s">
        <v>564</v>
      </c>
      <c r="C220" s="2" t="s">
        <v>1081</v>
      </c>
      <c r="D220">
        <f>VLOOKUP(B220,'Model allocations'!$A$1:$L$317,6,FALSE)</f>
        <v>68460.432070128634</v>
      </c>
      <c r="E220" s="31">
        <f>VLOOKUP(B220,'Initial adjusted formula count'!$A$1:$P$317,12,FALSE)</f>
        <v>0.24</v>
      </c>
      <c r="F220">
        <f>VLOOKUP(B220,'Model allocations'!$A$1:$L$317,11,FALSE)</f>
        <v>67895.212546727154</v>
      </c>
      <c r="G220" s="30">
        <f t="shared" si="74"/>
        <v>0.9</v>
      </c>
      <c r="H220">
        <f t="shared" si="75"/>
        <v>61614.388863115775</v>
      </c>
      <c r="I220">
        <f t="shared" si="57"/>
        <v>0</v>
      </c>
      <c r="J220">
        <f t="shared" si="58"/>
        <v>67895.212546727154</v>
      </c>
      <c r="K220">
        <f t="shared" si="59"/>
        <v>67855.611363075121</v>
      </c>
      <c r="L220">
        <f t="shared" si="60"/>
        <v>67855.611363075121</v>
      </c>
      <c r="M220">
        <f t="shared" si="61"/>
        <v>0</v>
      </c>
      <c r="N220" s="29">
        <f t="shared" si="62"/>
        <v>67855.611363075121</v>
      </c>
      <c r="O220" s="29">
        <f t="shared" si="63"/>
        <v>67850.445592594304</v>
      </c>
      <c r="P220" s="29">
        <f t="shared" si="64"/>
        <v>67850.445592594304</v>
      </c>
      <c r="Q220">
        <f t="shared" si="65"/>
        <v>0</v>
      </c>
      <c r="R220" s="29">
        <f t="shared" si="66"/>
        <v>67850.445592594304</v>
      </c>
      <c r="S220" s="29">
        <f t="shared" si="67"/>
        <v>67850.445592594304</v>
      </c>
      <c r="T220" s="29">
        <f t="shared" si="68"/>
        <v>67850.445592594304</v>
      </c>
      <c r="U220">
        <f t="shared" si="69"/>
        <v>0</v>
      </c>
      <c r="V220" s="29">
        <f t="shared" si="70"/>
        <v>67850.445592594304</v>
      </c>
      <c r="W220" s="29">
        <f t="shared" si="71"/>
        <v>67850.445592594304</v>
      </c>
      <c r="X220" s="29">
        <f t="shared" si="72"/>
        <v>67850.445592594304</v>
      </c>
      <c r="Y220">
        <f t="shared" si="73"/>
        <v>0</v>
      </c>
    </row>
    <row r="221" spans="1:25" x14ac:dyDescent="0.25">
      <c r="A221" s="4" t="s">
        <v>1082</v>
      </c>
      <c r="B221" s="7" t="s">
        <v>199</v>
      </c>
      <c r="C221" s="2" t="s">
        <v>1083</v>
      </c>
      <c r="D221">
        <f>VLOOKUP(B221,'Model allocations'!$A$1:$L$317,6,FALSE)</f>
        <v>944996.35512283375</v>
      </c>
      <c r="E221" s="31">
        <f>VLOOKUP(B221,'Initial adjusted formula count'!$A$1:$P$317,12,FALSE)</f>
        <v>9.5232048758809001E-2</v>
      </c>
      <c r="F221">
        <f>VLOOKUP(B221,'Model allocations'!$A$1:$L$317,11,FALSE)</f>
        <v>1086637.2103909608</v>
      </c>
      <c r="G221" s="30">
        <f t="shared" si="74"/>
        <v>0.85</v>
      </c>
      <c r="H221">
        <f t="shared" si="75"/>
        <v>803246.90185440867</v>
      </c>
      <c r="I221">
        <f t="shared" si="57"/>
        <v>0</v>
      </c>
      <c r="J221">
        <f t="shared" si="58"/>
        <v>1086637.2103909608</v>
      </c>
      <c r="K221">
        <f t="shared" si="59"/>
        <v>1086003.4084170409</v>
      </c>
      <c r="L221">
        <f t="shared" si="60"/>
        <v>1086003.4084170409</v>
      </c>
      <c r="M221">
        <f t="shared" si="61"/>
        <v>0</v>
      </c>
      <c r="N221" s="29">
        <f t="shared" si="62"/>
        <v>1086003.4084170409</v>
      </c>
      <c r="O221" s="29">
        <f t="shared" si="63"/>
        <v>1085920.7322133111</v>
      </c>
      <c r="P221" s="29">
        <f t="shared" si="64"/>
        <v>1085920.7322133111</v>
      </c>
      <c r="Q221">
        <f t="shared" si="65"/>
        <v>0</v>
      </c>
      <c r="R221" s="29">
        <f t="shared" si="66"/>
        <v>1085920.7322133111</v>
      </c>
      <c r="S221" s="29">
        <f t="shared" si="67"/>
        <v>1085920.7322133111</v>
      </c>
      <c r="T221" s="29">
        <f t="shared" si="68"/>
        <v>1085920.7322133111</v>
      </c>
      <c r="U221">
        <f t="shared" si="69"/>
        <v>0</v>
      </c>
      <c r="V221" s="29">
        <f t="shared" si="70"/>
        <v>1085920.7322133111</v>
      </c>
      <c r="W221" s="29">
        <f t="shared" si="71"/>
        <v>1085920.7322133111</v>
      </c>
      <c r="X221" s="29">
        <f t="shared" si="72"/>
        <v>1085920.7322133111</v>
      </c>
      <c r="Y221">
        <f t="shared" si="73"/>
        <v>0</v>
      </c>
    </row>
    <row r="222" spans="1:25" x14ac:dyDescent="0.25">
      <c r="A222" s="4" t="s">
        <v>1084</v>
      </c>
      <c r="B222" s="7" t="s">
        <v>201</v>
      </c>
      <c r="C222" s="2" t="s">
        <v>1085</v>
      </c>
      <c r="D222">
        <f>VLOOKUP(B222,'Model allocations'!$A$1:$L$317,6,FALSE)</f>
        <v>0</v>
      </c>
      <c r="E222" s="31">
        <f>VLOOKUP(B222,'Initial adjusted formula count'!$A$1:$P$317,12,FALSE)</f>
        <v>4.2256902761104401E-2</v>
      </c>
      <c r="F222">
        <f>VLOOKUP(B222,'Model allocations'!$A$1:$L$317,11,FALSE)</f>
        <v>0</v>
      </c>
      <c r="G222" s="30">
        <f t="shared" si="74"/>
        <v>0.85</v>
      </c>
      <c r="H222">
        <f t="shared" si="7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0"/>
        <v>0</v>
      </c>
      <c r="M222">
        <f t="shared" si="61"/>
        <v>0</v>
      </c>
      <c r="N222" s="29">
        <f t="shared" si="62"/>
        <v>0</v>
      </c>
      <c r="O222" s="29">
        <f t="shared" si="63"/>
        <v>0</v>
      </c>
      <c r="P222" s="29">
        <f t="shared" si="64"/>
        <v>0</v>
      </c>
      <c r="Q222">
        <f t="shared" si="65"/>
        <v>0</v>
      </c>
      <c r="R222" s="29">
        <f t="shared" si="66"/>
        <v>0</v>
      </c>
      <c r="S222" s="29">
        <f t="shared" si="67"/>
        <v>0</v>
      </c>
      <c r="T222" s="29">
        <f t="shared" si="68"/>
        <v>0</v>
      </c>
      <c r="U222">
        <f t="shared" si="69"/>
        <v>0</v>
      </c>
      <c r="V222" s="29">
        <f t="shared" si="70"/>
        <v>0</v>
      </c>
      <c r="W222" s="29">
        <f t="shared" si="71"/>
        <v>0</v>
      </c>
      <c r="X222" s="29">
        <f t="shared" si="72"/>
        <v>0</v>
      </c>
      <c r="Y222">
        <f t="shared" si="73"/>
        <v>0</v>
      </c>
    </row>
    <row r="223" spans="1:25" x14ac:dyDescent="0.25">
      <c r="A223" s="4" t="s">
        <v>1086</v>
      </c>
      <c r="B223" s="7" t="s">
        <v>203</v>
      </c>
      <c r="C223" s="2" t="s">
        <v>1087</v>
      </c>
      <c r="D223">
        <f>VLOOKUP(B223,'Model allocations'!$A$1:$L$317,6,FALSE)</f>
        <v>33376.105927714569</v>
      </c>
      <c r="E223" s="31">
        <f>VLOOKUP(B223,'Initial adjusted formula count'!$A$1:$P$317,12,FALSE)</f>
        <v>0.115942028985507</v>
      </c>
      <c r="F223">
        <f>VLOOKUP(B223,'Model allocations'!$A$1:$L$317,11,FALSE)</f>
        <v>28369.690038557383</v>
      </c>
      <c r="G223" s="30">
        <f t="shared" si="74"/>
        <v>0.85</v>
      </c>
      <c r="H223">
        <f t="shared" si="75"/>
        <v>28369.690038557383</v>
      </c>
      <c r="I223">
        <f t="shared" si="57"/>
        <v>0</v>
      </c>
      <c r="J223">
        <f t="shared" si="58"/>
        <v>28369.690038557383</v>
      </c>
      <c r="K223">
        <f t="shared" si="59"/>
        <v>28353.142873253277</v>
      </c>
      <c r="L223">
        <f t="shared" si="60"/>
        <v>28353.142873253277</v>
      </c>
      <c r="M223">
        <f t="shared" si="61"/>
        <v>28369.690038557383</v>
      </c>
      <c r="N223" s="29">
        <f t="shared" si="62"/>
        <v>0</v>
      </c>
      <c r="O223" s="29">
        <f t="shared" si="63"/>
        <v>0</v>
      </c>
      <c r="P223" s="29">
        <f t="shared" si="64"/>
        <v>28369.690038557383</v>
      </c>
      <c r="Q223">
        <f t="shared" si="65"/>
        <v>0</v>
      </c>
      <c r="R223" s="29">
        <f t="shared" si="66"/>
        <v>0</v>
      </c>
      <c r="S223" s="29">
        <f t="shared" si="67"/>
        <v>0</v>
      </c>
      <c r="T223" s="29">
        <f t="shared" si="68"/>
        <v>28369.690038557383</v>
      </c>
      <c r="U223">
        <f t="shared" si="69"/>
        <v>0</v>
      </c>
      <c r="V223" s="29">
        <f t="shared" si="70"/>
        <v>0</v>
      </c>
      <c r="W223" s="29">
        <f t="shared" si="71"/>
        <v>0</v>
      </c>
      <c r="X223" s="29">
        <f t="shared" si="72"/>
        <v>28369.690038557383</v>
      </c>
      <c r="Y223">
        <f t="shared" si="73"/>
        <v>0</v>
      </c>
    </row>
    <row r="224" spans="1:25" x14ac:dyDescent="0.25">
      <c r="A224" s="4" t="s">
        <v>1088</v>
      </c>
      <c r="B224" s="7" t="s">
        <v>296</v>
      </c>
      <c r="C224" s="2" t="s">
        <v>1089</v>
      </c>
      <c r="D224">
        <f>VLOOKUP(B224,'Model allocations'!$A$1:$L$317,6,FALSE)</f>
        <v>154435.20200450975</v>
      </c>
      <c r="E224" s="31">
        <f>VLOOKUP(B224,'Initial adjusted formula count'!$A$1:$P$317,12,FALSE)</f>
        <v>0.12299465240641699</v>
      </c>
      <c r="F224">
        <f>VLOOKUP(B224,'Model allocations'!$A$1:$L$317,11,FALSE)</f>
        <v>144352.43593011977</v>
      </c>
      <c r="G224" s="30">
        <f t="shared" si="74"/>
        <v>0.85</v>
      </c>
      <c r="H224">
        <f t="shared" si="75"/>
        <v>131269.92170383327</v>
      </c>
      <c r="I224">
        <f t="shared" si="57"/>
        <v>0</v>
      </c>
      <c r="J224">
        <f t="shared" si="58"/>
        <v>144352.43593011977</v>
      </c>
      <c r="K224">
        <f t="shared" si="59"/>
        <v>144268.23960593928</v>
      </c>
      <c r="L224">
        <f t="shared" si="60"/>
        <v>144268.23960593928</v>
      </c>
      <c r="M224">
        <f t="shared" si="61"/>
        <v>0</v>
      </c>
      <c r="N224" s="29">
        <f t="shared" si="62"/>
        <v>144268.23960593928</v>
      </c>
      <c r="O224" s="29">
        <f t="shared" si="63"/>
        <v>144257.25662901954</v>
      </c>
      <c r="P224" s="29">
        <f t="shared" si="64"/>
        <v>144257.25662901954</v>
      </c>
      <c r="Q224">
        <f t="shared" si="65"/>
        <v>0</v>
      </c>
      <c r="R224" s="29">
        <f t="shared" si="66"/>
        <v>144257.25662901954</v>
      </c>
      <c r="S224" s="29">
        <f t="shared" si="67"/>
        <v>144257.25662901954</v>
      </c>
      <c r="T224" s="29">
        <f t="shared" si="68"/>
        <v>144257.25662901954</v>
      </c>
      <c r="U224">
        <f t="shared" si="69"/>
        <v>0</v>
      </c>
      <c r="V224" s="29">
        <f t="shared" si="70"/>
        <v>144257.25662901954</v>
      </c>
      <c r="W224" s="29">
        <f t="shared" si="71"/>
        <v>144257.25662901954</v>
      </c>
      <c r="X224" s="29">
        <f t="shared" si="72"/>
        <v>144257.25662901954</v>
      </c>
      <c r="Y224">
        <f t="shared" si="73"/>
        <v>0</v>
      </c>
    </row>
    <row r="225" spans="1:25" x14ac:dyDescent="0.25">
      <c r="A225" s="4" t="s">
        <v>1090</v>
      </c>
      <c r="B225" s="7" t="s">
        <v>205</v>
      </c>
      <c r="C225" s="2" t="s">
        <v>1091</v>
      </c>
      <c r="D225">
        <f>VLOOKUP(B225,'Model allocations'!$A$1:$L$317,6,FALSE)</f>
        <v>0</v>
      </c>
      <c r="E225" s="31">
        <f>VLOOKUP(B225,'Initial adjusted formula count'!$A$1:$P$317,12,FALSE)</f>
        <v>3.3472803347280297E-2</v>
      </c>
      <c r="F225">
        <f>VLOOKUP(B225,'Model allocations'!$A$1:$L$317,11,FALSE)</f>
        <v>0</v>
      </c>
      <c r="G225" s="30">
        <f t="shared" si="74"/>
        <v>0.85</v>
      </c>
      <c r="H225">
        <f t="shared" si="7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0"/>
        <v>0</v>
      </c>
      <c r="M225">
        <f t="shared" si="61"/>
        <v>0</v>
      </c>
      <c r="N225" s="29">
        <f t="shared" si="62"/>
        <v>0</v>
      </c>
      <c r="O225" s="29">
        <f t="shared" si="63"/>
        <v>0</v>
      </c>
      <c r="P225" s="29">
        <f t="shared" si="64"/>
        <v>0</v>
      </c>
      <c r="Q225">
        <f t="shared" si="65"/>
        <v>0</v>
      </c>
      <c r="R225" s="29">
        <f t="shared" si="66"/>
        <v>0</v>
      </c>
      <c r="S225" s="29">
        <f t="shared" si="67"/>
        <v>0</v>
      </c>
      <c r="T225" s="29">
        <f t="shared" si="68"/>
        <v>0</v>
      </c>
      <c r="U225">
        <f t="shared" si="69"/>
        <v>0</v>
      </c>
      <c r="V225" s="29">
        <f t="shared" si="70"/>
        <v>0</v>
      </c>
      <c r="W225" s="29">
        <f t="shared" si="71"/>
        <v>0</v>
      </c>
      <c r="X225" s="29">
        <f t="shared" si="72"/>
        <v>0</v>
      </c>
      <c r="Y225">
        <f t="shared" si="73"/>
        <v>0</v>
      </c>
    </row>
    <row r="226" spans="1:25" x14ac:dyDescent="0.25">
      <c r="A226" s="4" t="s">
        <v>1092</v>
      </c>
      <c r="B226" s="7" t="s">
        <v>566</v>
      </c>
      <c r="C226" s="2" t="s">
        <v>1093</v>
      </c>
      <c r="D226">
        <f>VLOOKUP(B226,'Model allocations'!$A$1:$L$317,6,FALSE)</f>
        <v>167552.77439987258</v>
      </c>
      <c r="E226" s="31">
        <f>VLOOKUP(B226,'Initial adjusted formula count'!$A$1:$P$317,12,FALSE)</f>
        <v>0.10241935483870999</v>
      </c>
      <c r="F226">
        <f>VLOOKUP(B226,'Model allocations'!$A$1:$L$317,11,FALSE)</f>
        <v>144922.99891798585</v>
      </c>
      <c r="G226" s="30">
        <f t="shared" si="74"/>
        <v>0.85</v>
      </c>
      <c r="H226">
        <f t="shared" si="75"/>
        <v>142419.85823989168</v>
      </c>
      <c r="I226">
        <f t="shared" si="57"/>
        <v>0</v>
      </c>
      <c r="J226">
        <f t="shared" si="58"/>
        <v>144922.99891798585</v>
      </c>
      <c r="K226">
        <f t="shared" si="59"/>
        <v>144838.46980201019</v>
      </c>
      <c r="L226">
        <f t="shared" si="60"/>
        <v>144838.46980201019</v>
      </c>
      <c r="M226">
        <f t="shared" si="61"/>
        <v>0</v>
      </c>
      <c r="N226" s="29">
        <f t="shared" si="62"/>
        <v>144838.46980201019</v>
      </c>
      <c r="O226" s="29">
        <f t="shared" si="63"/>
        <v>144827.44341411447</v>
      </c>
      <c r="P226" s="29">
        <f t="shared" si="64"/>
        <v>144827.44341411447</v>
      </c>
      <c r="Q226">
        <f t="shared" si="65"/>
        <v>0</v>
      </c>
      <c r="R226" s="29">
        <f t="shared" si="66"/>
        <v>144827.44341411447</v>
      </c>
      <c r="S226" s="29">
        <f t="shared" si="67"/>
        <v>144827.44341411447</v>
      </c>
      <c r="T226" s="29">
        <f t="shared" si="68"/>
        <v>144827.44341411447</v>
      </c>
      <c r="U226">
        <f t="shared" si="69"/>
        <v>0</v>
      </c>
      <c r="V226" s="29">
        <f t="shared" si="70"/>
        <v>144827.44341411447</v>
      </c>
      <c r="W226" s="29">
        <f t="shared" si="71"/>
        <v>144827.44341411447</v>
      </c>
      <c r="X226" s="29">
        <f t="shared" si="72"/>
        <v>144827.44341411447</v>
      </c>
      <c r="Y226">
        <f t="shared" si="73"/>
        <v>0</v>
      </c>
    </row>
    <row r="227" spans="1:25" x14ac:dyDescent="0.25">
      <c r="A227" s="4" t="s">
        <v>1094</v>
      </c>
      <c r="B227" s="7" t="s">
        <v>298</v>
      </c>
      <c r="C227" s="2" t="s">
        <v>1095</v>
      </c>
      <c r="D227">
        <f>VLOOKUP(B227,'Model allocations'!$A$1:$L$317,6,FALSE)</f>
        <v>0</v>
      </c>
      <c r="E227" s="31">
        <f>VLOOKUP(B227,'Initial adjusted formula count'!$A$1:$P$317,12,FALSE)</f>
        <v>9.3023255813953501E-2</v>
      </c>
      <c r="F227">
        <f>VLOOKUP(B227,'Model allocations'!$A$1:$L$317,11,FALSE)</f>
        <v>0</v>
      </c>
      <c r="G227" s="30">
        <f t="shared" si="74"/>
        <v>0.85</v>
      </c>
      <c r="H227">
        <f t="shared" si="75"/>
        <v>0</v>
      </c>
      <c r="I227">
        <f t="shared" si="57"/>
        <v>0</v>
      </c>
      <c r="J227">
        <f t="shared" si="58"/>
        <v>0</v>
      </c>
      <c r="K227">
        <f t="shared" si="59"/>
        <v>0</v>
      </c>
      <c r="L227">
        <f t="shared" si="60"/>
        <v>0</v>
      </c>
      <c r="M227">
        <f t="shared" si="61"/>
        <v>0</v>
      </c>
      <c r="N227" s="29">
        <f t="shared" si="62"/>
        <v>0</v>
      </c>
      <c r="O227" s="29">
        <f t="shared" si="63"/>
        <v>0</v>
      </c>
      <c r="P227" s="29">
        <f t="shared" si="64"/>
        <v>0</v>
      </c>
      <c r="Q227">
        <f t="shared" si="65"/>
        <v>0</v>
      </c>
      <c r="R227" s="29">
        <f t="shared" si="66"/>
        <v>0</v>
      </c>
      <c r="S227" s="29">
        <f t="shared" si="67"/>
        <v>0</v>
      </c>
      <c r="T227" s="29">
        <f t="shared" si="68"/>
        <v>0</v>
      </c>
      <c r="U227">
        <f t="shared" si="69"/>
        <v>0</v>
      </c>
      <c r="V227" s="29">
        <f t="shared" si="70"/>
        <v>0</v>
      </c>
      <c r="W227" s="29">
        <f t="shared" si="71"/>
        <v>0</v>
      </c>
      <c r="X227" s="29">
        <f t="shared" si="72"/>
        <v>0</v>
      </c>
      <c r="Y227">
        <f t="shared" si="73"/>
        <v>0</v>
      </c>
    </row>
    <row r="228" spans="1:25" x14ac:dyDescent="0.25">
      <c r="A228" s="4" t="s">
        <v>1096</v>
      </c>
      <c r="B228" s="7" t="s">
        <v>568</v>
      </c>
      <c r="C228" s="2" t="s">
        <v>1097</v>
      </c>
      <c r="D228">
        <f>VLOOKUP(B228,'Model allocations'!$A$1:$L$317,6,FALSE)</f>
        <v>18667.991451094585</v>
      </c>
      <c r="E228" s="31">
        <f>VLOOKUP(B228,'Initial adjusted formula count'!$A$1:$P$317,12,FALSE)</f>
        <v>0.19028340080971701</v>
      </c>
      <c r="F228">
        <f>VLOOKUP(B228,'Model allocations'!$A$1:$L$317,11,FALSE)</f>
        <v>30461.245324343989</v>
      </c>
      <c r="G228" s="30">
        <f t="shared" si="74"/>
        <v>0.9</v>
      </c>
      <c r="H228">
        <f t="shared" si="75"/>
        <v>16801.192305985129</v>
      </c>
      <c r="I228">
        <f t="shared" si="57"/>
        <v>0</v>
      </c>
      <c r="J228">
        <f t="shared" si="58"/>
        <v>30461.245324343989</v>
      </c>
      <c r="K228">
        <f t="shared" si="59"/>
        <v>30443.478219343338</v>
      </c>
      <c r="L228">
        <f t="shared" si="60"/>
        <v>30443.478219343338</v>
      </c>
      <c r="M228">
        <f t="shared" si="61"/>
        <v>0</v>
      </c>
      <c r="N228" s="29">
        <f t="shared" si="62"/>
        <v>30443.478219343338</v>
      </c>
      <c r="O228" s="29">
        <f t="shared" si="63"/>
        <v>30441.160591987842</v>
      </c>
      <c r="P228" s="29">
        <f t="shared" si="64"/>
        <v>30441.160591987842</v>
      </c>
      <c r="Q228">
        <f t="shared" si="65"/>
        <v>0</v>
      </c>
      <c r="R228" s="29">
        <f t="shared" si="66"/>
        <v>30441.160591987842</v>
      </c>
      <c r="S228" s="29">
        <f t="shared" si="67"/>
        <v>30441.160591987842</v>
      </c>
      <c r="T228" s="29">
        <f t="shared" si="68"/>
        <v>30441.160591987842</v>
      </c>
      <c r="U228">
        <f t="shared" si="69"/>
        <v>0</v>
      </c>
      <c r="V228" s="29">
        <f t="shared" si="70"/>
        <v>30441.160591987842</v>
      </c>
      <c r="W228" s="29">
        <f t="shared" si="71"/>
        <v>30441.160591987842</v>
      </c>
      <c r="X228" s="29">
        <f t="shared" si="72"/>
        <v>30441.160591987842</v>
      </c>
      <c r="Y228">
        <f t="shared" si="73"/>
        <v>0</v>
      </c>
    </row>
    <row r="229" spans="1:25" x14ac:dyDescent="0.25">
      <c r="A229" s="4" t="s">
        <v>1098</v>
      </c>
      <c r="B229" s="7" t="s">
        <v>570</v>
      </c>
      <c r="C229" s="2" t="s">
        <v>1099</v>
      </c>
      <c r="D229">
        <f>VLOOKUP(B229,'Model allocations'!$A$1:$L$317,6,FALSE)</f>
        <v>162084.26198210713</v>
      </c>
      <c r="E229" s="31">
        <f>VLOOKUP(B229,'Initial adjusted formula count'!$A$1:$P$317,12,FALSE)</f>
        <v>0.13964784456587701</v>
      </c>
      <c r="F229">
        <f>VLOOKUP(B229,'Model allocations'!$A$1:$L$317,11,FALSE)</f>
        <v>137771.62268479104</v>
      </c>
      <c r="G229" s="30">
        <f t="shared" si="74"/>
        <v>0.85</v>
      </c>
      <c r="H229">
        <f t="shared" si="75"/>
        <v>137771.62268479104</v>
      </c>
      <c r="I229">
        <f t="shared" si="57"/>
        <v>0</v>
      </c>
      <c r="J229">
        <f t="shared" si="58"/>
        <v>137771.62268479104</v>
      </c>
      <c r="K229">
        <f t="shared" si="59"/>
        <v>137691.26474603027</v>
      </c>
      <c r="L229">
        <f t="shared" si="60"/>
        <v>137691.26474603027</v>
      </c>
      <c r="M229">
        <f t="shared" si="61"/>
        <v>137771.62268479104</v>
      </c>
      <c r="N229" s="29">
        <f t="shared" si="62"/>
        <v>0</v>
      </c>
      <c r="O229" s="29">
        <f t="shared" si="63"/>
        <v>0</v>
      </c>
      <c r="P229" s="29">
        <f t="shared" si="64"/>
        <v>137771.62268479104</v>
      </c>
      <c r="Q229">
        <f t="shared" si="65"/>
        <v>0</v>
      </c>
      <c r="R229" s="29">
        <f t="shared" si="66"/>
        <v>0</v>
      </c>
      <c r="S229" s="29">
        <f t="shared" si="67"/>
        <v>0</v>
      </c>
      <c r="T229" s="29">
        <f t="shared" si="68"/>
        <v>137771.62268479104</v>
      </c>
      <c r="U229">
        <f t="shared" si="69"/>
        <v>0</v>
      </c>
      <c r="V229" s="29">
        <f t="shared" si="70"/>
        <v>0</v>
      </c>
      <c r="W229" s="29">
        <f t="shared" si="71"/>
        <v>0</v>
      </c>
      <c r="X229" s="29">
        <f t="shared" si="72"/>
        <v>137771.62268479104</v>
      </c>
      <c r="Y229">
        <f t="shared" si="73"/>
        <v>0</v>
      </c>
    </row>
    <row r="230" spans="1:25" x14ac:dyDescent="0.25">
      <c r="A230" s="4" t="s">
        <v>1100</v>
      </c>
      <c r="B230" s="7" t="s">
        <v>207</v>
      </c>
      <c r="C230" s="2" t="s">
        <v>1101</v>
      </c>
      <c r="D230">
        <f>VLOOKUP(B230,'Model allocations'!$A$1:$L$317,6,FALSE)</f>
        <v>55237.178373584364</v>
      </c>
      <c r="E230" s="31">
        <f>VLOOKUP(B230,'Initial adjusted formula count'!$A$1:$P$317,12,FALSE)</f>
        <v>0.1</v>
      </c>
      <c r="F230">
        <f>VLOOKUP(B230,'Model allocations'!$A$1:$L$317,11,FALSE)</f>
        <v>49638.979944349485</v>
      </c>
      <c r="G230" s="30">
        <f t="shared" si="74"/>
        <v>0.85</v>
      </c>
      <c r="H230">
        <f t="shared" si="75"/>
        <v>46951.601617546708</v>
      </c>
      <c r="I230">
        <f t="shared" si="57"/>
        <v>0</v>
      </c>
      <c r="J230">
        <f t="shared" si="58"/>
        <v>49638.979944349485</v>
      </c>
      <c r="K230">
        <f t="shared" si="59"/>
        <v>49610.027058168838</v>
      </c>
      <c r="L230">
        <f t="shared" si="60"/>
        <v>49610.027058168838</v>
      </c>
      <c r="M230">
        <f t="shared" si="61"/>
        <v>0</v>
      </c>
      <c r="N230" s="29">
        <f t="shared" si="62"/>
        <v>49610.027058168838</v>
      </c>
      <c r="O230" s="29">
        <f t="shared" si="63"/>
        <v>49606.25030325968</v>
      </c>
      <c r="P230" s="29">
        <f t="shared" si="64"/>
        <v>49606.25030325968</v>
      </c>
      <c r="Q230">
        <f t="shared" si="65"/>
        <v>0</v>
      </c>
      <c r="R230" s="29">
        <f t="shared" si="66"/>
        <v>49606.25030325968</v>
      </c>
      <c r="S230" s="29">
        <f t="shared" si="67"/>
        <v>49606.25030325968</v>
      </c>
      <c r="T230" s="29">
        <f t="shared" si="68"/>
        <v>49606.25030325968</v>
      </c>
      <c r="U230">
        <f t="shared" si="69"/>
        <v>0</v>
      </c>
      <c r="V230" s="29">
        <f t="shared" si="70"/>
        <v>49606.25030325968</v>
      </c>
      <c r="W230" s="29">
        <f t="shared" si="71"/>
        <v>49606.25030325968</v>
      </c>
      <c r="X230" s="29">
        <f t="shared" si="72"/>
        <v>49606.25030325968</v>
      </c>
      <c r="Y230">
        <f t="shared" si="73"/>
        <v>0</v>
      </c>
    </row>
    <row r="231" spans="1:25" x14ac:dyDescent="0.25">
      <c r="A231" s="4" t="s">
        <v>1102</v>
      </c>
      <c r="B231" s="7" t="s">
        <v>572</v>
      </c>
      <c r="C231" s="2" t="s">
        <v>1103</v>
      </c>
      <c r="D231">
        <f>VLOOKUP(B231,'Model allocations'!$A$1:$L$317,6,FALSE)</f>
        <v>12385.864999166692</v>
      </c>
      <c r="E231" s="31">
        <f>VLOOKUP(B231,'Initial adjusted formula count'!$A$1:$P$317,12,FALSE)</f>
        <v>0.13636363636363599</v>
      </c>
      <c r="F231">
        <f>VLOOKUP(B231,'Model allocations'!$A$1:$L$317,11,FALSE)</f>
        <v>10527.985249291687</v>
      </c>
      <c r="G231" s="30">
        <f t="shared" si="74"/>
        <v>0.85</v>
      </c>
      <c r="H231">
        <f t="shared" si="75"/>
        <v>10527.985249291687</v>
      </c>
      <c r="I231">
        <f t="shared" si="57"/>
        <v>0</v>
      </c>
      <c r="J231">
        <f t="shared" si="58"/>
        <v>10527.985249291687</v>
      </c>
      <c r="K231">
        <f t="shared" si="59"/>
        <v>10521.844600169245</v>
      </c>
      <c r="L231">
        <f t="shared" si="60"/>
        <v>10521.844600169245</v>
      </c>
      <c r="M231">
        <f t="shared" si="61"/>
        <v>10527.985249291687</v>
      </c>
      <c r="N231" s="29">
        <f t="shared" si="62"/>
        <v>0</v>
      </c>
      <c r="O231" s="29">
        <f t="shared" si="63"/>
        <v>0</v>
      </c>
      <c r="P231" s="29">
        <f t="shared" si="64"/>
        <v>10527.985249291687</v>
      </c>
      <c r="Q231">
        <f t="shared" si="65"/>
        <v>0</v>
      </c>
      <c r="R231" s="29">
        <f t="shared" si="66"/>
        <v>0</v>
      </c>
      <c r="S231" s="29">
        <f t="shared" si="67"/>
        <v>0</v>
      </c>
      <c r="T231" s="29">
        <f t="shared" si="68"/>
        <v>10527.985249291687</v>
      </c>
      <c r="U231">
        <f t="shared" si="69"/>
        <v>0</v>
      </c>
      <c r="V231" s="29">
        <f t="shared" si="70"/>
        <v>0</v>
      </c>
      <c r="W231" s="29">
        <f t="shared" si="71"/>
        <v>0</v>
      </c>
      <c r="X231" s="29">
        <f t="shared" si="72"/>
        <v>10527.985249291687</v>
      </c>
      <c r="Y231">
        <f t="shared" si="73"/>
        <v>0</v>
      </c>
    </row>
    <row r="232" spans="1:25" x14ac:dyDescent="0.25">
      <c r="A232" s="8" t="s">
        <v>50</v>
      </c>
      <c r="B232" s="7" t="s">
        <v>82</v>
      </c>
      <c r="C232" s="2" t="s">
        <v>1104</v>
      </c>
      <c r="D232">
        <f>VLOOKUP(B232,'Model allocations'!$A$1:$L$317,6,FALSE)</f>
        <v>18329.14775078238</v>
      </c>
      <c r="E232" s="31">
        <f>VLOOKUP(B232,'Initial adjusted formula count'!$A$1:$P$317,12,FALSE)</f>
        <v>0.13881734580133701</v>
      </c>
      <c r="F232">
        <f>VLOOKUP(B232,'Model allocations'!$A$1:$L$317,11,FALSE)</f>
        <v>16708.96857561596</v>
      </c>
      <c r="G232" s="30">
        <f t="shared" si="74"/>
        <v>0.85</v>
      </c>
      <c r="H232">
        <f t="shared" si="75"/>
        <v>15579.775588165023</v>
      </c>
      <c r="I232">
        <f t="shared" si="57"/>
        <v>0</v>
      </c>
      <c r="J232">
        <f t="shared" si="58"/>
        <v>16708.96857561596</v>
      </c>
      <c r="K232">
        <f t="shared" si="59"/>
        <v>16699.222749535165</v>
      </c>
      <c r="L232">
        <f t="shared" si="60"/>
        <v>16699.222749535165</v>
      </c>
      <c r="M232">
        <f t="shared" si="61"/>
        <v>0</v>
      </c>
      <c r="N232" s="29">
        <f t="shared" si="62"/>
        <v>16699.222749535165</v>
      </c>
      <c r="O232" s="29">
        <f t="shared" si="63"/>
        <v>16697.951456709128</v>
      </c>
      <c r="P232" s="29">
        <f t="shared" si="64"/>
        <v>16697.951456709128</v>
      </c>
      <c r="Q232">
        <f t="shared" si="65"/>
        <v>0</v>
      </c>
      <c r="R232" s="29">
        <f t="shared" si="66"/>
        <v>16697.951456709128</v>
      </c>
      <c r="S232" s="29">
        <f t="shared" si="67"/>
        <v>16697.951456709128</v>
      </c>
      <c r="T232" s="29">
        <f t="shared" si="68"/>
        <v>16697.951456709128</v>
      </c>
      <c r="U232">
        <f t="shared" si="69"/>
        <v>0</v>
      </c>
      <c r="V232" s="29">
        <f t="shared" si="70"/>
        <v>16697.951456709128</v>
      </c>
      <c r="W232" s="29">
        <f t="shared" si="71"/>
        <v>16697.951456709128</v>
      </c>
      <c r="X232" s="29">
        <f t="shared" si="72"/>
        <v>16697.951456709128</v>
      </c>
      <c r="Y232">
        <f t="shared" si="73"/>
        <v>0</v>
      </c>
    </row>
    <row r="233" spans="1:25" x14ac:dyDescent="0.25">
      <c r="A233" s="4" t="s">
        <v>46</v>
      </c>
      <c r="B233" s="7" t="s">
        <v>81</v>
      </c>
      <c r="C233" s="2" t="s">
        <v>1105</v>
      </c>
      <c r="D233">
        <f>VLOOKUP(B233,'Model allocations'!$A$1:$L$317,6,FALSE)</f>
        <v>0</v>
      </c>
      <c r="E233" s="31">
        <f>VLOOKUP(B233,'Initial adjusted formula count'!$A$1:$P$317,12,FALSE)</f>
        <v>6.8505523903888699E-2</v>
      </c>
      <c r="F233">
        <f>VLOOKUP(B233,'Model allocations'!$A$1:$L$317,11,FALSE)</f>
        <v>0</v>
      </c>
      <c r="G233" s="30">
        <f t="shared" si="74"/>
        <v>0.85</v>
      </c>
      <c r="H233">
        <f t="shared" si="75"/>
        <v>0</v>
      </c>
      <c r="I233">
        <f t="shared" si="57"/>
        <v>0</v>
      </c>
      <c r="J233">
        <f t="shared" si="58"/>
        <v>0</v>
      </c>
      <c r="K233">
        <f t="shared" si="59"/>
        <v>0</v>
      </c>
      <c r="L233">
        <f t="shared" si="60"/>
        <v>0</v>
      </c>
      <c r="M233">
        <f t="shared" si="61"/>
        <v>0</v>
      </c>
      <c r="N233" s="29">
        <f t="shared" si="62"/>
        <v>0</v>
      </c>
      <c r="O233" s="29">
        <f t="shared" si="63"/>
        <v>0</v>
      </c>
      <c r="P233" s="29">
        <f t="shared" si="64"/>
        <v>0</v>
      </c>
      <c r="Q233">
        <f t="shared" si="65"/>
        <v>0</v>
      </c>
      <c r="R233" s="29">
        <f t="shared" si="66"/>
        <v>0</v>
      </c>
      <c r="S233" s="29">
        <f t="shared" si="67"/>
        <v>0</v>
      </c>
      <c r="T233" s="29">
        <f t="shared" si="68"/>
        <v>0</v>
      </c>
      <c r="U233">
        <f t="shared" si="69"/>
        <v>0</v>
      </c>
      <c r="V233" s="29">
        <f t="shared" si="70"/>
        <v>0</v>
      </c>
      <c r="W233" s="29">
        <f t="shared" si="71"/>
        <v>0</v>
      </c>
      <c r="X233" s="29">
        <f t="shared" si="72"/>
        <v>0</v>
      </c>
      <c r="Y233">
        <f t="shared" si="73"/>
        <v>0</v>
      </c>
    </row>
    <row r="234" spans="1:25" x14ac:dyDescent="0.25">
      <c r="A234" s="4" t="s">
        <v>24</v>
      </c>
      <c r="B234" s="7" t="s">
        <v>59</v>
      </c>
      <c r="C234" s="2" t="s">
        <v>1106</v>
      </c>
      <c r="D234">
        <f>VLOOKUP(B234,'Model allocations'!$A$1:$L$317,6,FALSE)</f>
        <v>5934379.6924350541</v>
      </c>
      <c r="E234" s="31">
        <f>VLOOKUP(B234,'Initial adjusted formula count'!$A$1:$P$317,12,FALSE)</f>
        <v>9.7120311358407194E-2</v>
      </c>
      <c r="F234">
        <f>VLOOKUP(B234,'Model allocations'!$A$1:$L$317,11,FALSE)</f>
        <v>6757849.5619992306</v>
      </c>
      <c r="G234" s="30">
        <f t="shared" si="74"/>
        <v>0.85</v>
      </c>
      <c r="H234">
        <f t="shared" si="75"/>
        <v>5044222.7385697961</v>
      </c>
      <c r="I234">
        <f t="shared" si="57"/>
        <v>0</v>
      </c>
      <c r="J234">
        <f t="shared" si="58"/>
        <v>6757849.5619992306</v>
      </c>
      <c r="K234">
        <f t="shared" si="59"/>
        <v>6753907.9167556381</v>
      </c>
      <c r="L234">
        <f t="shared" si="60"/>
        <v>6753907.9167556381</v>
      </c>
      <c r="M234">
        <f t="shared" si="61"/>
        <v>0</v>
      </c>
      <c r="N234" s="29">
        <f t="shared" si="62"/>
        <v>6753907.9167556381</v>
      </c>
      <c r="O234" s="29">
        <f t="shared" si="63"/>
        <v>6753393.7494311426</v>
      </c>
      <c r="P234" s="29">
        <f t="shared" si="64"/>
        <v>6753393.7494311426</v>
      </c>
      <c r="Q234">
        <f t="shared" si="65"/>
        <v>0</v>
      </c>
      <c r="R234" s="29">
        <f t="shared" si="66"/>
        <v>6753393.7494311426</v>
      </c>
      <c r="S234" s="29">
        <f t="shared" si="67"/>
        <v>6753393.7494311426</v>
      </c>
      <c r="T234" s="29">
        <f t="shared" si="68"/>
        <v>6753393.7494311426</v>
      </c>
      <c r="U234">
        <f t="shared" si="69"/>
        <v>0</v>
      </c>
      <c r="V234" s="29">
        <f t="shared" si="70"/>
        <v>6753393.7494311426</v>
      </c>
      <c r="W234" s="29">
        <f t="shared" si="71"/>
        <v>6753393.7494311426</v>
      </c>
      <c r="X234" s="29">
        <f t="shared" si="72"/>
        <v>6753393.7494311426</v>
      </c>
      <c r="Y234">
        <f t="shared" si="73"/>
        <v>0</v>
      </c>
    </row>
    <row r="235" spans="1:25" x14ac:dyDescent="0.25">
      <c r="A235" s="4" t="s">
        <v>1107</v>
      </c>
      <c r="B235" s="7" t="s">
        <v>300</v>
      </c>
      <c r="C235" s="2" t="s">
        <v>1108</v>
      </c>
      <c r="D235">
        <f>VLOOKUP(B235,'Model allocations'!$A$1:$L$317,6,FALSE)</f>
        <v>347903.4770431263</v>
      </c>
      <c r="E235" s="31">
        <f>VLOOKUP(B235,'Initial adjusted formula count'!$A$1:$P$317,12,FALSE)</f>
        <v>0.111395899053628</v>
      </c>
      <c r="F235">
        <f>VLOOKUP(B235,'Model allocations'!$A$1:$L$317,11,FALSE)</f>
        <v>322368.08814433863</v>
      </c>
      <c r="G235" s="30">
        <f t="shared" si="74"/>
        <v>0.85</v>
      </c>
      <c r="H235">
        <f t="shared" si="75"/>
        <v>295717.95548665733</v>
      </c>
      <c r="I235">
        <f t="shared" si="57"/>
        <v>0</v>
      </c>
      <c r="J235">
        <f t="shared" si="58"/>
        <v>322368.08814433863</v>
      </c>
      <c r="K235">
        <f t="shared" si="59"/>
        <v>322180.06078006205</v>
      </c>
      <c r="L235">
        <f t="shared" si="60"/>
        <v>322180.06078006205</v>
      </c>
      <c r="M235">
        <f t="shared" si="61"/>
        <v>0</v>
      </c>
      <c r="N235" s="29">
        <f t="shared" si="62"/>
        <v>322180.06078006205</v>
      </c>
      <c r="O235" s="29">
        <f t="shared" si="63"/>
        <v>322155.53357864049</v>
      </c>
      <c r="P235" s="29">
        <f t="shared" si="64"/>
        <v>322155.53357864049</v>
      </c>
      <c r="Q235">
        <f t="shared" si="65"/>
        <v>0</v>
      </c>
      <c r="R235" s="29">
        <f t="shared" si="66"/>
        <v>322155.53357864049</v>
      </c>
      <c r="S235" s="29">
        <f t="shared" si="67"/>
        <v>322155.53357864049</v>
      </c>
      <c r="T235" s="29">
        <f t="shared" si="68"/>
        <v>322155.53357864049</v>
      </c>
      <c r="U235">
        <f t="shared" si="69"/>
        <v>0</v>
      </c>
      <c r="V235" s="29">
        <f t="shared" si="70"/>
        <v>322155.53357864049</v>
      </c>
      <c r="W235" s="29">
        <f t="shared" si="71"/>
        <v>322155.53357864049</v>
      </c>
      <c r="X235" s="29">
        <f t="shared" si="72"/>
        <v>322155.53357864049</v>
      </c>
      <c r="Y235">
        <f t="shared" si="73"/>
        <v>0</v>
      </c>
    </row>
    <row r="236" spans="1:25" x14ac:dyDescent="0.25">
      <c r="A236" s="4" t="s">
        <v>1109</v>
      </c>
      <c r="B236" s="7" t="s">
        <v>574</v>
      </c>
      <c r="C236" s="2" t="s">
        <v>1110</v>
      </c>
      <c r="D236">
        <f>VLOOKUP(B236,'Model allocations'!$A$1:$L$317,6,FALSE)</f>
        <v>264746.06057915959</v>
      </c>
      <c r="E236" s="31">
        <f>VLOOKUP(B236,'Initial adjusted formula count'!$A$1:$P$317,12,FALSE)</f>
        <v>0.121589277166108</v>
      </c>
      <c r="F236">
        <f>VLOOKUP(B236,'Model allocations'!$A$1:$L$317,11,FALSE)</f>
        <v>289845.99783597171</v>
      </c>
      <c r="G236" s="30">
        <f t="shared" si="74"/>
        <v>0.85</v>
      </c>
      <c r="H236">
        <f t="shared" si="75"/>
        <v>225034.15149228563</v>
      </c>
      <c r="I236">
        <f t="shared" si="57"/>
        <v>0</v>
      </c>
      <c r="J236">
        <f t="shared" si="58"/>
        <v>289845.99783597171</v>
      </c>
      <c r="K236">
        <f t="shared" si="59"/>
        <v>289676.93960402039</v>
      </c>
      <c r="L236">
        <f t="shared" si="60"/>
        <v>289676.93960402039</v>
      </c>
      <c r="M236">
        <f t="shared" si="61"/>
        <v>0</v>
      </c>
      <c r="N236" s="29">
        <f t="shared" si="62"/>
        <v>289676.93960402039</v>
      </c>
      <c r="O236" s="29">
        <f t="shared" si="63"/>
        <v>289654.88682822895</v>
      </c>
      <c r="P236" s="29">
        <f t="shared" si="64"/>
        <v>289654.88682822895</v>
      </c>
      <c r="Q236">
        <f t="shared" si="65"/>
        <v>0</v>
      </c>
      <c r="R236" s="29">
        <f t="shared" si="66"/>
        <v>289654.88682822895</v>
      </c>
      <c r="S236" s="29">
        <f t="shared" si="67"/>
        <v>289654.88682822895</v>
      </c>
      <c r="T236" s="29">
        <f t="shared" si="68"/>
        <v>289654.88682822895</v>
      </c>
      <c r="U236">
        <f t="shared" si="69"/>
        <v>0</v>
      </c>
      <c r="V236" s="29">
        <f t="shared" si="70"/>
        <v>289654.88682822895</v>
      </c>
      <c r="W236" s="29">
        <f t="shared" si="71"/>
        <v>289654.88682822895</v>
      </c>
      <c r="X236" s="29">
        <f t="shared" si="72"/>
        <v>289654.88682822895</v>
      </c>
      <c r="Y236">
        <f t="shared" si="73"/>
        <v>0</v>
      </c>
    </row>
    <row r="237" spans="1:25" x14ac:dyDescent="0.25">
      <c r="A237" s="4" t="s">
        <v>1111</v>
      </c>
      <c r="B237" s="7" t="s">
        <v>576</v>
      </c>
      <c r="C237" s="2" t="s">
        <v>1112</v>
      </c>
      <c r="D237">
        <f>VLOOKUP(B237,'Model allocations'!$A$1:$L$317,6,FALSE)</f>
        <v>71733.397671291808</v>
      </c>
      <c r="E237" s="31">
        <f>VLOOKUP(B237,'Initial adjusted formula count'!$A$1:$P$317,12,FALSE)</f>
        <v>0.25937500000000002</v>
      </c>
      <c r="F237">
        <f>VLOOKUP(B237,'Model allocations'!$A$1:$L$317,11,FALSE)</f>
        <v>66780.97435179817</v>
      </c>
      <c r="G237" s="30">
        <f t="shared" si="74"/>
        <v>0.9</v>
      </c>
      <c r="H237">
        <f t="shared" si="75"/>
        <v>64560.057904162626</v>
      </c>
      <c r="I237">
        <f t="shared" si="57"/>
        <v>0</v>
      </c>
      <c r="J237">
        <f t="shared" si="58"/>
        <v>66780.97435179817</v>
      </c>
      <c r="K237">
        <f t="shared" si="59"/>
        <v>66742.023068923154</v>
      </c>
      <c r="L237">
        <f t="shared" si="60"/>
        <v>66742.023068923154</v>
      </c>
      <c r="M237">
        <f t="shared" si="61"/>
        <v>0</v>
      </c>
      <c r="N237" s="29">
        <f t="shared" si="62"/>
        <v>66742.023068923154</v>
      </c>
      <c r="O237" s="29">
        <f t="shared" si="63"/>
        <v>66736.942074652019</v>
      </c>
      <c r="P237" s="29">
        <f t="shared" si="64"/>
        <v>66736.942074652019</v>
      </c>
      <c r="Q237">
        <f t="shared" si="65"/>
        <v>0</v>
      </c>
      <c r="R237" s="29">
        <f t="shared" si="66"/>
        <v>66736.942074652019</v>
      </c>
      <c r="S237" s="29">
        <f t="shared" si="67"/>
        <v>66736.942074652019</v>
      </c>
      <c r="T237" s="29">
        <f t="shared" si="68"/>
        <v>66736.942074652019</v>
      </c>
      <c r="U237">
        <f t="shared" si="69"/>
        <v>0</v>
      </c>
      <c r="V237" s="29">
        <f t="shared" si="70"/>
        <v>66736.942074652019</v>
      </c>
      <c r="W237" s="29">
        <f t="shared" si="71"/>
        <v>66736.942074652019</v>
      </c>
      <c r="X237" s="29">
        <f t="shared" si="72"/>
        <v>66736.942074652019</v>
      </c>
      <c r="Y237">
        <f t="shared" si="73"/>
        <v>0</v>
      </c>
    </row>
    <row r="238" spans="1:25" x14ac:dyDescent="0.25">
      <c r="A238" s="4" t="s">
        <v>1113</v>
      </c>
      <c r="B238" s="7" t="s">
        <v>578</v>
      </c>
      <c r="C238" s="2" t="s">
        <v>1114</v>
      </c>
      <c r="D238">
        <f>VLOOKUP(B238,'Model allocations'!$A$1:$L$317,6,FALSE)</f>
        <v>239855.40531103345</v>
      </c>
      <c r="E238" s="31">
        <f>VLOOKUP(B238,'Initial adjusted formula count'!$A$1:$P$317,12,FALSE)</f>
        <v>0.14779270633397301</v>
      </c>
      <c r="F238">
        <f>VLOOKUP(B238,'Model allocations'!$A$1:$L$317,11,FALSE)</f>
        <v>263600.10039413173</v>
      </c>
      <c r="G238" s="30">
        <f t="shared" si="74"/>
        <v>0.85</v>
      </c>
      <c r="H238">
        <f t="shared" si="75"/>
        <v>203877.09451437843</v>
      </c>
      <c r="I238">
        <f t="shared" si="57"/>
        <v>0</v>
      </c>
      <c r="J238">
        <f t="shared" si="58"/>
        <v>263600.10039413173</v>
      </c>
      <c r="K238">
        <f t="shared" si="59"/>
        <v>263446.35058475868</v>
      </c>
      <c r="L238">
        <f t="shared" si="60"/>
        <v>263446.35058475868</v>
      </c>
      <c r="M238">
        <f t="shared" si="61"/>
        <v>0</v>
      </c>
      <c r="N238" s="29">
        <f t="shared" si="62"/>
        <v>263446.35058475868</v>
      </c>
      <c r="O238" s="29">
        <f t="shared" si="63"/>
        <v>263426.29471386172</v>
      </c>
      <c r="P238" s="29">
        <f t="shared" si="64"/>
        <v>263426.29471386172</v>
      </c>
      <c r="Q238">
        <f t="shared" si="65"/>
        <v>0</v>
      </c>
      <c r="R238" s="29">
        <f t="shared" si="66"/>
        <v>263426.29471386172</v>
      </c>
      <c r="S238" s="29">
        <f t="shared" si="67"/>
        <v>263426.29471386172</v>
      </c>
      <c r="T238" s="29">
        <f t="shared" si="68"/>
        <v>263426.29471386172</v>
      </c>
      <c r="U238">
        <f t="shared" si="69"/>
        <v>0</v>
      </c>
      <c r="V238" s="29">
        <f t="shared" si="70"/>
        <v>263426.29471386172</v>
      </c>
      <c r="W238" s="29">
        <f t="shared" si="71"/>
        <v>263426.29471386172</v>
      </c>
      <c r="X238" s="29">
        <f t="shared" si="72"/>
        <v>263426.29471386172</v>
      </c>
      <c r="Y238">
        <f t="shared" si="73"/>
        <v>0</v>
      </c>
    </row>
    <row r="239" spans="1:25" x14ac:dyDescent="0.25">
      <c r="A239" s="4" t="s">
        <v>1115</v>
      </c>
      <c r="B239" s="7" t="s">
        <v>209</v>
      </c>
      <c r="C239" s="2" t="s">
        <v>1116</v>
      </c>
      <c r="D239">
        <f>VLOOKUP(B239,'Model allocations'!$A$1:$L$317,6,FALSE)</f>
        <v>0</v>
      </c>
      <c r="E239" s="31">
        <f>VLOOKUP(B239,'Initial adjusted formula count'!$A$1:$P$317,12,FALSE)</f>
        <v>0.18181818181818199</v>
      </c>
      <c r="F239">
        <f>VLOOKUP(B239,'Model allocations'!$A$1:$L$317,11,FALSE)</f>
        <v>0</v>
      </c>
      <c r="G239" s="30">
        <f t="shared" si="74"/>
        <v>0.9</v>
      </c>
      <c r="H239">
        <f t="shared" si="75"/>
        <v>0</v>
      </c>
      <c r="I239">
        <f t="shared" si="57"/>
        <v>0</v>
      </c>
      <c r="J239">
        <f t="shared" si="58"/>
        <v>0</v>
      </c>
      <c r="K239">
        <f t="shared" si="59"/>
        <v>0</v>
      </c>
      <c r="L239">
        <f t="shared" si="60"/>
        <v>0</v>
      </c>
      <c r="M239">
        <f t="shared" si="61"/>
        <v>0</v>
      </c>
      <c r="N239" s="29">
        <f t="shared" si="62"/>
        <v>0</v>
      </c>
      <c r="O239" s="29">
        <f t="shared" si="63"/>
        <v>0</v>
      </c>
      <c r="P239" s="29">
        <f t="shared" si="64"/>
        <v>0</v>
      </c>
      <c r="Q239">
        <f t="shared" si="65"/>
        <v>0</v>
      </c>
      <c r="R239" s="29">
        <f t="shared" si="66"/>
        <v>0</v>
      </c>
      <c r="S239" s="29">
        <f t="shared" si="67"/>
        <v>0</v>
      </c>
      <c r="T239" s="29">
        <f t="shared" si="68"/>
        <v>0</v>
      </c>
      <c r="U239">
        <f t="shared" si="69"/>
        <v>0</v>
      </c>
      <c r="V239" s="29">
        <f t="shared" si="70"/>
        <v>0</v>
      </c>
      <c r="W239" s="29">
        <f t="shared" si="71"/>
        <v>0</v>
      </c>
      <c r="X239" s="29">
        <f t="shared" si="72"/>
        <v>0</v>
      </c>
      <c r="Y239">
        <f t="shared" si="73"/>
        <v>0</v>
      </c>
    </row>
    <row r="240" spans="1:25" x14ac:dyDescent="0.25">
      <c r="A240" s="4" t="s">
        <v>1117</v>
      </c>
      <c r="B240" s="7" t="s">
        <v>580</v>
      </c>
      <c r="C240" s="2" t="s">
        <v>1118</v>
      </c>
      <c r="D240">
        <f>VLOOKUP(B240,'Model allocations'!$A$1:$L$317,6,FALSE)</f>
        <v>477210.91253994376</v>
      </c>
      <c r="E240" s="31">
        <f>VLOOKUP(B240,'Initial adjusted formula count'!$A$1:$P$317,12,FALSE)</f>
        <v>0.17999042604116799</v>
      </c>
      <c r="F240">
        <f>VLOOKUP(B240,'Model allocations'!$A$1:$L$317,11,FALSE)</f>
        <v>472312.44074963755</v>
      </c>
      <c r="G240" s="30">
        <f t="shared" si="74"/>
        <v>0.9</v>
      </c>
      <c r="H240">
        <f t="shared" si="75"/>
        <v>429489.82128594938</v>
      </c>
      <c r="I240">
        <f t="shared" si="57"/>
        <v>0</v>
      </c>
      <c r="J240">
        <f t="shared" si="58"/>
        <v>472312.44074963755</v>
      </c>
      <c r="K240">
        <f t="shared" si="59"/>
        <v>472036.95546863344</v>
      </c>
      <c r="L240">
        <f t="shared" si="60"/>
        <v>472036.95546863344</v>
      </c>
      <c r="M240">
        <f t="shared" si="61"/>
        <v>0</v>
      </c>
      <c r="N240" s="29">
        <f t="shared" si="62"/>
        <v>472036.95546863344</v>
      </c>
      <c r="O240" s="29">
        <f t="shared" si="63"/>
        <v>472001.01983233989</v>
      </c>
      <c r="P240" s="29">
        <f t="shared" si="64"/>
        <v>472001.01983233989</v>
      </c>
      <c r="Q240">
        <f t="shared" si="65"/>
        <v>0</v>
      </c>
      <c r="R240" s="29">
        <f t="shared" si="66"/>
        <v>472001.01983233989</v>
      </c>
      <c r="S240" s="29">
        <f t="shared" si="67"/>
        <v>472001.01983233989</v>
      </c>
      <c r="T240" s="29">
        <f t="shared" si="68"/>
        <v>472001.01983233989</v>
      </c>
      <c r="U240">
        <f t="shared" si="69"/>
        <v>0</v>
      </c>
      <c r="V240" s="29">
        <f t="shared" si="70"/>
        <v>472001.01983233989</v>
      </c>
      <c r="W240" s="29">
        <f t="shared" si="71"/>
        <v>472001.01983233989</v>
      </c>
      <c r="X240" s="29">
        <f t="shared" si="72"/>
        <v>472001.01983233989</v>
      </c>
      <c r="Y240">
        <f t="shared" si="73"/>
        <v>0</v>
      </c>
    </row>
    <row r="241" spans="1:25" x14ac:dyDescent="0.25">
      <c r="A241" s="4" t="s">
        <v>1119</v>
      </c>
      <c r="B241" s="7" t="s">
        <v>211</v>
      </c>
      <c r="C241" s="2" t="s">
        <v>1120</v>
      </c>
      <c r="D241">
        <f>VLOOKUP(B241,'Model allocations'!$A$1:$L$317,6,FALSE)</f>
        <v>400239.38829859684</v>
      </c>
      <c r="E241" s="31">
        <f>VLOOKUP(B241,'Initial adjusted formula count'!$A$1:$P$317,12,FALSE)</f>
        <v>6.5618064267104106E-2</v>
      </c>
      <c r="F241">
        <f>VLOOKUP(B241,'Model allocations'!$A$1:$L$317,11,FALSE)</f>
        <v>387982.83174893854</v>
      </c>
      <c r="G241" s="30">
        <f t="shared" si="74"/>
        <v>0.85</v>
      </c>
      <c r="H241">
        <f t="shared" si="75"/>
        <v>340203.48005380732</v>
      </c>
      <c r="I241">
        <f t="shared" si="57"/>
        <v>0</v>
      </c>
      <c r="J241">
        <f t="shared" si="58"/>
        <v>387982.83174893854</v>
      </c>
      <c r="K241">
        <f t="shared" si="59"/>
        <v>387756.53332821629</v>
      </c>
      <c r="L241">
        <f t="shared" si="60"/>
        <v>387756.53332821629</v>
      </c>
      <c r="M241">
        <f t="shared" si="61"/>
        <v>0</v>
      </c>
      <c r="N241" s="29">
        <f t="shared" si="62"/>
        <v>387756.53332821629</v>
      </c>
      <c r="O241" s="29">
        <f t="shared" si="63"/>
        <v>387727.01386455848</v>
      </c>
      <c r="P241" s="29">
        <f t="shared" si="64"/>
        <v>387727.01386455848</v>
      </c>
      <c r="Q241">
        <f t="shared" si="65"/>
        <v>0</v>
      </c>
      <c r="R241" s="29">
        <f t="shared" si="66"/>
        <v>387727.01386455848</v>
      </c>
      <c r="S241" s="29">
        <f t="shared" si="67"/>
        <v>387727.01386455848</v>
      </c>
      <c r="T241" s="29">
        <f t="shared" si="68"/>
        <v>387727.01386455848</v>
      </c>
      <c r="U241">
        <f t="shared" si="69"/>
        <v>0</v>
      </c>
      <c r="V241" s="29">
        <f t="shared" si="70"/>
        <v>387727.01386455848</v>
      </c>
      <c r="W241" s="29">
        <f t="shared" si="71"/>
        <v>387727.01386455848</v>
      </c>
      <c r="X241" s="29">
        <f t="shared" si="72"/>
        <v>387727.01386455848</v>
      </c>
      <c r="Y241">
        <f t="shared" si="73"/>
        <v>0</v>
      </c>
    </row>
    <row r="242" spans="1:25" x14ac:dyDescent="0.25">
      <c r="A242" s="4" t="s">
        <v>1121</v>
      </c>
      <c r="B242" s="7" t="s">
        <v>302</v>
      </c>
      <c r="C242" s="2" t="s">
        <v>1122</v>
      </c>
      <c r="D242">
        <f>VLOOKUP(B242,'Model allocations'!$A$1:$L$317,6,FALSE)</f>
        <v>7354.0572383099861</v>
      </c>
      <c r="E242" s="31">
        <f>VLOOKUP(B242,'Initial adjusted formula count'!$A$1:$P$317,12,FALSE)</f>
        <v>0.126984126984127</v>
      </c>
      <c r="F242">
        <f>VLOOKUP(B242,'Model allocations'!$A$1:$L$317,11,FALSE)</f>
        <v>9129.0078058573763</v>
      </c>
      <c r="G242" s="30">
        <f t="shared" si="74"/>
        <v>0.85</v>
      </c>
      <c r="H242">
        <f t="shared" si="75"/>
        <v>6250.9486525634884</v>
      </c>
      <c r="I242">
        <f t="shared" si="57"/>
        <v>0</v>
      </c>
      <c r="J242">
        <f t="shared" si="58"/>
        <v>9129.0078058573763</v>
      </c>
      <c r="K242">
        <f t="shared" si="59"/>
        <v>9123.6831371344997</v>
      </c>
      <c r="L242">
        <f t="shared" si="60"/>
        <v>9123.6831371344997</v>
      </c>
      <c r="M242">
        <f t="shared" si="61"/>
        <v>0</v>
      </c>
      <c r="N242" s="29">
        <f t="shared" si="62"/>
        <v>9123.6831371344997</v>
      </c>
      <c r="O242" s="29">
        <f t="shared" si="63"/>
        <v>9122.9885615190215</v>
      </c>
      <c r="P242" s="29">
        <f t="shared" si="64"/>
        <v>9122.9885615190215</v>
      </c>
      <c r="Q242">
        <f t="shared" si="65"/>
        <v>0</v>
      </c>
      <c r="R242" s="29">
        <f t="shared" si="66"/>
        <v>9122.9885615190215</v>
      </c>
      <c r="S242" s="29">
        <f t="shared" si="67"/>
        <v>9122.9885615190215</v>
      </c>
      <c r="T242" s="29">
        <f t="shared" si="68"/>
        <v>9122.9885615190215</v>
      </c>
      <c r="U242">
        <f t="shared" si="69"/>
        <v>0</v>
      </c>
      <c r="V242" s="29">
        <f t="shared" si="70"/>
        <v>9122.9885615190215</v>
      </c>
      <c r="W242" s="29">
        <f t="shared" si="71"/>
        <v>9122.9885615190215</v>
      </c>
      <c r="X242" s="29">
        <f t="shared" si="72"/>
        <v>9122.9885615190215</v>
      </c>
      <c r="Y242">
        <f t="shared" si="73"/>
        <v>0</v>
      </c>
    </row>
    <row r="243" spans="1:25" x14ac:dyDescent="0.25">
      <c r="A243" s="4" t="s">
        <v>1123</v>
      </c>
      <c r="B243" s="7" t="s">
        <v>213</v>
      </c>
      <c r="C243" s="2" t="s">
        <v>1124</v>
      </c>
      <c r="D243">
        <f>VLOOKUP(B243,'Model allocations'!$A$1:$L$317,6,FALSE)</f>
        <v>0</v>
      </c>
      <c r="E243" s="31">
        <f>VLOOKUP(B243,'Initial adjusted formula count'!$A$1:$P$317,12,FALSE)</f>
        <v>7.3529411764705899E-2</v>
      </c>
      <c r="F243">
        <f>VLOOKUP(B243,'Model allocations'!$A$1:$L$317,11,FALSE)</f>
        <v>0</v>
      </c>
      <c r="G243" s="30">
        <f t="shared" si="74"/>
        <v>0.85</v>
      </c>
      <c r="H243">
        <f t="shared" si="7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0"/>
        <v>0</v>
      </c>
      <c r="M243">
        <f t="shared" si="61"/>
        <v>0</v>
      </c>
      <c r="N243" s="29">
        <f t="shared" si="62"/>
        <v>0</v>
      </c>
      <c r="O243" s="29">
        <f t="shared" si="63"/>
        <v>0</v>
      </c>
      <c r="P243" s="29">
        <f t="shared" si="64"/>
        <v>0</v>
      </c>
      <c r="Q243">
        <f t="shared" si="65"/>
        <v>0</v>
      </c>
      <c r="R243" s="29">
        <f t="shared" si="66"/>
        <v>0</v>
      </c>
      <c r="S243" s="29">
        <f t="shared" si="67"/>
        <v>0</v>
      </c>
      <c r="T243" s="29">
        <f t="shared" si="68"/>
        <v>0</v>
      </c>
      <c r="U243">
        <f t="shared" si="69"/>
        <v>0</v>
      </c>
      <c r="V243" s="29">
        <f t="shared" si="70"/>
        <v>0</v>
      </c>
      <c r="W243" s="29">
        <f t="shared" si="71"/>
        <v>0</v>
      </c>
      <c r="X243" s="29">
        <f t="shared" si="72"/>
        <v>0</v>
      </c>
      <c r="Y243">
        <f t="shared" si="73"/>
        <v>0</v>
      </c>
    </row>
    <row r="244" spans="1:25" x14ac:dyDescent="0.25">
      <c r="A244" s="4" t="s">
        <v>1125</v>
      </c>
      <c r="B244" s="7" t="s">
        <v>215</v>
      </c>
      <c r="C244" s="2" t="s">
        <v>1126</v>
      </c>
      <c r="D244">
        <f>VLOOKUP(B244,'Model allocations'!$A$1:$L$317,6,FALSE)</f>
        <v>313961.67440477258</v>
      </c>
      <c r="E244" s="31">
        <f>VLOOKUP(B244,'Initial adjusted formula count'!$A$1:$P$317,12,FALSE)</f>
        <v>5.2729126123621503E-2</v>
      </c>
      <c r="F244">
        <f>VLOOKUP(B244,'Model allocations'!$A$1:$L$317,11,FALSE)</f>
        <v>324650.34009580291</v>
      </c>
      <c r="G244" s="30">
        <f t="shared" si="74"/>
        <v>0.85</v>
      </c>
      <c r="H244">
        <f t="shared" si="75"/>
        <v>266867.4232440567</v>
      </c>
      <c r="I244">
        <f t="shared" si="57"/>
        <v>0</v>
      </c>
      <c r="J244">
        <f t="shared" si="58"/>
        <v>324650.34009580291</v>
      </c>
      <c r="K244">
        <f t="shared" si="59"/>
        <v>324460.98156434565</v>
      </c>
      <c r="L244">
        <f t="shared" si="60"/>
        <v>324460.98156434565</v>
      </c>
      <c r="M244">
        <f t="shared" si="61"/>
        <v>0</v>
      </c>
      <c r="N244" s="29">
        <f t="shared" si="62"/>
        <v>324460.98156434565</v>
      </c>
      <c r="O244" s="29">
        <f t="shared" si="63"/>
        <v>324436.28071902017</v>
      </c>
      <c r="P244" s="29">
        <f t="shared" si="64"/>
        <v>324436.28071902017</v>
      </c>
      <c r="Q244">
        <f t="shared" si="65"/>
        <v>0</v>
      </c>
      <c r="R244" s="29">
        <f t="shared" si="66"/>
        <v>324436.28071902017</v>
      </c>
      <c r="S244" s="29">
        <f t="shared" si="67"/>
        <v>324436.28071902017</v>
      </c>
      <c r="T244" s="29">
        <f t="shared" si="68"/>
        <v>324436.28071902017</v>
      </c>
      <c r="U244">
        <f t="shared" si="69"/>
        <v>0</v>
      </c>
      <c r="V244" s="29">
        <f t="shared" si="70"/>
        <v>324436.28071902017</v>
      </c>
      <c r="W244" s="29">
        <f t="shared" si="71"/>
        <v>324436.28071902017</v>
      </c>
      <c r="X244" s="29">
        <f t="shared" si="72"/>
        <v>324436.28071902017</v>
      </c>
      <c r="Y244">
        <f t="shared" si="73"/>
        <v>0</v>
      </c>
    </row>
    <row r="245" spans="1:25" x14ac:dyDescent="0.25">
      <c r="A245" s="8" t="s">
        <v>1127</v>
      </c>
      <c r="B245" s="7" t="s">
        <v>217</v>
      </c>
      <c r="C245" s="2" t="s">
        <v>1128</v>
      </c>
      <c r="D245">
        <f>VLOOKUP(B245,'Model allocations'!$A$1:$L$317,6,FALSE)</f>
        <v>0</v>
      </c>
      <c r="E245" s="31">
        <f>VLOOKUP(B245,'Initial adjusted formula count'!$A$1:$P$317,12,FALSE)</f>
        <v>3.2316209604738001E-2</v>
      </c>
      <c r="F245">
        <f>VLOOKUP(B245,'Model allocations'!$A$1:$L$317,11,FALSE)</f>
        <v>0</v>
      </c>
      <c r="G245" s="30">
        <f t="shared" si="74"/>
        <v>0.85</v>
      </c>
      <c r="H245">
        <f t="shared" si="7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0"/>
        <v>0</v>
      </c>
      <c r="M245">
        <f t="shared" si="61"/>
        <v>0</v>
      </c>
      <c r="N245" s="29">
        <f t="shared" si="62"/>
        <v>0</v>
      </c>
      <c r="O245" s="29">
        <f t="shared" si="63"/>
        <v>0</v>
      </c>
      <c r="P245" s="29">
        <f t="shared" si="64"/>
        <v>0</v>
      </c>
      <c r="Q245">
        <f t="shared" si="65"/>
        <v>0</v>
      </c>
      <c r="R245" s="29">
        <f t="shared" si="66"/>
        <v>0</v>
      </c>
      <c r="S245" s="29">
        <f t="shared" si="67"/>
        <v>0</v>
      </c>
      <c r="T245" s="29">
        <f t="shared" si="68"/>
        <v>0</v>
      </c>
      <c r="U245">
        <f t="shared" si="69"/>
        <v>0</v>
      </c>
      <c r="V245" s="29">
        <f t="shared" si="70"/>
        <v>0</v>
      </c>
      <c r="W245" s="29">
        <f t="shared" si="71"/>
        <v>0</v>
      </c>
      <c r="X245" s="29">
        <f t="shared" si="72"/>
        <v>0</v>
      </c>
      <c r="Y245">
        <f t="shared" si="73"/>
        <v>0</v>
      </c>
    </row>
    <row r="246" spans="1:25" x14ac:dyDescent="0.25">
      <c r="A246" s="4" t="s">
        <v>1129</v>
      </c>
      <c r="B246" s="7" t="s">
        <v>582</v>
      </c>
      <c r="C246" s="2" t="s">
        <v>1130</v>
      </c>
      <c r="D246">
        <f>VLOOKUP(B246,'Model allocations'!$A$1:$L$317,6,FALSE)</f>
        <v>123237.55168221358</v>
      </c>
      <c r="E246" s="31">
        <f>VLOOKUP(B246,'Initial adjusted formula count'!$A$1:$P$317,12,FALSE)</f>
        <v>0.334426229508197</v>
      </c>
      <c r="F246">
        <f>VLOOKUP(B246,'Model allocations'!$A$1:$L$317,11,FALSE)</f>
        <v>201172.6642804989</v>
      </c>
      <c r="G246" s="30">
        <f t="shared" si="74"/>
        <v>0.95</v>
      </c>
      <c r="H246">
        <f t="shared" si="75"/>
        <v>117075.6740981029</v>
      </c>
      <c r="I246">
        <f t="shared" si="57"/>
        <v>0</v>
      </c>
      <c r="J246">
        <f t="shared" si="58"/>
        <v>201172.6642804989</v>
      </c>
      <c r="K246">
        <f t="shared" si="59"/>
        <v>201055.3264694057</v>
      </c>
      <c r="L246">
        <f t="shared" si="60"/>
        <v>201055.3264694057</v>
      </c>
      <c r="M246">
        <f t="shared" si="61"/>
        <v>0</v>
      </c>
      <c r="N246" s="29">
        <f t="shared" si="62"/>
        <v>201055.3264694057</v>
      </c>
      <c r="O246" s="29">
        <f t="shared" si="63"/>
        <v>201040.02035618052</v>
      </c>
      <c r="P246" s="29">
        <f t="shared" si="64"/>
        <v>201040.02035618052</v>
      </c>
      <c r="Q246">
        <f t="shared" si="65"/>
        <v>0</v>
      </c>
      <c r="R246" s="29">
        <f t="shared" si="66"/>
        <v>201040.02035618052</v>
      </c>
      <c r="S246" s="29">
        <f t="shared" si="67"/>
        <v>201040.02035618052</v>
      </c>
      <c r="T246" s="29">
        <f t="shared" si="68"/>
        <v>201040.02035618052</v>
      </c>
      <c r="U246">
        <f t="shared" si="69"/>
        <v>0</v>
      </c>
      <c r="V246" s="29">
        <f t="shared" si="70"/>
        <v>201040.02035618052</v>
      </c>
      <c r="W246" s="29">
        <f t="shared" si="71"/>
        <v>201040.02035618052</v>
      </c>
      <c r="X246" s="29">
        <f t="shared" si="72"/>
        <v>201040.02035618052</v>
      </c>
      <c r="Y246">
        <f t="shared" si="73"/>
        <v>0</v>
      </c>
    </row>
    <row r="247" spans="1:25" x14ac:dyDescent="0.25">
      <c r="A247" s="4" t="s">
        <v>1131</v>
      </c>
      <c r="B247" s="7" t="s">
        <v>584</v>
      </c>
      <c r="C247" s="2" t="s">
        <v>1132</v>
      </c>
      <c r="D247">
        <f>VLOOKUP(B247,'Model allocations'!$A$1:$L$317,6,FALSE)</f>
        <v>68705.449457924275</v>
      </c>
      <c r="E247" s="31">
        <f>VLOOKUP(B247,'Initial adjusted formula count'!$A$1:$P$317,12,FALSE)</f>
        <v>0.17066666666666699</v>
      </c>
      <c r="F247">
        <f>VLOOKUP(B247,'Model allocations'!$A$1:$L$317,11,FALSE)</f>
        <v>61834.904512131849</v>
      </c>
      <c r="G247" s="30">
        <f t="shared" si="74"/>
        <v>0.9</v>
      </c>
      <c r="H247">
        <f t="shared" si="75"/>
        <v>61834.904512131849</v>
      </c>
      <c r="I247">
        <f t="shared" si="57"/>
        <v>0</v>
      </c>
      <c r="J247">
        <f t="shared" si="58"/>
        <v>61834.904512131849</v>
      </c>
      <c r="K247">
        <f t="shared" si="59"/>
        <v>61798.838119262022</v>
      </c>
      <c r="L247">
        <f t="shared" si="60"/>
        <v>61798.838119262022</v>
      </c>
      <c r="M247">
        <f t="shared" si="61"/>
        <v>61834.904512131849</v>
      </c>
      <c r="N247" s="29">
        <f t="shared" si="62"/>
        <v>0</v>
      </c>
      <c r="O247" s="29">
        <f t="shared" si="63"/>
        <v>0</v>
      </c>
      <c r="P247" s="29">
        <f t="shared" si="64"/>
        <v>61834.904512131849</v>
      </c>
      <c r="Q247">
        <f t="shared" si="65"/>
        <v>0</v>
      </c>
      <c r="R247" s="29">
        <f t="shared" si="66"/>
        <v>0</v>
      </c>
      <c r="S247" s="29">
        <f t="shared" si="67"/>
        <v>0</v>
      </c>
      <c r="T247" s="29">
        <f t="shared" si="68"/>
        <v>61834.904512131849</v>
      </c>
      <c r="U247">
        <f t="shared" si="69"/>
        <v>0</v>
      </c>
      <c r="V247" s="29">
        <f t="shared" si="70"/>
        <v>0</v>
      </c>
      <c r="W247" s="29">
        <f t="shared" si="71"/>
        <v>0</v>
      </c>
      <c r="X247" s="29">
        <f t="shared" si="72"/>
        <v>61834.904512131849</v>
      </c>
      <c r="Y247">
        <f t="shared" si="73"/>
        <v>0</v>
      </c>
    </row>
    <row r="248" spans="1:25" x14ac:dyDescent="0.25">
      <c r="A248" s="4" t="s">
        <v>1133</v>
      </c>
      <c r="B248" s="7" t="s">
        <v>219</v>
      </c>
      <c r="C248" s="2" t="s">
        <v>1134</v>
      </c>
      <c r="D248">
        <f>VLOOKUP(B248,'Model allocations'!$A$1:$L$317,6,FALSE)</f>
        <v>781227.15739277622</v>
      </c>
      <c r="E248" s="31">
        <f>VLOOKUP(B248,'Initial adjusted formula count'!$A$1:$P$317,12,FALSE)</f>
        <v>8.5412914844352997E-2</v>
      </c>
      <c r="F248">
        <f>VLOOKUP(B248,'Model allocations'!$A$1:$L$317,11,FALSE)</f>
        <v>664043.08378385974</v>
      </c>
      <c r="G248" s="30">
        <f t="shared" si="74"/>
        <v>0.85</v>
      </c>
      <c r="H248">
        <f t="shared" si="75"/>
        <v>664043.08378385974</v>
      </c>
      <c r="I248">
        <f t="shared" si="57"/>
        <v>0</v>
      </c>
      <c r="J248">
        <f t="shared" si="58"/>
        <v>664043.08378385974</v>
      </c>
      <c r="K248">
        <f t="shared" si="59"/>
        <v>663655.76793157205</v>
      </c>
      <c r="L248">
        <f t="shared" si="60"/>
        <v>663655.76793157205</v>
      </c>
      <c r="M248">
        <f t="shared" si="61"/>
        <v>664043.08378385974</v>
      </c>
      <c r="N248" s="29">
        <f t="shared" si="62"/>
        <v>0</v>
      </c>
      <c r="O248" s="29">
        <f t="shared" si="63"/>
        <v>0</v>
      </c>
      <c r="P248" s="29">
        <f t="shared" si="64"/>
        <v>664043.08378385974</v>
      </c>
      <c r="Q248">
        <f t="shared" si="65"/>
        <v>0</v>
      </c>
      <c r="R248" s="29">
        <f t="shared" si="66"/>
        <v>0</v>
      </c>
      <c r="S248" s="29">
        <f t="shared" si="67"/>
        <v>0</v>
      </c>
      <c r="T248" s="29">
        <f t="shared" si="68"/>
        <v>664043.08378385974</v>
      </c>
      <c r="U248">
        <f t="shared" si="69"/>
        <v>0</v>
      </c>
      <c r="V248" s="29">
        <f t="shared" si="70"/>
        <v>0</v>
      </c>
      <c r="W248" s="29">
        <f t="shared" si="71"/>
        <v>0</v>
      </c>
      <c r="X248" s="29">
        <f t="shared" si="72"/>
        <v>664043.08378385974</v>
      </c>
      <c r="Y248">
        <f t="shared" si="73"/>
        <v>0</v>
      </c>
    </row>
    <row r="249" spans="1:25" x14ac:dyDescent="0.25">
      <c r="A249" s="4" t="s">
        <v>1135</v>
      </c>
      <c r="B249" s="7" t="s">
        <v>221</v>
      </c>
      <c r="C249" s="2" t="s">
        <v>1136</v>
      </c>
      <c r="D249">
        <f>VLOOKUP(B249,'Model allocations'!$A$1:$L$317,6,FALSE)</f>
        <v>82395.457740596685</v>
      </c>
      <c r="E249" s="31">
        <f>VLOOKUP(B249,'Initial adjusted formula count'!$A$1:$P$317,12,FALSE)</f>
        <v>8.49598163030999E-2</v>
      </c>
      <c r="F249">
        <f>VLOOKUP(B249,'Model allocations'!$A$1:$L$317,11,FALSE)</f>
        <v>84443.322204180731</v>
      </c>
      <c r="G249" s="30">
        <f t="shared" si="74"/>
        <v>0.85</v>
      </c>
      <c r="H249">
        <f t="shared" si="75"/>
        <v>70036.139079507178</v>
      </c>
      <c r="I249">
        <f t="shared" si="57"/>
        <v>0</v>
      </c>
      <c r="J249">
        <f t="shared" si="58"/>
        <v>84443.322204180731</v>
      </c>
      <c r="K249">
        <f t="shared" si="59"/>
        <v>84394.06901849412</v>
      </c>
      <c r="L249">
        <f t="shared" si="60"/>
        <v>84394.06901849412</v>
      </c>
      <c r="M249">
        <f t="shared" si="61"/>
        <v>0</v>
      </c>
      <c r="N249" s="29">
        <f t="shared" si="62"/>
        <v>84394.06901849412</v>
      </c>
      <c r="O249" s="29">
        <f t="shared" si="63"/>
        <v>84387.644194050939</v>
      </c>
      <c r="P249" s="29">
        <f t="shared" si="64"/>
        <v>84387.644194050939</v>
      </c>
      <c r="Q249">
        <f t="shared" si="65"/>
        <v>0</v>
      </c>
      <c r="R249" s="29">
        <f t="shared" si="66"/>
        <v>84387.644194050939</v>
      </c>
      <c r="S249" s="29">
        <f t="shared" si="67"/>
        <v>84387.644194050939</v>
      </c>
      <c r="T249" s="29">
        <f t="shared" si="68"/>
        <v>84387.644194050939</v>
      </c>
      <c r="U249">
        <f t="shared" si="69"/>
        <v>0</v>
      </c>
      <c r="V249" s="29">
        <f t="shared" si="70"/>
        <v>84387.644194050939</v>
      </c>
      <c r="W249" s="29">
        <f t="shared" si="71"/>
        <v>84387.644194050939</v>
      </c>
      <c r="X249" s="29">
        <f t="shared" si="72"/>
        <v>84387.644194050939</v>
      </c>
      <c r="Y249">
        <f t="shared" si="73"/>
        <v>0</v>
      </c>
    </row>
    <row r="250" spans="1:25" x14ac:dyDescent="0.25">
      <c r="A250" s="4" t="s">
        <v>1137</v>
      </c>
      <c r="B250" s="7" t="s">
        <v>586</v>
      </c>
      <c r="C250" s="2" t="s">
        <v>1138</v>
      </c>
      <c r="D250">
        <f>VLOOKUP(B250,'Model allocations'!$A$1:$L$317,6,FALSE)</f>
        <v>36130.370072474849</v>
      </c>
      <c r="E250" s="31">
        <f>VLOOKUP(B250,'Initial adjusted formula count'!$A$1:$P$317,12,FALSE)</f>
        <v>0.19327731092437</v>
      </c>
      <c r="F250">
        <f>VLOOKUP(B250,'Model allocations'!$A$1:$L$317,11,FALSE)</f>
        <v>45094.18899265158</v>
      </c>
      <c r="G250" s="30">
        <f t="shared" si="74"/>
        <v>0.9</v>
      </c>
      <c r="H250">
        <f t="shared" si="75"/>
        <v>32517.333065227365</v>
      </c>
      <c r="I250">
        <f t="shared" si="57"/>
        <v>0</v>
      </c>
      <c r="J250">
        <f t="shared" si="58"/>
        <v>45094.18899265158</v>
      </c>
      <c r="K250">
        <f t="shared" si="59"/>
        <v>45067.886942875855</v>
      </c>
      <c r="L250">
        <f t="shared" si="60"/>
        <v>45067.886942875855</v>
      </c>
      <c r="M250">
        <f t="shared" si="61"/>
        <v>0</v>
      </c>
      <c r="N250" s="29">
        <f t="shared" si="62"/>
        <v>45067.886942875855</v>
      </c>
      <c r="O250" s="29">
        <f t="shared" si="63"/>
        <v>45064.455975925208</v>
      </c>
      <c r="P250" s="29">
        <f t="shared" si="64"/>
        <v>45064.455975925208</v>
      </c>
      <c r="Q250">
        <f t="shared" si="65"/>
        <v>0</v>
      </c>
      <c r="R250" s="29">
        <f t="shared" si="66"/>
        <v>45064.455975925208</v>
      </c>
      <c r="S250" s="29">
        <f t="shared" si="67"/>
        <v>45064.455975925208</v>
      </c>
      <c r="T250" s="29">
        <f t="shared" si="68"/>
        <v>45064.455975925208</v>
      </c>
      <c r="U250">
        <f t="shared" si="69"/>
        <v>0</v>
      </c>
      <c r="V250" s="29">
        <f t="shared" si="70"/>
        <v>45064.455975925208</v>
      </c>
      <c r="W250" s="29">
        <f t="shared" si="71"/>
        <v>45064.455975925208</v>
      </c>
      <c r="X250" s="29">
        <f t="shared" si="72"/>
        <v>45064.455975925208</v>
      </c>
      <c r="Y250">
        <f t="shared" si="73"/>
        <v>0</v>
      </c>
    </row>
    <row r="251" spans="1:25" x14ac:dyDescent="0.25">
      <c r="A251" s="4" t="s">
        <v>32</v>
      </c>
      <c r="B251" s="7" t="s">
        <v>61</v>
      </c>
      <c r="C251" s="2" t="s">
        <v>1139</v>
      </c>
      <c r="D251">
        <f>VLOOKUP(B251,'Model allocations'!$A$1:$L$317,6,FALSE)</f>
        <v>5990594.5782846157</v>
      </c>
      <c r="E251" s="31">
        <f>VLOOKUP(B251,'Initial adjusted formula count'!$A$1:$P$317,12,FALSE)</f>
        <v>0.141781222818606</v>
      </c>
      <c r="F251">
        <f>VLOOKUP(B251,'Model allocations'!$A$1:$L$317,11,FALSE)</f>
        <v>5116259.0609074021</v>
      </c>
      <c r="G251" s="30">
        <f t="shared" si="74"/>
        <v>0.85</v>
      </c>
      <c r="H251">
        <f t="shared" si="75"/>
        <v>5092005.3915419234</v>
      </c>
      <c r="I251">
        <f t="shared" si="57"/>
        <v>0</v>
      </c>
      <c r="J251">
        <f t="shared" si="58"/>
        <v>5116259.0609074021</v>
      </c>
      <c r="K251">
        <f t="shared" si="59"/>
        <v>5113274.9047779413</v>
      </c>
      <c r="L251">
        <f t="shared" si="60"/>
        <v>5113274.9047779413</v>
      </c>
      <c r="M251">
        <f t="shared" si="61"/>
        <v>0</v>
      </c>
      <c r="N251" s="29">
        <f t="shared" si="62"/>
        <v>5113274.9047779413</v>
      </c>
      <c r="O251" s="29">
        <f t="shared" si="63"/>
        <v>5112885.6369777871</v>
      </c>
      <c r="P251" s="29">
        <f t="shared" si="64"/>
        <v>5112885.6369777871</v>
      </c>
      <c r="Q251">
        <f t="shared" si="65"/>
        <v>0</v>
      </c>
      <c r="R251" s="29">
        <f t="shared" si="66"/>
        <v>5112885.6369777871</v>
      </c>
      <c r="S251" s="29">
        <f t="shared" si="67"/>
        <v>5112885.6369777871</v>
      </c>
      <c r="T251" s="29">
        <f t="shared" si="68"/>
        <v>5112885.6369777871</v>
      </c>
      <c r="U251">
        <f t="shared" si="69"/>
        <v>0</v>
      </c>
      <c r="V251" s="29">
        <f t="shared" si="70"/>
        <v>5112885.6369777871</v>
      </c>
      <c r="W251" s="29">
        <f t="shared" si="71"/>
        <v>5112885.6369777871</v>
      </c>
      <c r="X251" s="29">
        <f t="shared" si="72"/>
        <v>5112885.6369777871</v>
      </c>
      <c r="Y251">
        <f t="shared" si="73"/>
        <v>0</v>
      </c>
    </row>
    <row r="252" spans="1:25" x14ac:dyDescent="0.25">
      <c r="A252" s="4" t="s">
        <v>35</v>
      </c>
      <c r="B252" s="7" t="s">
        <v>78</v>
      </c>
      <c r="C252" s="2" t="s">
        <v>1140</v>
      </c>
      <c r="D252">
        <f>VLOOKUP(B252,'Model allocations'!$A$1:$L$317,6,FALSE)</f>
        <v>115148.62631104719</v>
      </c>
      <c r="E252" s="31">
        <f>VLOOKUP(B252,'Initial adjusted formula count'!$A$1:$P$317,12,FALSE)</f>
        <v>9.8326062486436605E-2</v>
      </c>
      <c r="F252">
        <f>VLOOKUP(B252,'Model allocations'!$A$1:$L$317,11,FALSE)</f>
        <v>100781.26825442606</v>
      </c>
      <c r="G252" s="30">
        <f t="shared" si="74"/>
        <v>0.85</v>
      </c>
      <c r="H252">
        <f t="shared" si="75"/>
        <v>97876.332364390109</v>
      </c>
      <c r="I252">
        <f t="shared" si="57"/>
        <v>0</v>
      </c>
      <c r="J252">
        <f t="shared" si="58"/>
        <v>100781.26825442606</v>
      </c>
      <c r="K252">
        <f t="shared" si="59"/>
        <v>100722.48564865571</v>
      </c>
      <c r="L252">
        <f t="shared" si="60"/>
        <v>100722.48564865571</v>
      </c>
      <c r="M252">
        <f t="shared" si="61"/>
        <v>0</v>
      </c>
      <c r="N252" s="29">
        <f t="shared" si="62"/>
        <v>100722.48564865571</v>
      </c>
      <c r="O252" s="29">
        <f t="shared" si="63"/>
        <v>100714.81776043444</v>
      </c>
      <c r="P252" s="29">
        <f t="shared" si="64"/>
        <v>100714.81776043444</v>
      </c>
      <c r="Q252">
        <f t="shared" si="65"/>
        <v>0</v>
      </c>
      <c r="R252" s="29">
        <f t="shared" si="66"/>
        <v>100714.81776043444</v>
      </c>
      <c r="S252" s="29">
        <f t="shared" si="67"/>
        <v>100714.81776043444</v>
      </c>
      <c r="T252" s="29">
        <f t="shared" si="68"/>
        <v>100714.81776043444</v>
      </c>
      <c r="U252">
        <f t="shared" si="69"/>
        <v>0</v>
      </c>
      <c r="V252" s="29">
        <f t="shared" si="70"/>
        <v>100714.81776043444</v>
      </c>
      <c r="W252" s="29">
        <f t="shared" si="71"/>
        <v>100714.81776043444</v>
      </c>
      <c r="X252" s="29">
        <f t="shared" si="72"/>
        <v>100714.81776043444</v>
      </c>
      <c r="Y252">
        <f t="shared" si="73"/>
        <v>0</v>
      </c>
    </row>
    <row r="253" spans="1:25" x14ac:dyDescent="0.25">
      <c r="A253" s="4" t="s">
        <v>1141</v>
      </c>
      <c r="B253" s="7" t="s">
        <v>588</v>
      </c>
      <c r="C253" s="2" t="s">
        <v>1142</v>
      </c>
      <c r="D253">
        <f>VLOOKUP(B253,'Model allocations'!$A$1:$L$317,6,FALSE)</f>
        <v>13252.209137283318</v>
      </c>
      <c r="E253" s="31">
        <f>VLOOKUP(B253,'Initial adjusted formula count'!$A$1:$P$317,12,FALSE)</f>
        <v>0.15503875968992201</v>
      </c>
      <c r="F253">
        <f>VLOOKUP(B253,'Model allocations'!$A$1:$L$317,11,FALSE)</f>
        <v>11926.988223554987</v>
      </c>
      <c r="G253" s="30">
        <f t="shared" si="74"/>
        <v>0.9</v>
      </c>
      <c r="H253">
        <f t="shared" si="75"/>
        <v>11926.988223554987</v>
      </c>
      <c r="I253">
        <f t="shared" si="57"/>
        <v>0</v>
      </c>
      <c r="J253">
        <f t="shared" si="58"/>
        <v>11926.988223554987</v>
      </c>
      <c r="K253">
        <f t="shared" si="59"/>
        <v>11920.031579141634</v>
      </c>
      <c r="L253">
        <f t="shared" si="60"/>
        <v>11920.031579141634</v>
      </c>
      <c r="M253">
        <f t="shared" si="61"/>
        <v>11926.988223554987</v>
      </c>
      <c r="N253" s="29">
        <f t="shared" si="62"/>
        <v>0</v>
      </c>
      <c r="O253" s="29">
        <f t="shared" si="63"/>
        <v>0</v>
      </c>
      <c r="P253" s="29">
        <f t="shared" si="64"/>
        <v>11926.988223554987</v>
      </c>
      <c r="Q253">
        <f t="shared" si="65"/>
        <v>0</v>
      </c>
      <c r="R253" s="29">
        <f t="shared" si="66"/>
        <v>0</v>
      </c>
      <c r="S253" s="29">
        <f t="shared" si="67"/>
        <v>0</v>
      </c>
      <c r="T253" s="29">
        <f t="shared" si="68"/>
        <v>11926.988223554987</v>
      </c>
      <c r="U253">
        <f t="shared" si="69"/>
        <v>0</v>
      </c>
      <c r="V253" s="29">
        <f t="shared" si="70"/>
        <v>0</v>
      </c>
      <c r="W253" s="29">
        <f t="shared" si="71"/>
        <v>0</v>
      </c>
      <c r="X253" s="29">
        <f t="shared" si="72"/>
        <v>11926.988223554987</v>
      </c>
      <c r="Y253">
        <f t="shared" si="73"/>
        <v>0</v>
      </c>
    </row>
    <row r="254" spans="1:25" x14ac:dyDescent="0.25">
      <c r="A254" s="4" t="s">
        <v>1143</v>
      </c>
      <c r="B254" s="7" t="s">
        <v>590</v>
      </c>
      <c r="C254" s="2" t="s">
        <v>1144</v>
      </c>
      <c r="D254">
        <f>VLOOKUP(B254,'Model allocations'!$A$1:$L$317,6,FALSE)</f>
        <v>10182.540791506133</v>
      </c>
      <c r="E254" s="31">
        <f>VLOOKUP(B254,'Initial adjusted formula count'!$A$1:$P$317,12,FALSE)</f>
        <v>0.104938271604938</v>
      </c>
      <c r="F254">
        <f>VLOOKUP(B254,'Model allocations'!$A$1:$L$317,11,FALSE)</f>
        <v>9699.570793723462</v>
      </c>
      <c r="G254" s="30">
        <f t="shared" si="74"/>
        <v>0.85</v>
      </c>
      <c r="H254">
        <f t="shared" si="75"/>
        <v>8655.1596727802134</v>
      </c>
      <c r="I254">
        <f t="shared" si="57"/>
        <v>0</v>
      </c>
      <c r="J254">
        <f t="shared" si="58"/>
        <v>9699.570793723462</v>
      </c>
      <c r="K254">
        <f t="shared" si="59"/>
        <v>9693.9133332054062</v>
      </c>
      <c r="L254">
        <f t="shared" si="60"/>
        <v>9693.9133332054062</v>
      </c>
      <c r="M254">
        <f t="shared" si="61"/>
        <v>0</v>
      </c>
      <c r="N254" s="29">
        <f t="shared" si="62"/>
        <v>9693.9133332054062</v>
      </c>
      <c r="O254" s="29">
        <f t="shared" si="63"/>
        <v>9693.1753466139598</v>
      </c>
      <c r="P254" s="29">
        <f t="shared" si="64"/>
        <v>9693.1753466139598</v>
      </c>
      <c r="Q254">
        <f t="shared" si="65"/>
        <v>0</v>
      </c>
      <c r="R254" s="29">
        <f t="shared" si="66"/>
        <v>9693.1753466139598</v>
      </c>
      <c r="S254" s="29">
        <f t="shared" si="67"/>
        <v>9693.1753466139598</v>
      </c>
      <c r="T254" s="29">
        <f t="shared" si="68"/>
        <v>9693.1753466139598</v>
      </c>
      <c r="U254">
        <f t="shared" si="69"/>
        <v>0</v>
      </c>
      <c r="V254" s="29">
        <f t="shared" si="70"/>
        <v>9693.1753466139598</v>
      </c>
      <c r="W254" s="29">
        <f t="shared" si="71"/>
        <v>9693.1753466139598</v>
      </c>
      <c r="X254" s="29">
        <f t="shared" si="72"/>
        <v>9693.1753466139598</v>
      </c>
      <c r="Y254">
        <f t="shared" si="73"/>
        <v>0</v>
      </c>
    </row>
    <row r="255" spans="1:25" x14ac:dyDescent="0.25">
      <c r="A255" s="4" t="s">
        <v>1145</v>
      </c>
      <c r="B255" s="7" t="s">
        <v>223</v>
      </c>
      <c r="C255" s="2" t="s">
        <v>1146</v>
      </c>
      <c r="D255">
        <f>VLOOKUP(B255,'Model allocations'!$A$1:$L$317,6,FALSE)</f>
        <v>231369.95465144503</v>
      </c>
      <c r="E255" s="31">
        <f>VLOOKUP(B255,'Initial adjusted formula count'!$A$1:$P$317,12,FALSE)</f>
        <v>7.9321158457849095E-2</v>
      </c>
      <c r="F255">
        <f>VLOOKUP(B255,'Model allocations'!$A$1:$L$317,11,FALSE)</f>
        <v>245342.08478241699</v>
      </c>
      <c r="G255" s="30">
        <f t="shared" si="74"/>
        <v>0.85</v>
      </c>
      <c r="H255">
        <f t="shared" si="75"/>
        <v>196664.46145372826</v>
      </c>
      <c r="I255">
        <f t="shared" si="57"/>
        <v>0</v>
      </c>
      <c r="J255">
        <f t="shared" si="58"/>
        <v>245342.08478241699</v>
      </c>
      <c r="K255">
        <f t="shared" si="59"/>
        <v>245198.9843104897</v>
      </c>
      <c r="L255">
        <f t="shared" si="60"/>
        <v>245198.9843104897</v>
      </c>
      <c r="M255">
        <f t="shared" si="61"/>
        <v>0</v>
      </c>
      <c r="N255" s="29">
        <f t="shared" si="62"/>
        <v>245198.9843104897</v>
      </c>
      <c r="O255" s="29">
        <f t="shared" si="63"/>
        <v>245180.31759082372</v>
      </c>
      <c r="P255" s="29">
        <f t="shared" si="64"/>
        <v>245180.31759082372</v>
      </c>
      <c r="Q255">
        <f t="shared" si="65"/>
        <v>0</v>
      </c>
      <c r="R255" s="29">
        <f t="shared" si="66"/>
        <v>245180.31759082372</v>
      </c>
      <c r="S255" s="29">
        <f t="shared" si="67"/>
        <v>245180.31759082372</v>
      </c>
      <c r="T255" s="29">
        <f t="shared" si="68"/>
        <v>245180.31759082372</v>
      </c>
      <c r="U255">
        <f t="shared" si="69"/>
        <v>0</v>
      </c>
      <c r="V255" s="29">
        <f t="shared" si="70"/>
        <v>245180.31759082372</v>
      </c>
      <c r="W255" s="29">
        <f t="shared" si="71"/>
        <v>245180.31759082372</v>
      </c>
      <c r="X255" s="29">
        <f t="shared" si="72"/>
        <v>245180.31759082372</v>
      </c>
      <c r="Y255">
        <f t="shared" si="73"/>
        <v>0</v>
      </c>
    </row>
    <row r="256" spans="1:25" x14ac:dyDescent="0.25">
      <c r="A256" s="4" t="s">
        <v>1147</v>
      </c>
      <c r="B256" s="7" t="s">
        <v>225</v>
      </c>
      <c r="C256" s="2" t="s">
        <v>1148</v>
      </c>
      <c r="D256">
        <f>VLOOKUP(B256,'Model allocations'!$A$1:$L$317,6,FALSE)</f>
        <v>0</v>
      </c>
      <c r="E256" s="31">
        <f>VLOOKUP(B256,'Initial adjusted formula count'!$A$1:$P$317,12,FALSE)</f>
        <v>0.04</v>
      </c>
      <c r="F256">
        <f>VLOOKUP(B256,'Model allocations'!$A$1:$L$317,11,FALSE)</f>
        <v>0</v>
      </c>
      <c r="G256" s="30">
        <f t="shared" si="74"/>
        <v>0.85</v>
      </c>
      <c r="H256">
        <f t="shared" si="7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0"/>
        <v>0</v>
      </c>
      <c r="M256">
        <f t="shared" si="61"/>
        <v>0</v>
      </c>
      <c r="N256" s="29">
        <f t="shared" si="62"/>
        <v>0</v>
      </c>
      <c r="O256" s="29">
        <f t="shared" si="63"/>
        <v>0</v>
      </c>
      <c r="P256" s="29">
        <f t="shared" si="64"/>
        <v>0</v>
      </c>
      <c r="Q256">
        <f t="shared" si="65"/>
        <v>0</v>
      </c>
      <c r="R256" s="29">
        <f t="shared" si="66"/>
        <v>0</v>
      </c>
      <c r="S256" s="29">
        <f t="shared" si="67"/>
        <v>0</v>
      </c>
      <c r="T256" s="29">
        <f t="shared" si="68"/>
        <v>0</v>
      </c>
      <c r="U256">
        <f t="shared" si="69"/>
        <v>0</v>
      </c>
      <c r="V256" s="29">
        <f t="shared" si="70"/>
        <v>0</v>
      </c>
      <c r="W256" s="29">
        <f t="shared" si="71"/>
        <v>0</v>
      </c>
      <c r="X256" s="29">
        <f t="shared" si="72"/>
        <v>0</v>
      </c>
      <c r="Y256">
        <f t="shared" si="73"/>
        <v>0</v>
      </c>
    </row>
    <row r="257" spans="1:25" x14ac:dyDescent="0.25">
      <c r="A257" s="4" t="s">
        <v>1149</v>
      </c>
      <c r="B257" s="7" t="s">
        <v>592</v>
      </c>
      <c r="C257" s="2" t="s">
        <v>1150</v>
      </c>
      <c r="D257">
        <f>VLOOKUP(B257,'Model allocations'!$A$1:$L$317,6,FALSE)</f>
        <v>27190.141684785751</v>
      </c>
      <c r="E257" s="31">
        <f>VLOOKUP(B257,'Initial adjusted formula count'!$A$1:$P$317,12,FALSE)</f>
        <v>0.125</v>
      </c>
      <c r="F257">
        <f>VLOOKUP(B257,'Model allocations'!$A$1:$L$317,11,FALSE)</f>
        <v>0</v>
      </c>
      <c r="G257" s="30">
        <f t="shared" si="74"/>
        <v>0.85</v>
      </c>
      <c r="H257">
        <f t="shared" si="7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0"/>
        <v>0</v>
      </c>
      <c r="M257">
        <f t="shared" si="61"/>
        <v>0</v>
      </c>
      <c r="N257" s="29">
        <f t="shared" si="62"/>
        <v>0</v>
      </c>
      <c r="O257" s="29">
        <f t="shared" si="63"/>
        <v>0</v>
      </c>
      <c r="P257" s="29">
        <f t="shared" si="64"/>
        <v>0</v>
      </c>
      <c r="Q257">
        <f t="shared" si="65"/>
        <v>0</v>
      </c>
      <c r="R257" s="29">
        <f t="shared" si="66"/>
        <v>0</v>
      </c>
      <c r="S257" s="29">
        <f t="shared" si="67"/>
        <v>0</v>
      </c>
      <c r="T257" s="29">
        <f t="shared" si="68"/>
        <v>0</v>
      </c>
      <c r="U257">
        <f t="shared" si="69"/>
        <v>0</v>
      </c>
      <c r="V257" s="29">
        <f t="shared" si="70"/>
        <v>0</v>
      </c>
      <c r="W257" s="29">
        <f t="shared" si="71"/>
        <v>0</v>
      </c>
      <c r="X257" s="29">
        <f t="shared" si="72"/>
        <v>0</v>
      </c>
      <c r="Y257">
        <f t="shared" si="73"/>
        <v>0</v>
      </c>
    </row>
    <row r="258" spans="1:25" x14ac:dyDescent="0.25">
      <c r="A258" s="4" t="s">
        <v>1151</v>
      </c>
      <c r="B258" s="7" t="s">
        <v>227</v>
      </c>
      <c r="C258" s="2" t="s">
        <v>1152</v>
      </c>
      <c r="D258">
        <f>VLOOKUP(B258,'Model allocations'!$A$1:$L$317,6,FALSE)</f>
        <v>0</v>
      </c>
      <c r="E258" s="31">
        <f>VLOOKUP(B258,'Initial adjusted formula count'!$A$1:$P$317,12,FALSE)</f>
        <v>0.133333333333333</v>
      </c>
      <c r="F258">
        <f>VLOOKUP(B258,'Model allocations'!$A$1:$L$317,11,FALSE)</f>
        <v>0</v>
      </c>
      <c r="G258" s="30">
        <f t="shared" si="74"/>
        <v>0.85</v>
      </c>
      <c r="H258">
        <f t="shared" si="7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0"/>
        <v>0</v>
      </c>
      <c r="M258">
        <f t="shared" si="61"/>
        <v>0</v>
      </c>
      <c r="N258" s="29">
        <f t="shared" si="62"/>
        <v>0</v>
      </c>
      <c r="O258" s="29">
        <f t="shared" si="63"/>
        <v>0</v>
      </c>
      <c r="P258" s="29">
        <f t="shared" si="64"/>
        <v>0</v>
      </c>
      <c r="Q258">
        <f t="shared" si="65"/>
        <v>0</v>
      </c>
      <c r="R258" s="29">
        <f t="shared" si="66"/>
        <v>0</v>
      </c>
      <c r="S258" s="29">
        <f t="shared" si="67"/>
        <v>0</v>
      </c>
      <c r="T258" s="29">
        <f t="shared" si="68"/>
        <v>0</v>
      </c>
      <c r="U258">
        <f t="shared" si="69"/>
        <v>0</v>
      </c>
      <c r="V258" s="29">
        <f t="shared" si="70"/>
        <v>0</v>
      </c>
      <c r="W258" s="29">
        <f t="shared" si="71"/>
        <v>0</v>
      </c>
      <c r="X258" s="29">
        <f t="shared" si="72"/>
        <v>0</v>
      </c>
      <c r="Y258">
        <f t="shared" si="73"/>
        <v>0</v>
      </c>
    </row>
    <row r="259" spans="1:25" x14ac:dyDescent="0.25">
      <c r="A259" s="4" t="s">
        <v>1153</v>
      </c>
      <c r="B259" s="7" t="s">
        <v>229</v>
      </c>
      <c r="C259" s="2" t="s">
        <v>1154</v>
      </c>
      <c r="D259">
        <f>VLOOKUP(B259,'Model allocations'!$A$1:$L$317,6,FALSE)</f>
        <v>152172.41516195281</v>
      </c>
      <c r="E259" s="31">
        <f>VLOOKUP(B259,'Initial adjusted formula count'!$A$1:$P$317,12,FALSE)</f>
        <v>6.3504016064256999E-2</v>
      </c>
      <c r="F259">
        <f>VLOOKUP(B259,'Model allocations'!$A$1:$L$317,11,FALSE)</f>
        <v>144352.43593011977</v>
      </c>
      <c r="G259" s="30">
        <f t="shared" si="74"/>
        <v>0.85</v>
      </c>
      <c r="H259">
        <f t="shared" si="75"/>
        <v>129346.55288765988</v>
      </c>
      <c r="I259">
        <f t="shared" ref="I259:I316" si="76">IF(F259&lt;H259,H259,0)</f>
        <v>0</v>
      </c>
      <c r="J259">
        <f t="shared" ref="J259:J316" si="77">IF(I259=0,F259,0)</f>
        <v>144352.43593011977</v>
      </c>
      <c r="K259">
        <f t="shared" ref="K259:K316" si="78">(J259/$J$3)*($F$3-$I$3)</f>
        <v>144268.23960593928</v>
      </c>
      <c r="L259">
        <f t="shared" ref="L259:L316" si="79">I259+K259</f>
        <v>144268.23960593928</v>
      </c>
      <c r="M259">
        <f t="shared" ref="M259:M316" si="80">IF(L259&lt;H259,H259,0)</f>
        <v>0</v>
      </c>
      <c r="N259" s="29">
        <f t="shared" ref="N259:N316" si="81">IF($I259+$M259=0,L259,0)</f>
        <v>144268.23960593928</v>
      </c>
      <c r="O259" s="29">
        <f t="shared" ref="O259:O316" si="82">((N259/$N$3)*($F$3-$I$3-$M$3))</f>
        <v>144257.25662901954</v>
      </c>
      <c r="P259" s="29">
        <f t="shared" ref="P259:P316" si="83">$I259+$M259+O259</f>
        <v>144257.25662901954</v>
      </c>
      <c r="Q259">
        <f t="shared" ref="Q259:Q316" si="84">IF(P259&lt;H259,H259,0)</f>
        <v>0</v>
      </c>
      <c r="R259" s="29">
        <f t="shared" ref="R259:R316" si="85">IF($I259+$M259+$Q259=0,P259,0)</f>
        <v>144257.25662901954</v>
      </c>
      <c r="S259" s="29">
        <f t="shared" ref="S259:S316" si="86">((R259/$R$3)*($F$3-$I$3-$M$3-$Q$3))</f>
        <v>144257.25662901954</v>
      </c>
      <c r="T259" s="29">
        <f t="shared" ref="T259:T316" si="87">$I259+$M259+$Q259+S259</f>
        <v>144257.25662901954</v>
      </c>
      <c r="U259">
        <f t="shared" ref="U259:U316" si="88">IF(T259&lt;H259,H259,0)</f>
        <v>0</v>
      </c>
      <c r="V259" s="29">
        <f t="shared" ref="V259:V316" si="89">IF($I259+$M259+$Q259+U259=0,T259,0)</f>
        <v>144257.25662901954</v>
      </c>
      <c r="W259" s="29">
        <f t="shared" ref="W259:W316" si="90">((V259/$V$3)*($F$3-$I$3-$M$3-$Q$3-$U$3))</f>
        <v>144257.25662901954</v>
      </c>
      <c r="X259" s="29">
        <f t="shared" ref="X259:X316" si="91">$I259+$M259+$Q259+$U259+W259</f>
        <v>144257.25662901954</v>
      </c>
      <c r="Y259">
        <f t="shared" ref="Y259:Y316" si="92">IF(X259&lt;H259,H259,0)</f>
        <v>0</v>
      </c>
    </row>
    <row r="260" spans="1:25" x14ac:dyDescent="0.25">
      <c r="A260" s="4" t="s">
        <v>1155</v>
      </c>
      <c r="B260" s="7" t="s">
        <v>594</v>
      </c>
      <c r="C260" s="2" t="s">
        <v>1156</v>
      </c>
      <c r="D260">
        <f>VLOOKUP(B260,'Model allocations'!$A$1:$L$317,6,FALSE)</f>
        <v>0</v>
      </c>
      <c r="E260" s="31">
        <f>VLOOKUP(B260,'Initial adjusted formula count'!$A$1:$P$317,12,FALSE)</f>
        <v>0.15094339622641501</v>
      </c>
      <c r="F260">
        <f>VLOOKUP(B260,'Model allocations'!$A$1:$L$317,11,FALSE)</f>
        <v>0</v>
      </c>
      <c r="G260" s="30">
        <f t="shared" ref="G260:G316" si="93">IF(E260&lt;0.15,0.85,IF(AND(E260&gt;=0.15,E260&lt;0.3),0.9,0.95))</f>
        <v>0.9</v>
      </c>
      <c r="H260">
        <f t="shared" ref="H260:H316" si="94">IF(F260 = 0, 0, D260*G260)</f>
        <v>0</v>
      </c>
      <c r="I260">
        <f t="shared" si="76"/>
        <v>0</v>
      </c>
      <c r="J260">
        <f t="shared" si="77"/>
        <v>0</v>
      </c>
      <c r="K260">
        <f t="shared" si="78"/>
        <v>0</v>
      </c>
      <c r="L260">
        <f t="shared" si="79"/>
        <v>0</v>
      </c>
      <c r="M260">
        <f t="shared" si="80"/>
        <v>0</v>
      </c>
      <c r="N260" s="29">
        <f t="shared" si="81"/>
        <v>0</v>
      </c>
      <c r="O260" s="29">
        <f t="shared" si="82"/>
        <v>0</v>
      </c>
      <c r="P260" s="29">
        <f t="shared" si="83"/>
        <v>0</v>
      </c>
      <c r="Q260">
        <f t="shared" si="84"/>
        <v>0</v>
      </c>
      <c r="R260" s="29">
        <f t="shared" si="85"/>
        <v>0</v>
      </c>
      <c r="S260" s="29">
        <f t="shared" si="86"/>
        <v>0</v>
      </c>
      <c r="T260" s="29">
        <f t="shared" si="87"/>
        <v>0</v>
      </c>
      <c r="U260">
        <f t="shared" si="88"/>
        <v>0</v>
      </c>
      <c r="V260" s="29">
        <f t="shared" si="89"/>
        <v>0</v>
      </c>
      <c r="W260" s="29">
        <f t="shared" si="90"/>
        <v>0</v>
      </c>
      <c r="X260" s="29">
        <f t="shared" si="91"/>
        <v>0</v>
      </c>
      <c r="Y260">
        <f t="shared" si="92"/>
        <v>0</v>
      </c>
    </row>
    <row r="261" spans="1:25" x14ac:dyDescent="0.25">
      <c r="A261" s="4" t="s">
        <v>1157</v>
      </c>
      <c r="B261" s="7" t="s">
        <v>596</v>
      </c>
      <c r="C261" s="2" t="s">
        <v>1158</v>
      </c>
      <c r="D261">
        <f>VLOOKUP(B261,'Model allocations'!$A$1:$L$317,6,FALSE)</f>
        <v>71843.482251182199</v>
      </c>
      <c r="E261" s="31">
        <f>VLOOKUP(B261,'Initial adjusted formula count'!$A$1:$P$317,12,FALSE)</f>
        <v>0.15274725274725301</v>
      </c>
      <c r="F261">
        <f>VLOOKUP(B261,'Model allocations'!$A$1:$L$317,11,FALSE)</f>
        <v>79308.255313385947</v>
      </c>
      <c r="G261" s="30">
        <f t="shared" si="93"/>
        <v>0.9</v>
      </c>
      <c r="H261">
        <f t="shared" si="94"/>
        <v>64659.134026063977</v>
      </c>
      <c r="I261">
        <f t="shared" si="76"/>
        <v>0</v>
      </c>
      <c r="J261">
        <f t="shared" si="77"/>
        <v>79308.255313385947</v>
      </c>
      <c r="K261">
        <f t="shared" si="78"/>
        <v>79261.997253855952</v>
      </c>
      <c r="L261">
        <f t="shared" si="79"/>
        <v>79261.997253855952</v>
      </c>
      <c r="M261">
        <f t="shared" si="80"/>
        <v>0</v>
      </c>
      <c r="N261" s="29">
        <f t="shared" si="81"/>
        <v>79261.997253855952</v>
      </c>
      <c r="O261" s="29">
        <f t="shared" si="82"/>
        <v>79255.963128196483</v>
      </c>
      <c r="P261" s="29">
        <f t="shared" si="83"/>
        <v>79255.963128196483</v>
      </c>
      <c r="Q261">
        <f t="shared" si="84"/>
        <v>0</v>
      </c>
      <c r="R261" s="29">
        <f t="shared" si="85"/>
        <v>79255.963128196483</v>
      </c>
      <c r="S261" s="29">
        <f t="shared" si="86"/>
        <v>79255.963128196483</v>
      </c>
      <c r="T261" s="29">
        <f t="shared" si="87"/>
        <v>79255.963128196483</v>
      </c>
      <c r="U261">
        <f t="shared" si="88"/>
        <v>0</v>
      </c>
      <c r="V261" s="29">
        <f t="shared" si="89"/>
        <v>79255.963128196483</v>
      </c>
      <c r="W261" s="29">
        <f t="shared" si="90"/>
        <v>79255.963128196483</v>
      </c>
      <c r="X261" s="29">
        <f t="shared" si="91"/>
        <v>79255.963128196483</v>
      </c>
      <c r="Y261">
        <f t="shared" si="92"/>
        <v>0</v>
      </c>
    </row>
    <row r="262" spans="1:25" x14ac:dyDescent="0.25">
      <c r="A262" s="4" t="s">
        <v>1159</v>
      </c>
      <c r="B262" s="7" t="s">
        <v>231</v>
      </c>
      <c r="C262" s="2" t="s">
        <v>1160</v>
      </c>
      <c r="D262">
        <f>VLOOKUP(B262,'Model allocations'!$A$1:$L$317,6,FALSE)</f>
        <v>123321.88291935209</v>
      </c>
      <c r="E262" s="31">
        <f>VLOOKUP(B262,'Initial adjusted formula count'!$A$1:$P$317,12,FALSE)</f>
        <v>8.5089463220675898E-2</v>
      </c>
      <c r="F262">
        <f>VLOOKUP(B262,'Model allocations'!$A$1:$L$317,11,FALSE)</f>
        <v>122100.47940334241</v>
      </c>
      <c r="G262" s="30">
        <f t="shared" si="93"/>
        <v>0.85</v>
      </c>
      <c r="H262">
        <f t="shared" si="94"/>
        <v>104823.60048144928</v>
      </c>
      <c r="I262">
        <f t="shared" si="76"/>
        <v>0</v>
      </c>
      <c r="J262">
        <f t="shared" si="77"/>
        <v>122100.47940334241</v>
      </c>
      <c r="K262">
        <f t="shared" si="78"/>
        <v>122029.26195917393</v>
      </c>
      <c r="L262">
        <f t="shared" si="79"/>
        <v>122029.26195917393</v>
      </c>
      <c r="M262">
        <f t="shared" si="80"/>
        <v>0</v>
      </c>
      <c r="N262" s="29">
        <f t="shared" si="81"/>
        <v>122029.26195917393</v>
      </c>
      <c r="O262" s="29">
        <f t="shared" si="82"/>
        <v>122019.97201031692</v>
      </c>
      <c r="P262" s="29">
        <f t="shared" si="83"/>
        <v>122019.97201031692</v>
      </c>
      <c r="Q262">
        <f t="shared" si="84"/>
        <v>0</v>
      </c>
      <c r="R262" s="29">
        <f t="shared" si="85"/>
        <v>122019.97201031692</v>
      </c>
      <c r="S262" s="29">
        <f t="shared" si="86"/>
        <v>122019.97201031692</v>
      </c>
      <c r="T262" s="29">
        <f t="shared" si="87"/>
        <v>122019.97201031692</v>
      </c>
      <c r="U262">
        <f t="shared" si="88"/>
        <v>0</v>
      </c>
      <c r="V262" s="29">
        <f t="shared" si="89"/>
        <v>122019.97201031692</v>
      </c>
      <c r="W262" s="29">
        <f t="shared" si="90"/>
        <v>122019.97201031692</v>
      </c>
      <c r="X262" s="29">
        <f t="shared" si="91"/>
        <v>122019.97201031692</v>
      </c>
      <c r="Y262">
        <f t="shared" si="92"/>
        <v>0</v>
      </c>
    </row>
    <row r="263" spans="1:25" x14ac:dyDescent="0.25">
      <c r="A263" s="4" t="s">
        <v>25</v>
      </c>
      <c r="B263" s="7" t="s">
        <v>72</v>
      </c>
      <c r="C263" s="2" t="s">
        <v>1161</v>
      </c>
      <c r="D263">
        <f>VLOOKUP(B263,'Model allocations'!$A$1:$L$317,6,FALSE)</f>
        <v>111528.03790437436</v>
      </c>
      <c r="E263" s="31">
        <f>VLOOKUP(B263,'Initial adjusted formula count'!$A$1:$P$317,12,FALSE)</f>
        <v>0.131501871318111</v>
      </c>
      <c r="F263">
        <f>VLOOKUP(B263,'Model allocations'!$A$1:$L$317,11,FALSE)</f>
        <v>102886.49322099982</v>
      </c>
      <c r="G263" s="30">
        <f t="shared" si="93"/>
        <v>0.85</v>
      </c>
      <c r="H263">
        <f t="shared" si="94"/>
        <v>94798.832218718206</v>
      </c>
      <c r="I263">
        <f t="shared" si="76"/>
        <v>0</v>
      </c>
      <c r="J263">
        <f t="shared" si="77"/>
        <v>102886.49322099982</v>
      </c>
      <c r="K263">
        <f t="shared" si="78"/>
        <v>102826.48270242968</v>
      </c>
      <c r="L263">
        <f t="shared" si="79"/>
        <v>102826.48270242968</v>
      </c>
      <c r="M263">
        <f t="shared" si="80"/>
        <v>0</v>
      </c>
      <c r="N263" s="29">
        <f t="shared" si="81"/>
        <v>102826.48270242968</v>
      </c>
      <c r="O263" s="29">
        <f t="shared" si="82"/>
        <v>102818.65463930683</v>
      </c>
      <c r="P263" s="29">
        <f t="shared" si="83"/>
        <v>102818.65463930683</v>
      </c>
      <c r="Q263">
        <f t="shared" si="84"/>
        <v>0</v>
      </c>
      <c r="R263" s="29">
        <f t="shared" si="85"/>
        <v>102818.65463930683</v>
      </c>
      <c r="S263" s="29">
        <f t="shared" si="86"/>
        <v>102818.65463930683</v>
      </c>
      <c r="T263" s="29">
        <f t="shared" si="87"/>
        <v>102818.65463930683</v>
      </c>
      <c r="U263">
        <f t="shared" si="88"/>
        <v>0</v>
      </c>
      <c r="V263" s="29">
        <f t="shared" si="89"/>
        <v>102818.65463930683</v>
      </c>
      <c r="W263" s="29">
        <f t="shared" si="90"/>
        <v>102818.65463930683</v>
      </c>
      <c r="X263" s="29">
        <f t="shared" si="91"/>
        <v>102818.65463930683</v>
      </c>
      <c r="Y263">
        <f t="shared" si="92"/>
        <v>0</v>
      </c>
    </row>
    <row r="264" spans="1:25" x14ac:dyDescent="0.25">
      <c r="A264" s="4" t="s">
        <v>27</v>
      </c>
      <c r="B264" s="7" t="s">
        <v>73</v>
      </c>
      <c r="C264" s="2" t="s">
        <v>1163</v>
      </c>
      <c r="D264">
        <f>VLOOKUP(B264,'Model allocations'!$A$1:$L$317,6,FALSE)</f>
        <v>42895.399193990197</v>
      </c>
      <c r="E264" s="31">
        <f>VLOOKUP(B264,'Initial adjusted formula count'!$A$1:$P$317,12,FALSE)</f>
        <v>0.121963084893929</v>
      </c>
      <c r="F264">
        <f>VLOOKUP(B264,'Model allocations'!$A$1:$L$317,11,FALSE)</f>
        <v>36287.767318609855</v>
      </c>
      <c r="G264" s="30">
        <f t="shared" si="93"/>
        <v>0.85</v>
      </c>
      <c r="H264">
        <f t="shared" si="94"/>
        <v>36461.089314891666</v>
      </c>
      <c r="I264">
        <f t="shared" si="76"/>
        <v>36461.089314891666</v>
      </c>
      <c r="J264">
        <f t="shared" si="77"/>
        <v>0</v>
      </c>
      <c r="K264">
        <f t="shared" si="78"/>
        <v>0</v>
      </c>
      <c r="L264">
        <f t="shared" si="79"/>
        <v>36461.089314891666</v>
      </c>
      <c r="M264">
        <f t="shared" si="80"/>
        <v>0</v>
      </c>
      <c r="N264" s="29">
        <f t="shared" si="81"/>
        <v>0</v>
      </c>
      <c r="O264" s="29">
        <f t="shared" si="82"/>
        <v>0</v>
      </c>
      <c r="P264" s="29">
        <f t="shared" si="83"/>
        <v>36461.089314891666</v>
      </c>
      <c r="Q264">
        <f t="shared" si="84"/>
        <v>0</v>
      </c>
      <c r="R264" s="29">
        <f t="shared" si="85"/>
        <v>0</v>
      </c>
      <c r="S264" s="29">
        <f t="shared" si="86"/>
        <v>0</v>
      </c>
      <c r="T264" s="29">
        <f t="shared" si="87"/>
        <v>36461.089314891666</v>
      </c>
      <c r="U264">
        <f t="shared" si="88"/>
        <v>0</v>
      </c>
      <c r="V264" s="29">
        <f t="shared" si="89"/>
        <v>0</v>
      </c>
      <c r="W264" s="29">
        <f t="shared" si="90"/>
        <v>0</v>
      </c>
      <c r="X264" s="29">
        <f t="shared" si="91"/>
        <v>36461.089314891666</v>
      </c>
      <c r="Y264">
        <f t="shared" si="92"/>
        <v>0</v>
      </c>
    </row>
    <row r="265" spans="1:25" x14ac:dyDescent="0.25">
      <c r="A265" s="4" t="s">
        <v>1164</v>
      </c>
      <c r="B265" s="7" t="s">
        <v>598</v>
      </c>
      <c r="C265" s="2" t="s">
        <v>1165</v>
      </c>
      <c r="D265">
        <f>VLOOKUP(B265,'Model allocations'!$A$1:$L$317,6,FALSE)</f>
        <v>17054.824055209006</v>
      </c>
      <c r="E265" s="31">
        <f>VLOOKUP(B265,'Initial adjusted formula count'!$A$1:$P$317,12,FALSE)</f>
        <v>0.22807017543859601</v>
      </c>
      <c r="F265">
        <f>VLOOKUP(B265,'Model allocations'!$A$1:$L$317,11,FALSE)</f>
        <v>18700.230455460358</v>
      </c>
      <c r="G265" s="30">
        <f t="shared" si="93"/>
        <v>0.9</v>
      </c>
      <c r="H265">
        <f t="shared" si="94"/>
        <v>15349.341649688105</v>
      </c>
      <c r="I265">
        <f t="shared" si="76"/>
        <v>0</v>
      </c>
      <c r="J265">
        <f t="shared" si="77"/>
        <v>18700.230455460358</v>
      </c>
      <c r="K265">
        <f t="shared" si="78"/>
        <v>18689.323187733749</v>
      </c>
      <c r="L265">
        <f t="shared" si="79"/>
        <v>18689.323187733749</v>
      </c>
      <c r="M265">
        <f t="shared" si="80"/>
        <v>0</v>
      </c>
      <c r="N265" s="29">
        <f t="shared" si="81"/>
        <v>18689.323187733749</v>
      </c>
      <c r="O265" s="29">
        <f t="shared" si="82"/>
        <v>18687.900390825867</v>
      </c>
      <c r="P265" s="29">
        <f t="shared" si="83"/>
        <v>18687.900390825867</v>
      </c>
      <c r="Q265">
        <f t="shared" si="84"/>
        <v>0</v>
      </c>
      <c r="R265" s="29">
        <f t="shared" si="85"/>
        <v>18687.900390825867</v>
      </c>
      <c r="S265" s="29">
        <f t="shared" si="86"/>
        <v>18687.900390825867</v>
      </c>
      <c r="T265" s="29">
        <f t="shared" si="87"/>
        <v>18687.900390825867</v>
      </c>
      <c r="U265">
        <f t="shared" si="88"/>
        <v>0</v>
      </c>
      <c r="V265" s="29">
        <f t="shared" si="89"/>
        <v>18687.900390825867</v>
      </c>
      <c r="W265" s="29">
        <f t="shared" si="90"/>
        <v>18687.900390825867</v>
      </c>
      <c r="X265" s="29">
        <f t="shared" si="91"/>
        <v>18687.900390825867</v>
      </c>
      <c r="Y265">
        <f t="shared" si="92"/>
        <v>0</v>
      </c>
    </row>
    <row r="266" spans="1:25" x14ac:dyDescent="0.25">
      <c r="A266" s="4" t="s">
        <v>1166</v>
      </c>
      <c r="B266" s="7" t="s">
        <v>233</v>
      </c>
      <c r="C266" s="2" t="s">
        <v>1167</v>
      </c>
      <c r="D266">
        <f>VLOOKUP(B266,'Model allocations'!$A$1:$L$317,6,FALSE)</f>
        <v>308304.70729838032</v>
      </c>
      <c r="E266" s="31">
        <f>VLOOKUP(B266,'Initial adjusted formula count'!$A$1:$P$317,12,FALSE)</f>
        <v>5.3187511684427001E-2</v>
      </c>
      <c r="F266">
        <f>VLOOKUP(B266,'Model allocations'!$A$1:$L$317,11,FALSE)</f>
        <v>324650.34009580291</v>
      </c>
      <c r="G266" s="30">
        <f t="shared" si="93"/>
        <v>0.85</v>
      </c>
      <c r="H266">
        <f t="shared" si="94"/>
        <v>262059.00120362328</v>
      </c>
      <c r="I266">
        <f t="shared" si="76"/>
        <v>0</v>
      </c>
      <c r="J266">
        <f t="shared" si="77"/>
        <v>324650.34009580291</v>
      </c>
      <c r="K266">
        <f t="shared" si="78"/>
        <v>324460.98156434565</v>
      </c>
      <c r="L266">
        <f t="shared" si="79"/>
        <v>324460.98156434565</v>
      </c>
      <c r="M266">
        <f t="shared" si="80"/>
        <v>0</v>
      </c>
      <c r="N266" s="29">
        <f t="shared" si="81"/>
        <v>324460.98156434565</v>
      </c>
      <c r="O266" s="29">
        <f t="shared" si="82"/>
        <v>324436.28071902017</v>
      </c>
      <c r="P266" s="29">
        <f t="shared" si="83"/>
        <v>324436.28071902017</v>
      </c>
      <c r="Q266">
        <f t="shared" si="84"/>
        <v>0</v>
      </c>
      <c r="R266" s="29">
        <f t="shared" si="85"/>
        <v>324436.28071902017</v>
      </c>
      <c r="S266" s="29">
        <f t="shared" si="86"/>
        <v>324436.28071902017</v>
      </c>
      <c r="T266" s="29">
        <f t="shared" si="87"/>
        <v>324436.28071902017</v>
      </c>
      <c r="U266">
        <f t="shared" si="88"/>
        <v>0</v>
      </c>
      <c r="V266" s="29">
        <f t="shared" si="89"/>
        <v>324436.28071902017</v>
      </c>
      <c r="W266" s="29">
        <f t="shared" si="90"/>
        <v>324436.28071902017</v>
      </c>
      <c r="X266" s="29">
        <f t="shared" si="91"/>
        <v>324436.28071902017</v>
      </c>
      <c r="Y266">
        <f t="shared" si="92"/>
        <v>0</v>
      </c>
    </row>
    <row r="267" spans="1:25" x14ac:dyDescent="0.25">
      <c r="A267" s="4" t="s">
        <v>1168</v>
      </c>
      <c r="B267" s="7" t="s">
        <v>600</v>
      </c>
      <c r="C267" s="2" t="s">
        <v>1169</v>
      </c>
      <c r="D267">
        <f>VLOOKUP(B267,'Model allocations'!$A$1:$L$317,6,FALSE)</f>
        <v>816017.50509708899</v>
      </c>
      <c r="E267" s="31">
        <f>VLOOKUP(B267,'Initial adjusted formula count'!$A$1:$P$317,12,FALSE)</f>
        <v>0.21102692245687599</v>
      </c>
      <c r="F267">
        <f>VLOOKUP(B267,'Model allocations'!$A$1:$L$317,11,FALSE)</f>
        <v>923170.91436732735</v>
      </c>
      <c r="G267" s="30">
        <f t="shared" si="93"/>
        <v>0.9</v>
      </c>
      <c r="H267">
        <f t="shared" si="94"/>
        <v>734415.7545873801</v>
      </c>
      <c r="I267">
        <f t="shared" si="76"/>
        <v>0</v>
      </c>
      <c r="J267">
        <f t="shared" si="77"/>
        <v>923170.91436732735</v>
      </c>
      <c r="K267">
        <f t="shared" si="78"/>
        <v>922632.45724272646</v>
      </c>
      <c r="L267">
        <f t="shared" si="79"/>
        <v>922632.45724272646</v>
      </c>
      <c r="M267">
        <f t="shared" si="80"/>
        <v>0</v>
      </c>
      <c r="N267" s="29">
        <f t="shared" si="81"/>
        <v>922632.45724272646</v>
      </c>
      <c r="O267" s="29">
        <f t="shared" si="82"/>
        <v>922562.21828361112</v>
      </c>
      <c r="P267" s="29">
        <f t="shared" si="83"/>
        <v>922562.21828361112</v>
      </c>
      <c r="Q267">
        <f t="shared" si="84"/>
        <v>0</v>
      </c>
      <c r="R267" s="29">
        <f t="shared" si="85"/>
        <v>922562.21828361112</v>
      </c>
      <c r="S267" s="29">
        <f t="shared" si="86"/>
        <v>922562.21828361112</v>
      </c>
      <c r="T267" s="29">
        <f t="shared" si="87"/>
        <v>922562.21828361112</v>
      </c>
      <c r="U267">
        <f t="shared" si="88"/>
        <v>0</v>
      </c>
      <c r="V267" s="29">
        <f t="shared" si="89"/>
        <v>922562.21828361112</v>
      </c>
      <c r="W267" s="29">
        <f t="shared" si="90"/>
        <v>922562.21828361112</v>
      </c>
      <c r="X267" s="29">
        <f t="shared" si="91"/>
        <v>922562.21828361112</v>
      </c>
      <c r="Y267">
        <f t="shared" si="92"/>
        <v>0</v>
      </c>
    </row>
    <row r="268" spans="1:25" x14ac:dyDescent="0.25">
      <c r="A268" s="4" t="s">
        <v>11</v>
      </c>
      <c r="B268" s="7" t="s">
        <v>67</v>
      </c>
      <c r="C268" s="2" t="s">
        <v>1170</v>
      </c>
      <c r="D268">
        <f>VLOOKUP(B268,'Model allocations'!$A$1:$L$317,6,FALSE)</f>
        <v>12055.112268926216</v>
      </c>
      <c r="E268" s="31">
        <f>VLOOKUP(B268,'Initial adjusted formula count'!$A$1:$P$317,12,FALSE)</f>
        <v>0.194148516573487</v>
      </c>
      <c r="F268">
        <f>VLOOKUP(B268,'Model allocations'!$A$1:$L$317,11,FALSE)</f>
        <v>11366.533648449778</v>
      </c>
      <c r="G268" s="30">
        <f t="shared" si="93"/>
        <v>0.9</v>
      </c>
      <c r="H268">
        <f t="shared" si="94"/>
        <v>10849.601042033595</v>
      </c>
      <c r="I268">
        <f t="shared" si="76"/>
        <v>0</v>
      </c>
      <c r="J268">
        <f t="shared" si="77"/>
        <v>11366.533648449778</v>
      </c>
      <c r="K268">
        <f t="shared" si="78"/>
        <v>11359.903899906176</v>
      </c>
      <c r="L268">
        <f t="shared" si="79"/>
        <v>11359.903899906176</v>
      </c>
      <c r="M268">
        <f t="shared" si="80"/>
        <v>0</v>
      </c>
      <c r="N268" s="29">
        <f t="shared" si="81"/>
        <v>11359.903899906176</v>
      </c>
      <c r="O268" s="29">
        <f t="shared" si="82"/>
        <v>11359.039083348602</v>
      </c>
      <c r="P268" s="29">
        <f t="shared" si="83"/>
        <v>11359.039083348602</v>
      </c>
      <c r="Q268">
        <f t="shared" si="84"/>
        <v>0</v>
      </c>
      <c r="R268" s="29">
        <f t="shared" si="85"/>
        <v>11359.039083348602</v>
      </c>
      <c r="S268" s="29">
        <f t="shared" si="86"/>
        <v>11359.039083348602</v>
      </c>
      <c r="T268" s="29">
        <f t="shared" si="87"/>
        <v>11359.039083348602</v>
      </c>
      <c r="U268">
        <f t="shared" si="88"/>
        <v>0</v>
      </c>
      <c r="V268" s="29">
        <f t="shared" si="89"/>
        <v>11359.039083348602</v>
      </c>
      <c r="W268" s="29">
        <f t="shared" si="90"/>
        <v>11359.039083348602</v>
      </c>
      <c r="X268" s="29">
        <f t="shared" si="91"/>
        <v>11359.039083348602</v>
      </c>
      <c r="Y268">
        <f t="shared" si="92"/>
        <v>0</v>
      </c>
    </row>
    <row r="269" spans="1:25" x14ac:dyDescent="0.25">
      <c r="A269" s="4" t="s">
        <v>39</v>
      </c>
      <c r="B269" s="7" t="s">
        <v>62</v>
      </c>
      <c r="C269" s="2" t="s">
        <v>1171</v>
      </c>
      <c r="D269">
        <f>VLOOKUP(B269,'Model allocations'!$A$1:$L$317,6,FALSE)</f>
        <v>4095329.0634309025</v>
      </c>
      <c r="E269" s="31">
        <f>VLOOKUP(B269,'Initial adjusted formula count'!$A$1:$P$317,12,FALSE)</f>
        <v>0.133023848319229</v>
      </c>
      <c r="F269">
        <f>VLOOKUP(B269,'Model allocations'!$A$1:$L$317,11,FALSE)</f>
        <v>4183763.9014228508</v>
      </c>
      <c r="G269" s="30">
        <f t="shared" si="93"/>
        <v>0.85</v>
      </c>
      <c r="H269">
        <f t="shared" si="94"/>
        <v>3481029.703916267</v>
      </c>
      <c r="I269">
        <f t="shared" si="76"/>
        <v>0</v>
      </c>
      <c r="J269">
        <f t="shared" si="77"/>
        <v>4183763.9014228508</v>
      </c>
      <c r="K269">
        <f t="shared" si="78"/>
        <v>4181323.6409626165</v>
      </c>
      <c r="L269">
        <f t="shared" si="79"/>
        <v>4181323.6409626165</v>
      </c>
      <c r="M269">
        <f t="shared" si="80"/>
        <v>0</v>
      </c>
      <c r="N269" s="29">
        <f t="shared" si="81"/>
        <v>4181323.6409626165</v>
      </c>
      <c r="O269" s="29">
        <f t="shared" si="82"/>
        <v>4181005.3215517183</v>
      </c>
      <c r="P269" s="29">
        <f t="shared" si="83"/>
        <v>4181005.3215517183</v>
      </c>
      <c r="Q269">
        <f t="shared" si="84"/>
        <v>0</v>
      </c>
      <c r="R269" s="29">
        <f t="shared" si="85"/>
        <v>4181005.3215517183</v>
      </c>
      <c r="S269" s="29">
        <f t="shared" si="86"/>
        <v>4181005.3215517183</v>
      </c>
      <c r="T269" s="29">
        <f t="shared" si="87"/>
        <v>4181005.3215517183</v>
      </c>
      <c r="U269">
        <f t="shared" si="88"/>
        <v>0</v>
      </c>
      <c r="V269" s="29">
        <f t="shared" si="89"/>
        <v>4181005.3215517183</v>
      </c>
      <c r="W269" s="29">
        <f t="shared" si="90"/>
        <v>4181005.3215517183</v>
      </c>
      <c r="X269" s="29">
        <f t="shared" si="91"/>
        <v>4181005.3215517183</v>
      </c>
      <c r="Y269">
        <f t="shared" si="92"/>
        <v>0</v>
      </c>
    </row>
    <row r="270" spans="1:25" x14ac:dyDescent="0.25">
      <c r="A270" s="4" t="s">
        <v>1172</v>
      </c>
      <c r="B270" s="7" t="s">
        <v>602</v>
      </c>
      <c r="C270" s="2" t="s">
        <v>1173</v>
      </c>
      <c r="D270">
        <f>VLOOKUP(B270,'Model allocations'!$A$1:$L$317,6,FALSE)</f>
        <v>67710.75664677177</v>
      </c>
      <c r="E270" s="31">
        <f>VLOOKUP(B270,'Initial adjusted formula count'!$A$1:$P$317,12,FALSE)</f>
        <v>0.155619596541787</v>
      </c>
      <c r="F270">
        <f>VLOOKUP(B270,'Model allocations'!$A$1:$L$317,11,FALSE)</f>
        <v>60939.680982094593</v>
      </c>
      <c r="G270" s="30">
        <f t="shared" si="93"/>
        <v>0.9</v>
      </c>
      <c r="H270">
        <f t="shared" si="94"/>
        <v>60939.680982094593</v>
      </c>
      <c r="I270">
        <f t="shared" si="76"/>
        <v>0</v>
      </c>
      <c r="J270">
        <f t="shared" si="77"/>
        <v>60939.680982094593</v>
      </c>
      <c r="K270">
        <f t="shared" si="78"/>
        <v>60904.13674550195</v>
      </c>
      <c r="L270">
        <f t="shared" si="79"/>
        <v>60904.13674550195</v>
      </c>
      <c r="M270">
        <f t="shared" si="80"/>
        <v>60939.680982094593</v>
      </c>
      <c r="N270" s="29">
        <f t="shared" si="81"/>
        <v>0</v>
      </c>
      <c r="O270" s="29">
        <f t="shared" si="82"/>
        <v>0</v>
      </c>
      <c r="P270" s="29">
        <f t="shared" si="83"/>
        <v>60939.680982094593</v>
      </c>
      <c r="Q270">
        <f t="shared" si="84"/>
        <v>0</v>
      </c>
      <c r="R270" s="29">
        <f t="shared" si="85"/>
        <v>0</v>
      </c>
      <c r="S270" s="29">
        <f t="shared" si="86"/>
        <v>0</v>
      </c>
      <c r="T270" s="29">
        <f t="shared" si="87"/>
        <v>60939.680982094593</v>
      </c>
      <c r="U270">
        <f t="shared" si="88"/>
        <v>0</v>
      </c>
      <c r="V270" s="29">
        <f t="shared" si="89"/>
        <v>0</v>
      </c>
      <c r="W270" s="29">
        <f t="shared" si="90"/>
        <v>0</v>
      </c>
      <c r="X270" s="29">
        <f t="shared" si="91"/>
        <v>60939.680982094593</v>
      </c>
      <c r="Y270">
        <f t="shared" si="92"/>
        <v>0</v>
      </c>
    </row>
    <row r="271" spans="1:25" x14ac:dyDescent="0.25">
      <c r="A271" s="4" t="s">
        <v>1174</v>
      </c>
      <c r="B271" s="7" t="s">
        <v>235</v>
      </c>
      <c r="C271" s="2" t="s">
        <v>1175</v>
      </c>
      <c r="D271">
        <f>VLOOKUP(B271,'Model allocations'!$A$1:$L$317,6,FALSE)</f>
        <v>0</v>
      </c>
      <c r="E271" s="31">
        <f>VLOOKUP(B271,'Initial adjusted formula count'!$A$1:$P$317,12,FALSE)</f>
        <v>4.5519516217701998E-2</v>
      </c>
      <c r="F271">
        <f>VLOOKUP(B271,'Model allocations'!$A$1:$L$317,11,FALSE)</f>
        <v>0</v>
      </c>
      <c r="G271" s="30">
        <f t="shared" si="93"/>
        <v>0.85</v>
      </c>
      <c r="H271">
        <f t="shared" si="94"/>
        <v>0</v>
      </c>
      <c r="I271">
        <f t="shared" si="76"/>
        <v>0</v>
      </c>
      <c r="J271">
        <f t="shared" si="77"/>
        <v>0</v>
      </c>
      <c r="K271">
        <f t="shared" si="78"/>
        <v>0</v>
      </c>
      <c r="L271">
        <f t="shared" si="79"/>
        <v>0</v>
      </c>
      <c r="M271">
        <f t="shared" si="80"/>
        <v>0</v>
      </c>
      <c r="N271" s="29">
        <f t="shared" si="81"/>
        <v>0</v>
      </c>
      <c r="O271" s="29">
        <f t="shared" si="82"/>
        <v>0</v>
      </c>
      <c r="P271" s="29">
        <f t="shared" si="83"/>
        <v>0</v>
      </c>
      <c r="Q271">
        <f t="shared" si="84"/>
        <v>0</v>
      </c>
      <c r="R271" s="29">
        <f t="shared" si="85"/>
        <v>0</v>
      </c>
      <c r="S271" s="29">
        <f t="shared" si="86"/>
        <v>0</v>
      </c>
      <c r="T271" s="29">
        <f t="shared" si="87"/>
        <v>0</v>
      </c>
      <c r="U271">
        <f t="shared" si="88"/>
        <v>0</v>
      </c>
      <c r="V271" s="29">
        <f t="shared" si="89"/>
        <v>0</v>
      </c>
      <c r="W271" s="29">
        <f t="shared" si="90"/>
        <v>0</v>
      </c>
      <c r="X271" s="29">
        <f t="shared" si="91"/>
        <v>0</v>
      </c>
      <c r="Y271">
        <f t="shared" si="92"/>
        <v>0</v>
      </c>
    </row>
    <row r="272" spans="1:25" x14ac:dyDescent="0.25">
      <c r="A272" s="4" t="s">
        <v>1176</v>
      </c>
      <c r="B272" s="7" t="s">
        <v>237</v>
      </c>
      <c r="C272" s="2" t="s">
        <v>1177</v>
      </c>
      <c r="D272">
        <f>VLOOKUP(B272,'Model allocations'!$A$1:$L$317,6,FALSE)</f>
        <v>16944.568137296643</v>
      </c>
      <c r="E272" s="31">
        <f>VLOOKUP(B272,'Initial adjusted formula count'!$A$1:$P$317,12,FALSE)</f>
        <v>0.112426035502959</v>
      </c>
      <c r="F272">
        <f>VLOOKUP(B272,'Model allocations'!$A$1:$L$317,11,FALSE)</f>
        <v>14402.882916702147</v>
      </c>
      <c r="G272" s="30">
        <f t="shared" si="93"/>
        <v>0.85</v>
      </c>
      <c r="H272">
        <f t="shared" si="94"/>
        <v>14402.882916702147</v>
      </c>
      <c r="I272">
        <f t="shared" si="76"/>
        <v>0</v>
      </c>
      <c r="J272">
        <f t="shared" si="77"/>
        <v>14402.882916702147</v>
      </c>
      <c r="K272">
        <f t="shared" si="78"/>
        <v>14394.482159268617</v>
      </c>
      <c r="L272">
        <f t="shared" si="79"/>
        <v>14394.482159268617</v>
      </c>
      <c r="M272">
        <f t="shared" si="80"/>
        <v>14402.882916702147</v>
      </c>
      <c r="N272" s="29">
        <f t="shared" si="81"/>
        <v>0</v>
      </c>
      <c r="O272" s="29">
        <f t="shared" si="82"/>
        <v>0</v>
      </c>
      <c r="P272" s="29">
        <f t="shared" si="83"/>
        <v>14402.882916702147</v>
      </c>
      <c r="Q272">
        <f t="shared" si="84"/>
        <v>0</v>
      </c>
      <c r="R272" s="29">
        <f t="shared" si="85"/>
        <v>0</v>
      </c>
      <c r="S272" s="29">
        <f t="shared" si="86"/>
        <v>0</v>
      </c>
      <c r="T272" s="29">
        <f t="shared" si="87"/>
        <v>14402.882916702147</v>
      </c>
      <c r="U272">
        <f t="shared" si="88"/>
        <v>0</v>
      </c>
      <c r="V272" s="29">
        <f t="shared" si="89"/>
        <v>0</v>
      </c>
      <c r="W272" s="29">
        <f t="shared" si="90"/>
        <v>0</v>
      </c>
      <c r="X272" s="29">
        <f t="shared" si="91"/>
        <v>14402.882916702147</v>
      </c>
      <c r="Y272">
        <f t="shared" si="92"/>
        <v>0</v>
      </c>
    </row>
    <row r="273" spans="1:25" x14ac:dyDescent="0.25">
      <c r="A273" s="4" t="s">
        <v>1178</v>
      </c>
      <c r="B273" s="7" t="s">
        <v>304</v>
      </c>
      <c r="C273" s="2" t="s">
        <v>1179</v>
      </c>
      <c r="D273">
        <f>VLOOKUP(B273,'Model allocations'!$A$1:$L$317,6,FALSE)</f>
        <v>110310.85857464984</v>
      </c>
      <c r="E273" s="31">
        <f>VLOOKUP(B273,'Initial adjusted formula count'!$A$1:$P$317,12,FALSE)</f>
        <v>8.3388484447385794E-2</v>
      </c>
      <c r="F273">
        <f>VLOOKUP(B273,'Model allocations'!$A$1:$L$317,11,FALSE)</f>
        <v>93764.229788452358</v>
      </c>
      <c r="G273" s="30">
        <f t="shared" si="93"/>
        <v>0.85</v>
      </c>
      <c r="H273">
        <f t="shared" si="94"/>
        <v>93764.229788452358</v>
      </c>
      <c r="I273">
        <f t="shared" si="76"/>
        <v>0</v>
      </c>
      <c r="J273">
        <f t="shared" si="77"/>
        <v>93764.229788452358</v>
      </c>
      <c r="K273">
        <f t="shared" si="78"/>
        <v>93709.540004820141</v>
      </c>
      <c r="L273">
        <f t="shared" si="79"/>
        <v>93709.540004820141</v>
      </c>
      <c r="M273">
        <f t="shared" si="80"/>
        <v>93764.229788452358</v>
      </c>
      <c r="N273" s="29">
        <f t="shared" si="81"/>
        <v>0</v>
      </c>
      <c r="O273" s="29">
        <f t="shared" si="82"/>
        <v>0</v>
      </c>
      <c r="P273" s="29">
        <f t="shared" si="83"/>
        <v>93764.229788452358</v>
      </c>
      <c r="Q273">
        <f t="shared" si="84"/>
        <v>0</v>
      </c>
      <c r="R273" s="29">
        <f t="shared" si="85"/>
        <v>0</v>
      </c>
      <c r="S273" s="29">
        <f t="shared" si="86"/>
        <v>0</v>
      </c>
      <c r="T273" s="29">
        <f t="shared" si="87"/>
        <v>93764.229788452358</v>
      </c>
      <c r="U273">
        <f t="shared" si="88"/>
        <v>0</v>
      </c>
      <c r="V273" s="29">
        <f t="shared" si="89"/>
        <v>0</v>
      </c>
      <c r="W273" s="29">
        <f t="shared" si="90"/>
        <v>0</v>
      </c>
      <c r="X273" s="29">
        <f t="shared" si="91"/>
        <v>93764.229788452358</v>
      </c>
      <c r="Y273">
        <f t="shared" si="92"/>
        <v>0</v>
      </c>
    </row>
    <row r="274" spans="1:25" x14ac:dyDescent="0.25">
      <c r="A274" s="4" t="s">
        <v>1180</v>
      </c>
      <c r="B274" s="7" t="s">
        <v>239</v>
      </c>
      <c r="C274" s="2" t="s">
        <v>1181</v>
      </c>
      <c r="D274">
        <f>VLOOKUP(B274,'Model allocations'!$A$1:$L$317,6,FALSE)</f>
        <v>14269.604413175957</v>
      </c>
      <c r="E274" s="31">
        <f>VLOOKUP(B274,'Initial adjusted formula count'!$A$1:$P$317,12,FALSE)</f>
        <v>0.15384615384615399</v>
      </c>
      <c r="F274">
        <f>VLOOKUP(B274,'Model allocations'!$A$1:$L$317,11,FALSE)</f>
        <v>18258.015611714753</v>
      </c>
      <c r="G274" s="30">
        <f t="shared" si="93"/>
        <v>0.9</v>
      </c>
      <c r="H274">
        <f t="shared" si="94"/>
        <v>12842.643971858362</v>
      </c>
      <c r="I274">
        <f t="shared" si="76"/>
        <v>0</v>
      </c>
      <c r="J274">
        <f t="shared" si="77"/>
        <v>18258.015611714753</v>
      </c>
      <c r="K274">
        <f t="shared" si="78"/>
        <v>18247.366274268999</v>
      </c>
      <c r="L274">
        <f t="shared" si="79"/>
        <v>18247.366274268999</v>
      </c>
      <c r="M274">
        <f t="shared" si="80"/>
        <v>0</v>
      </c>
      <c r="N274" s="29">
        <f t="shared" si="81"/>
        <v>18247.366274268999</v>
      </c>
      <c r="O274" s="29">
        <f t="shared" si="82"/>
        <v>18245.977123038043</v>
      </c>
      <c r="P274" s="29">
        <f t="shared" si="83"/>
        <v>18245.977123038043</v>
      </c>
      <c r="Q274">
        <f t="shared" si="84"/>
        <v>0</v>
      </c>
      <c r="R274" s="29">
        <f t="shared" si="85"/>
        <v>18245.977123038043</v>
      </c>
      <c r="S274" s="29">
        <f t="shared" si="86"/>
        <v>18245.977123038043</v>
      </c>
      <c r="T274" s="29">
        <f t="shared" si="87"/>
        <v>18245.977123038043</v>
      </c>
      <c r="U274">
        <f t="shared" si="88"/>
        <v>0</v>
      </c>
      <c r="V274" s="29">
        <f t="shared" si="89"/>
        <v>18245.977123038043</v>
      </c>
      <c r="W274" s="29">
        <f t="shared" si="90"/>
        <v>18245.977123038043</v>
      </c>
      <c r="X274" s="29">
        <f t="shared" si="91"/>
        <v>18245.977123038043</v>
      </c>
      <c r="Y274">
        <f t="shared" si="92"/>
        <v>0</v>
      </c>
    </row>
    <row r="275" spans="1:25" x14ac:dyDescent="0.25">
      <c r="A275" s="4" t="s">
        <v>1182</v>
      </c>
      <c r="B275" s="7" t="s">
        <v>241</v>
      </c>
      <c r="C275" s="2" t="s">
        <v>1183</v>
      </c>
      <c r="D275">
        <f>VLOOKUP(B275,'Model allocations'!$A$1:$L$317,6,FALSE)</f>
        <v>49781.310536252233</v>
      </c>
      <c r="E275" s="31">
        <f>VLOOKUP(B275,'Initial adjusted formula count'!$A$1:$P$317,12,FALSE)</f>
        <v>7.9861111111111105E-2</v>
      </c>
      <c r="F275">
        <f>VLOOKUP(B275,'Model allocations'!$A$1:$L$317,11,FALSE)</f>
        <v>42314.113955814399</v>
      </c>
      <c r="G275" s="30">
        <f t="shared" si="93"/>
        <v>0.85</v>
      </c>
      <c r="H275">
        <f t="shared" si="94"/>
        <v>42314.113955814399</v>
      </c>
      <c r="I275">
        <f t="shared" si="76"/>
        <v>0</v>
      </c>
      <c r="J275">
        <f t="shared" si="77"/>
        <v>42314.113955814399</v>
      </c>
      <c r="K275">
        <f t="shared" si="78"/>
        <v>42289.43343807268</v>
      </c>
      <c r="L275">
        <f t="shared" si="79"/>
        <v>42289.43343807268</v>
      </c>
      <c r="M275">
        <f t="shared" si="80"/>
        <v>42314.113955814399</v>
      </c>
      <c r="N275" s="29">
        <f t="shared" si="81"/>
        <v>0</v>
      </c>
      <c r="O275" s="29">
        <f t="shared" si="82"/>
        <v>0</v>
      </c>
      <c r="P275" s="29">
        <f t="shared" si="83"/>
        <v>42314.113955814399</v>
      </c>
      <c r="Q275">
        <f t="shared" si="84"/>
        <v>0</v>
      </c>
      <c r="R275" s="29">
        <f t="shared" si="85"/>
        <v>0</v>
      </c>
      <c r="S275" s="29">
        <f t="shared" si="86"/>
        <v>0</v>
      </c>
      <c r="T275" s="29">
        <f t="shared" si="87"/>
        <v>42314.113955814399</v>
      </c>
      <c r="U275">
        <f t="shared" si="88"/>
        <v>0</v>
      </c>
      <c r="V275" s="29">
        <f t="shared" si="89"/>
        <v>0</v>
      </c>
      <c r="W275" s="29">
        <f t="shared" si="90"/>
        <v>0</v>
      </c>
      <c r="X275" s="29">
        <f t="shared" si="91"/>
        <v>42314.113955814399</v>
      </c>
      <c r="Y275">
        <f t="shared" si="92"/>
        <v>0</v>
      </c>
    </row>
    <row r="276" spans="1:25" x14ac:dyDescent="0.25">
      <c r="A276" s="8" t="s">
        <v>1184</v>
      </c>
      <c r="B276" s="7" t="s">
        <v>604</v>
      </c>
      <c r="C276" s="2" t="s">
        <v>1185</v>
      </c>
      <c r="D276">
        <f>VLOOKUP(B276,'Model allocations'!$A$1:$L$317,6,FALSE)</f>
        <v>258216.09230349341</v>
      </c>
      <c r="E276" s="31">
        <f>VLOOKUP(B276,'Initial adjusted formula count'!$A$1:$P$317,12,FALSE)</f>
        <v>0.24545454545454501</v>
      </c>
      <c r="F276">
        <f>VLOOKUP(B276,'Model allocations'!$A$1:$L$317,11,FALSE)</f>
        <v>232394.48307314407</v>
      </c>
      <c r="G276" s="30">
        <f t="shared" si="93"/>
        <v>0.9</v>
      </c>
      <c r="H276">
        <f t="shared" si="94"/>
        <v>232394.48307314407</v>
      </c>
      <c r="I276">
        <f t="shared" si="76"/>
        <v>0</v>
      </c>
      <c r="J276">
        <f t="shared" si="77"/>
        <v>232394.48307314407</v>
      </c>
      <c r="K276">
        <f t="shared" si="78"/>
        <v>232258.93453800157</v>
      </c>
      <c r="L276">
        <f t="shared" si="79"/>
        <v>232258.93453800157</v>
      </c>
      <c r="M276">
        <f t="shared" si="80"/>
        <v>232394.48307314407</v>
      </c>
      <c r="N276" s="29">
        <f t="shared" si="81"/>
        <v>0</v>
      </c>
      <c r="O276" s="29">
        <f t="shared" si="82"/>
        <v>0</v>
      </c>
      <c r="P276" s="29">
        <f t="shared" si="83"/>
        <v>232394.48307314407</v>
      </c>
      <c r="Q276">
        <f t="shared" si="84"/>
        <v>0</v>
      </c>
      <c r="R276" s="29">
        <f t="shared" si="85"/>
        <v>0</v>
      </c>
      <c r="S276" s="29">
        <f t="shared" si="86"/>
        <v>0</v>
      </c>
      <c r="T276" s="29">
        <f t="shared" si="87"/>
        <v>232394.48307314407</v>
      </c>
      <c r="U276">
        <f t="shared" si="88"/>
        <v>0</v>
      </c>
      <c r="V276" s="29">
        <f t="shared" si="89"/>
        <v>0</v>
      </c>
      <c r="W276" s="29">
        <f t="shared" si="90"/>
        <v>0</v>
      </c>
      <c r="X276" s="29">
        <f t="shared" si="91"/>
        <v>232394.48307314407</v>
      </c>
      <c r="Y276">
        <f t="shared" si="92"/>
        <v>0</v>
      </c>
    </row>
    <row r="277" spans="1:25" x14ac:dyDescent="0.25">
      <c r="A277" s="4" t="s">
        <v>1186</v>
      </c>
      <c r="B277" s="7" t="s">
        <v>606</v>
      </c>
      <c r="C277" s="2" t="s">
        <v>1187</v>
      </c>
      <c r="D277">
        <f>VLOOKUP(B277,'Model allocations'!$A$1:$L$317,6,FALSE)</f>
        <v>485385.03147813358</v>
      </c>
      <c r="E277" s="31">
        <f>VLOOKUP(B277,'Initial adjusted formula count'!$A$1:$P$317,12,FALSE)</f>
        <v>0.19354838709677399</v>
      </c>
      <c r="F277">
        <f>VLOOKUP(B277,'Model allocations'!$A$1:$L$317,11,FALSE)</f>
        <v>439502.84375168482</v>
      </c>
      <c r="G277" s="30">
        <f t="shared" si="93"/>
        <v>0.9</v>
      </c>
      <c r="H277">
        <f t="shared" si="94"/>
        <v>436846.5283303202</v>
      </c>
      <c r="I277">
        <f t="shared" si="76"/>
        <v>0</v>
      </c>
      <c r="J277">
        <f t="shared" si="77"/>
        <v>439502.84375168482</v>
      </c>
      <c r="K277">
        <f t="shared" si="78"/>
        <v>439246.49529679155</v>
      </c>
      <c r="L277">
        <f t="shared" si="79"/>
        <v>439246.49529679155</v>
      </c>
      <c r="M277">
        <f t="shared" si="80"/>
        <v>0</v>
      </c>
      <c r="N277" s="29">
        <f t="shared" si="81"/>
        <v>439246.49529679155</v>
      </c>
      <c r="O277" s="29">
        <f t="shared" si="82"/>
        <v>439213.05596091895</v>
      </c>
      <c r="P277" s="29">
        <f t="shared" si="83"/>
        <v>439213.05596091895</v>
      </c>
      <c r="Q277">
        <f t="shared" si="84"/>
        <v>0</v>
      </c>
      <c r="R277" s="29">
        <f t="shared" si="85"/>
        <v>439213.05596091895</v>
      </c>
      <c r="S277" s="29">
        <f t="shared" si="86"/>
        <v>439213.05596091895</v>
      </c>
      <c r="T277" s="29">
        <f t="shared" si="87"/>
        <v>439213.05596091895</v>
      </c>
      <c r="U277">
        <f t="shared" si="88"/>
        <v>0</v>
      </c>
      <c r="V277" s="29">
        <f t="shared" si="89"/>
        <v>439213.05596091895</v>
      </c>
      <c r="W277" s="29">
        <f t="shared" si="90"/>
        <v>439213.05596091895</v>
      </c>
      <c r="X277" s="29">
        <f t="shared" si="91"/>
        <v>439213.05596091895</v>
      </c>
      <c r="Y277">
        <f t="shared" si="92"/>
        <v>0</v>
      </c>
    </row>
    <row r="278" spans="1:25" x14ac:dyDescent="0.25">
      <c r="A278" s="4" t="s">
        <v>1188</v>
      </c>
      <c r="B278" s="7" t="s">
        <v>243</v>
      </c>
      <c r="C278" s="2" t="s">
        <v>1189</v>
      </c>
      <c r="D278">
        <f>VLOOKUP(B278,'Model allocations'!$A$1:$L$317,6,FALSE)</f>
        <v>15839.507897898438</v>
      </c>
      <c r="E278" s="31">
        <f>VLOOKUP(B278,'Initial adjusted formula count'!$A$1:$P$317,12,FALSE)</f>
        <v>0.10958904109589</v>
      </c>
      <c r="F278">
        <f>VLOOKUP(B278,'Model allocations'!$A$1:$L$317,11,FALSE)</f>
        <v>13693.511708786062</v>
      </c>
      <c r="G278" s="30">
        <f t="shared" si="93"/>
        <v>0.85</v>
      </c>
      <c r="H278">
        <f t="shared" si="94"/>
        <v>13463.581713213673</v>
      </c>
      <c r="I278">
        <f t="shared" si="76"/>
        <v>0</v>
      </c>
      <c r="J278">
        <f t="shared" si="77"/>
        <v>13693.511708786062</v>
      </c>
      <c r="K278">
        <f t="shared" si="78"/>
        <v>13685.524705701748</v>
      </c>
      <c r="L278">
        <f t="shared" si="79"/>
        <v>13685.524705701748</v>
      </c>
      <c r="M278">
        <f t="shared" si="80"/>
        <v>0</v>
      </c>
      <c r="N278" s="29">
        <f t="shared" si="81"/>
        <v>13685.524705701748</v>
      </c>
      <c r="O278" s="29">
        <f t="shared" si="82"/>
        <v>13684.48284227853</v>
      </c>
      <c r="P278" s="29">
        <f t="shared" si="83"/>
        <v>13684.48284227853</v>
      </c>
      <c r="Q278">
        <f t="shared" si="84"/>
        <v>0</v>
      </c>
      <c r="R278" s="29">
        <f t="shared" si="85"/>
        <v>13684.48284227853</v>
      </c>
      <c r="S278" s="29">
        <f t="shared" si="86"/>
        <v>13684.48284227853</v>
      </c>
      <c r="T278" s="29">
        <f t="shared" si="87"/>
        <v>13684.48284227853</v>
      </c>
      <c r="U278">
        <f t="shared" si="88"/>
        <v>0</v>
      </c>
      <c r="V278" s="29">
        <f t="shared" si="89"/>
        <v>13684.48284227853</v>
      </c>
      <c r="W278" s="29">
        <f t="shared" si="90"/>
        <v>13684.48284227853</v>
      </c>
      <c r="X278" s="29">
        <f t="shared" si="91"/>
        <v>13684.48284227853</v>
      </c>
      <c r="Y278">
        <f t="shared" si="92"/>
        <v>0</v>
      </c>
    </row>
    <row r="279" spans="1:25" x14ac:dyDescent="0.25">
      <c r="A279" s="4" t="s">
        <v>1190</v>
      </c>
      <c r="B279" s="7" t="s">
        <v>245</v>
      </c>
      <c r="C279" s="2" t="s">
        <v>1191</v>
      </c>
      <c r="D279">
        <f>VLOOKUP(B279,'Model allocations'!$A$1:$L$317,6,FALSE)</f>
        <v>42427.253297942247</v>
      </c>
      <c r="E279" s="31">
        <f>VLOOKUP(B279,'Initial adjusted formula count'!$A$1:$P$317,12,FALSE)</f>
        <v>9.1025641025640994E-2</v>
      </c>
      <c r="F279">
        <f>VLOOKUP(B279,'Model allocations'!$A$1:$L$317,11,FALSE)</f>
        <v>40509.972138492099</v>
      </c>
      <c r="G279" s="30">
        <f t="shared" si="93"/>
        <v>0.85</v>
      </c>
      <c r="H279">
        <f t="shared" si="94"/>
        <v>36063.165303250906</v>
      </c>
      <c r="I279">
        <f t="shared" si="76"/>
        <v>0</v>
      </c>
      <c r="J279">
        <f t="shared" si="77"/>
        <v>40509.972138492099</v>
      </c>
      <c r="K279">
        <f t="shared" si="78"/>
        <v>40486.343921034335</v>
      </c>
      <c r="L279">
        <f t="shared" si="79"/>
        <v>40486.343921034335</v>
      </c>
      <c r="M279">
        <f t="shared" si="80"/>
        <v>0</v>
      </c>
      <c r="N279" s="29">
        <f t="shared" si="81"/>
        <v>40486.343921034335</v>
      </c>
      <c r="O279" s="29">
        <f t="shared" si="82"/>
        <v>40483.261741740644</v>
      </c>
      <c r="P279" s="29">
        <f t="shared" si="83"/>
        <v>40483.261741740644</v>
      </c>
      <c r="Q279">
        <f t="shared" si="84"/>
        <v>0</v>
      </c>
      <c r="R279" s="29">
        <f t="shared" si="85"/>
        <v>40483.261741740644</v>
      </c>
      <c r="S279" s="29">
        <f t="shared" si="86"/>
        <v>40483.261741740644</v>
      </c>
      <c r="T279" s="29">
        <f t="shared" si="87"/>
        <v>40483.261741740644</v>
      </c>
      <c r="U279">
        <f t="shared" si="88"/>
        <v>0</v>
      </c>
      <c r="V279" s="29">
        <f t="shared" si="89"/>
        <v>40483.261741740644</v>
      </c>
      <c r="W279" s="29">
        <f t="shared" si="90"/>
        <v>40483.261741740644</v>
      </c>
      <c r="X279" s="29">
        <f t="shared" si="91"/>
        <v>40483.261741740644</v>
      </c>
      <c r="Y279">
        <f t="shared" si="92"/>
        <v>0</v>
      </c>
    </row>
    <row r="280" spans="1:25" x14ac:dyDescent="0.25">
      <c r="A280" s="4" t="s">
        <v>1192</v>
      </c>
      <c r="B280" s="7" t="s">
        <v>608</v>
      </c>
      <c r="C280" s="2" t="s">
        <v>1193</v>
      </c>
      <c r="D280">
        <f>VLOOKUP(B280,'Model allocations'!$A$1:$L$317,6,FALSE)</f>
        <v>30656.463411935518</v>
      </c>
      <c r="E280" s="31">
        <f>VLOOKUP(B280,'Initial adjusted formula count'!$A$1:$P$317,12,FALSE)</f>
        <v>0.20297029702970301</v>
      </c>
      <c r="F280">
        <f>VLOOKUP(B280,'Model allocations'!$A$1:$L$317,11,FALSE)</f>
        <v>27590.817070741967</v>
      </c>
      <c r="G280" s="30">
        <f t="shared" si="93"/>
        <v>0.9</v>
      </c>
      <c r="H280">
        <f t="shared" si="94"/>
        <v>27590.817070741967</v>
      </c>
      <c r="I280">
        <f t="shared" si="76"/>
        <v>0</v>
      </c>
      <c r="J280">
        <f t="shared" si="77"/>
        <v>27590.817070741967</v>
      </c>
      <c r="K280">
        <f t="shared" si="78"/>
        <v>27574.724198020256</v>
      </c>
      <c r="L280">
        <f t="shared" si="79"/>
        <v>27574.724198020256</v>
      </c>
      <c r="M280">
        <f t="shared" si="80"/>
        <v>27590.817070741967</v>
      </c>
      <c r="N280" s="29">
        <f t="shared" si="81"/>
        <v>0</v>
      </c>
      <c r="O280" s="29">
        <f t="shared" si="82"/>
        <v>0</v>
      </c>
      <c r="P280" s="29">
        <f t="shared" si="83"/>
        <v>27590.817070741967</v>
      </c>
      <c r="Q280">
        <f t="shared" si="84"/>
        <v>0</v>
      </c>
      <c r="R280" s="29">
        <f t="shared" si="85"/>
        <v>0</v>
      </c>
      <c r="S280" s="29">
        <f t="shared" si="86"/>
        <v>0</v>
      </c>
      <c r="T280" s="29">
        <f t="shared" si="87"/>
        <v>27590.817070741967</v>
      </c>
      <c r="U280">
        <f t="shared" si="88"/>
        <v>0</v>
      </c>
      <c r="V280" s="29">
        <f t="shared" si="89"/>
        <v>0</v>
      </c>
      <c r="W280" s="29">
        <f t="shared" si="90"/>
        <v>0</v>
      </c>
      <c r="X280" s="29">
        <f t="shared" si="91"/>
        <v>27590.817070741967</v>
      </c>
      <c r="Y280">
        <f t="shared" si="92"/>
        <v>0</v>
      </c>
    </row>
    <row r="281" spans="1:25" x14ac:dyDescent="0.25">
      <c r="A281" s="4" t="s">
        <v>43</v>
      </c>
      <c r="B281" s="7" t="s">
        <v>60</v>
      </c>
      <c r="C281" s="2" t="s">
        <v>1194</v>
      </c>
      <c r="D281">
        <f>VLOOKUP(B281,'Model allocations'!$A$1:$L$317,6,FALSE)</f>
        <v>335648.88728929288</v>
      </c>
      <c r="E281" s="31">
        <f>VLOOKUP(B281,'Initial adjusted formula count'!$A$1:$P$317,12,FALSE)</f>
        <v>0.223243807033351</v>
      </c>
      <c r="F281">
        <f>VLOOKUP(B281,'Model allocations'!$A$1:$L$317,11,FALSE)</f>
        <v>347945.55579906079</v>
      </c>
      <c r="G281" s="30">
        <f t="shared" si="93"/>
        <v>0.9</v>
      </c>
      <c r="H281">
        <f t="shared" si="94"/>
        <v>302083.9985603636</v>
      </c>
      <c r="I281">
        <f t="shared" si="76"/>
        <v>0</v>
      </c>
      <c r="J281">
        <f t="shared" si="77"/>
        <v>347945.55579906079</v>
      </c>
      <c r="K281">
        <f t="shared" si="78"/>
        <v>347742.60988668702</v>
      </c>
      <c r="L281">
        <f t="shared" si="79"/>
        <v>347742.60988668702</v>
      </c>
      <c r="M281">
        <f t="shared" si="80"/>
        <v>0</v>
      </c>
      <c r="N281" s="29">
        <f t="shared" si="81"/>
        <v>347742.60988668702</v>
      </c>
      <c r="O281" s="29">
        <f t="shared" si="82"/>
        <v>347716.13663748931</v>
      </c>
      <c r="P281" s="29">
        <f t="shared" si="83"/>
        <v>347716.13663748931</v>
      </c>
      <c r="Q281">
        <f t="shared" si="84"/>
        <v>0</v>
      </c>
      <c r="R281" s="29">
        <f t="shared" si="85"/>
        <v>347716.13663748931</v>
      </c>
      <c r="S281" s="29">
        <f t="shared" si="86"/>
        <v>347716.13663748931</v>
      </c>
      <c r="T281" s="29">
        <f t="shared" si="87"/>
        <v>347716.13663748931</v>
      </c>
      <c r="U281">
        <f t="shared" si="88"/>
        <v>0</v>
      </c>
      <c r="V281" s="29">
        <f t="shared" si="89"/>
        <v>347716.13663748931</v>
      </c>
      <c r="W281" s="29">
        <f t="shared" si="90"/>
        <v>347716.13663748931</v>
      </c>
      <c r="X281" s="29">
        <f t="shared" si="91"/>
        <v>347716.13663748931</v>
      </c>
      <c r="Y281">
        <f t="shared" si="92"/>
        <v>0</v>
      </c>
    </row>
    <row r="282" spans="1:25" x14ac:dyDescent="0.25">
      <c r="A282" s="4" t="s">
        <v>1195</v>
      </c>
      <c r="B282" s="7" t="s">
        <v>247</v>
      </c>
      <c r="C282" s="2" t="s">
        <v>1196</v>
      </c>
      <c r="D282">
        <f>VLOOKUP(B282,'Model allocations'!$A$1:$L$317,6,FALSE)</f>
        <v>371662.73888997402</v>
      </c>
      <c r="E282" s="31">
        <f>VLOOKUP(B282,'Initial adjusted formula count'!$A$1:$P$317,12,FALSE)</f>
        <v>9.2258440046565804E-2</v>
      </c>
      <c r="F282">
        <f>VLOOKUP(B282,'Model allocations'!$A$1:$L$317,11,FALSE)</f>
        <v>361736.93430709845</v>
      </c>
      <c r="G282" s="30">
        <f t="shared" si="93"/>
        <v>0.85</v>
      </c>
      <c r="H282">
        <f t="shared" si="94"/>
        <v>315913.32805647788</v>
      </c>
      <c r="I282">
        <f t="shared" si="76"/>
        <v>0</v>
      </c>
      <c r="J282">
        <f t="shared" si="77"/>
        <v>361736.93430709845</v>
      </c>
      <c r="K282">
        <f t="shared" si="78"/>
        <v>361525.94430895447</v>
      </c>
      <c r="L282">
        <f t="shared" si="79"/>
        <v>361525.94430895447</v>
      </c>
      <c r="M282">
        <f t="shared" si="80"/>
        <v>0</v>
      </c>
      <c r="N282" s="29">
        <f t="shared" si="81"/>
        <v>361525.94430895447</v>
      </c>
      <c r="O282" s="29">
        <f t="shared" si="82"/>
        <v>361498.42175019108</v>
      </c>
      <c r="P282" s="29">
        <f t="shared" si="83"/>
        <v>361498.42175019108</v>
      </c>
      <c r="Q282">
        <f t="shared" si="84"/>
        <v>0</v>
      </c>
      <c r="R282" s="29">
        <f t="shared" si="85"/>
        <v>361498.42175019108</v>
      </c>
      <c r="S282" s="29">
        <f t="shared" si="86"/>
        <v>361498.42175019108</v>
      </c>
      <c r="T282" s="29">
        <f t="shared" si="87"/>
        <v>361498.42175019108</v>
      </c>
      <c r="U282">
        <f t="shared" si="88"/>
        <v>0</v>
      </c>
      <c r="V282" s="29">
        <f t="shared" si="89"/>
        <v>361498.42175019108</v>
      </c>
      <c r="W282" s="29">
        <f t="shared" si="90"/>
        <v>361498.42175019108</v>
      </c>
      <c r="X282" s="29">
        <f t="shared" si="91"/>
        <v>361498.42175019108</v>
      </c>
      <c r="Y282">
        <f t="shared" si="92"/>
        <v>0</v>
      </c>
    </row>
    <row r="283" spans="1:25" x14ac:dyDescent="0.25">
      <c r="A283" s="4" t="s">
        <v>1197</v>
      </c>
      <c r="B283" s="7" t="s">
        <v>610</v>
      </c>
      <c r="C283" s="2" t="s">
        <v>1198</v>
      </c>
      <c r="D283">
        <f>VLOOKUP(B283,'Model allocations'!$A$1:$L$317,6,FALSE)</f>
        <v>156151.10155205624</v>
      </c>
      <c r="E283" s="31">
        <f>VLOOKUP(B283,'Initial adjusted formula count'!$A$1:$P$317,12,FALSE)</f>
        <v>0.31111111111111101</v>
      </c>
      <c r="F283">
        <f>VLOOKUP(B283,'Model allocations'!$A$1:$L$317,11,FALSE)</f>
        <v>232111.44229753732</v>
      </c>
      <c r="G283" s="30">
        <f t="shared" si="93"/>
        <v>0.95</v>
      </c>
      <c r="H283">
        <f t="shared" si="94"/>
        <v>148343.54647445341</v>
      </c>
      <c r="I283">
        <f t="shared" si="76"/>
        <v>0</v>
      </c>
      <c r="J283">
        <f t="shared" si="77"/>
        <v>232111.44229753732</v>
      </c>
      <c r="K283">
        <f t="shared" si="78"/>
        <v>231976.05885135048</v>
      </c>
      <c r="L283">
        <f t="shared" si="79"/>
        <v>231976.05885135048</v>
      </c>
      <c r="M283">
        <f t="shared" si="80"/>
        <v>0</v>
      </c>
      <c r="N283" s="29">
        <f t="shared" si="81"/>
        <v>231976.05885135048</v>
      </c>
      <c r="O283" s="29">
        <f t="shared" si="82"/>
        <v>231958.39877795347</v>
      </c>
      <c r="P283" s="29">
        <f t="shared" si="83"/>
        <v>231958.39877795347</v>
      </c>
      <c r="Q283">
        <f t="shared" si="84"/>
        <v>0</v>
      </c>
      <c r="R283" s="29">
        <f t="shared" si="85"/>
        <v>231958.39877795347</v>
      </c>
      <c r="S283" s="29">
        <f t="shared" si="86"/>
        <v>231958.39877795347</v>
      </c>
      <c r="T283" s="29">
        <f t="shared" si="87"/>
        <v>231958.39877795347</v>
      </c>
      <c r="U283">
        <f t="shared" si="88"/>
        <v>0</v>
      </c>
      <c r="V283" s="29">
        <f t="shared" si="89"/>
        <v>231958.39877795347</v>
      </c>
      <c r="W283" s="29">
        <f t="shared" si="90"/>
        <v>231958.39877795347</v>
      </c>
      <c r="X283" s="29">
        <f t="shared" si="91"/>
        <v>231958.39877795347</v>
      </c>
      <c r="Y283">
        <f t="shared" si="92"/>
        <v>0</v>
      </c>
    </row>
    <row r="284" spans="1:25" x14ac:dyDescent="0.25">
      <c r="A284" s="4" t="s">
        <v>1199</v>
      </c>
      <c r="B284" s="7" t="s">
        <v>249</v>
      </c>
      <c r="C284" s="2" t="s">
        <v>1200</v>
      </c>
      <c r="D284">
        <f>VLOOKUP(B284,'Model allocations'!$A$1:$L$317,6,FALSE)</f>
        <v>261351.88031532418</v>
      </c>
      <c r="E284" s="31">
        <f>VLOOKUP(B284,'Initial adjusted formula count'!$A$1:$P$317,12,FALSE)</f>
        <v>8.2722513089005204E-2</v>
      </c>
      <c r="F284">
        <f>VLOOKUP(B284,'Model allocations'!$A$1:$L$317,11,FALSE)</f>
        <v>270446.85624852474</v>
      </c>
      <c r="G284" s="30">
        <f t="shared" si="93"/>
        <v>0.85</v>
      </c>
      <c r="H284">
        <f t="shared" si="94"/>
        <v>222149.09826802555</v>
      </c>
      <c r="I284">
        <f t="shared" si="76"/>
        <v>0</v>
      </c>
      <c r="J284">
        <f t="shared" si="77"/>
        <v>270446.85624852474</v>
      </c>
      <c r="K284">
        <f t="shared" si="78"/>
        <v>270289.11293760955</v>
      </c>
      <c r="L284">
        <f t="shared" si="79"/>
        <v>270289.11293760955</v>
      </c>
      <c r="M284">
        <f t="shared" si="80"/>
        <v>0</v>
      </c>
      <c r="N284" s="29">
        <f t="shared" si="81"/>
        <v>270289.11293760955</v>
      </c>
      <c r="O284" s="29">
        <f t="shared" si="82"/>
        <v>270268.53613500099</v>
      </c>
      <c r="P284" s="29">
        <f t="shared" si="83"/>
        <v>270268.53613500099</v>
      </c>
      <c r="Q284">
        <f t="shared" si="84"/>
        <v>0</v>
      </c>
      <c r="R284" s="29">
        <f t="shared" si="85"/>
        <v>270268.53613500099</v>
      </c>
      <c r="S284" s="29">
        <f t="shared" si="86"/>
        <v>270268.53613500099</v>
      </c>
      <c r="T284" s="29">
        <f t="shared" si="87"/>
        <v>270268.53613500099</v>
      </c>
      <c r="U284">
        <f t="shared" si="88"/>
        <v>0</v>
      </c>
      <c r="V284" s="29">
        <f t="shared" si="89"/>
        <v>270268.53613500099</v>
      </c>
      <c r="W284" s="29">
        <f t="shared" si="90"/>
        <v>270268.53613500099</v>
      </c>
      <c r="X284" s="29">
        <f t="shared" si="91"/>
        <v>270268.53613500099</v>
      </c>
      <c r="Y284">
        <f t="shared" si="92"/>
        <v>0</v>
      </c>
    </row>
    <row r="285" spans="1:25" x14ac:dyDescent="0.25">
      <c r="A285" s="4" t="s">
        <v>1201</v>
      </c>
      <c r="B285" s="7" t="s">
        <v>612</v>
      </c>
      <c r="C285" s="2" t="s">
        <v>1202</v>
      </c>
      <c r="D285">
        <f>VLOOKUP(B285,'Model allocations'!$A$1:$L$317,6,FALSE)</f>
        <v>47637.960112853594</v>
      </c>
      <c r="E285" s="31">
        <f>VLOOKUP(B285,'Initial adjusted formula count'!$A$1:$P$317,12,FALSE)</f>
        <v>0.26206896551724101</v>
      </c>
      <c r="F285">
        <f>VLOOKUP(B285,'Model allocations'!$A$1:$L$317,11,FALSE)</f>
        <v>61634.638841993044</v>
      </c>
      <c r="G285" s="30">
        <f t="shared" si="93"/>
        <v>0.9</v>
      </c>
      <c r="H285">
        <f t="shared" si="94"/>
        <v>42874.164101568233</v>
      </c>
      <c r="I285">
        <f t="shared" si="76"/>
        <v>0</v>
      </c>
      <c r="J285">
        <f t="shared" si="77"/>
        <v>61634.638841993044</v>
      </c>
      <c r="K285">
        <f t="shared" si="78"/>
        <v>61598.6892579126</v>
      </c>
      <c r="L285">
        <f t="shared" si="79"/>
        <v>61598.6892579126</v>
      </c>
      <c r="M285">
        <f t="shared" si="80"/>
        <v>0</v>
      </c>
      <c r="N285" s="29">
        <f t="shared" si="81"/>
        <v>61598.6892579126</v>
      </c>
      <c r="O285" s="29">
        <f t="shared" si="82"/>
        <v>61593.999819791949</v>
      </c>
      <c r="P285" s="29">
        <f t="shared" si="83"/>
        <v>61593.999819791949</v>
      </c>
      <c r="Q285">
        <f t="shared" si="84"/>
        <v>0</v>
      </c>
      <c r="R285" s="29">
        <f t="shared" si="85"/>
        <v>61593.999819791949</v>
      </c>
      <c r="S285" s="29">
        <f t="shared" si="86"/>
        <v>61593.999819791949</v>
      </c>
      <c r="T285" s="29">
        <f t="shared" si="87"/>
        <v>61593.999819791949</v>
      </c>
      <c r="U285">
        <f t="shared" si="88"/>
        <v>0</v>
      </c>
      <c r="V285" s="29">
        <f t="shared" si="89"/>
        <v>61593.999819791949</v>
      </c>
      <c r="W285" s="29">
        <f t="shared" si="90"/>
        <v>61593.999819791949</v>
      </c>
      <c r="X285" s="29">
        <f t="shared" si="91"/>
        <v>61593.999819791949</v>
      </c>
      <c r="Y285">
        <f t="shared" si="92"/>
        <v>0</v>
      </c>
    </row>
    <row r="286" spans="1:25" x14ac:dyDescent="0.25">
      <c r="A286" s="4" t="s">
        <v>49</v>
      </c>
      <c r="B286" s="7" t="s">
        <v>63</v>
      </c>
      <c r="C286" s="2" t="s">
        <v>1203</v>
      </c>
      <c r="D286">
        <f>VLOOKUP(B286,'Model allocations'!$A$1:$L$317,6,FALSE)</f>
        <v>2348000.1597352899</v>
      </c>
      <c r="E286" s="31">
        <f>VLOOKUP(B286,'Initial adjusted formula count'!$A$1:$P$317,12,FALSE)</f>
        <v>0.110056601252549</v>
      </c>
      <c r="F286">
        <f>VLOOKUP(B286,'Model allocations'!$A$1:$L$317,11,FALSE)</f>
        <v>2264121.8707306203</v>
      </c>
      <c r="G286" s="30">
        <f t="shared" si="93"/>
        <v>0.85</v>
      </c>
      <c r="H286">
        <f t="shared" si="94"/>
        <v>1995800.1357749964</v>
      </c>
      <c r="I286">
        <f t="shared" si="76"/>
        <v>0</v>
      </c>
      <c r="J286">
        <f t="shared" si="77"/>
        <v>2264121.8707306203</v>
      </c>
      <c r="K286">
        <f t="shared" si="78"/>
        <v>2262801.2782668779</v>
      </c>
      <c r="L286">
        <f t="shared" si="79"/>
        <v>2262801.2782668779</v>
      </c>
      <c r="M286">
        <f t="shared" si="80"/>
        <v>0</v>
      </c>
      <c r="N286" s="29">
        <f t="shared" si="81"/>
        <v>2262801.2782668779</v>
      </c>
      <c r="O286" s="29">
        <f t="shared" si="82"/>
        <v>2262629.0137803834</v>
      </c>
      <c r="P286" s="29">
        <f t="shared" si="83"/>
        <v>2262629.0137803834</v>
      </c>
      <c r="Q286">
        <f t="shared" si="84"/>
        <v>0</v>
      </c>
      <c r="R286" s="29">
        <f t="shared" si="85"/>
        <v>2262629.0137803834</v>
      </c>
      <c r="S286" s="29">
        <f t="shared" si="86"/>
        <v>2262629.0137803834</v>
      </c>
      <c r="T286" s="29">
        <f t="shared" si="87"/>
        <v>2262629.0137803834</v>
      </c>
      <c r="U286">
        <f t="shared" si="88"/>
        <v>0</v>
      </c>
      <c r="V286" s="29">
        <f t="shared" si="89"/>
        <v>2262629.0137803834</v>
      </c>
      <c r="W286" s="29">
        <f t="shared" si="90"/>
        <v>2262629.0137803834</v>
      </c>
      <c r="X286" s="29">
        <f t="shared" si="91"/>
        <v>2262629.0137803834</v>
      </c>
      <c r="Y286">
        <f t="shared" si="92"/>
        <v>0</v>
      </c>
    </row>
    <row r="287" spans="1:25" x14ac:dyDescent="0.25">
      <c r="A287" s="4" t="s">
        <v>1204</v>
      </c>
      <c r="B287" s="7" t="s">
        <v>251</v>
      </c>
      <c r="C287" s="2" t="s">
        <v>1205</v>
      </c>
      <c r="D287">
        <f>VLOOKUP(B287,'Model allocations'!$A$1:$L$317,6,FALSE)</f>
        <v>69506.782786760334</v>
      </c>
      <c r="E287" s="31">
        <f>VLOOKUP(B287,'Initial adjusted formula count'!$A$1:$P$317,12,FALSE)</f>
        <v>7.8389830508474603E-2</v>
      </c>
      <c r="F287">
        <f>VLOOKUP(B287,'Model allocations'!$A$1:$L$317,11,FALSE)</f>
        <v>63332.491653135541</v>
      </c>
      <c r="G287" s="30">
        <f t="shared" si="93"/>
        <v>0.85</v>
      </c>
      <c r="H287">
        <f t="shared" si="94"/>
        <v>59080.765368746281</v>
      </c>
      <c r="I287">
        <f t="shared" si="76"/>
        <v>0</v>
      </c>
      <c r="J287">
        <f t="shared" si="77"/>
        <v>63332.491653135541</v>
      </c>
      <c r="K287">
        <f t="shared" si="78"/>
        <v>63295.551763870586</v>
      </c>
      <c r="L287">
        <f t="shared" si="79"/>
        <v>63295.551763870586</v>
      </c>
      <c r="M287">
        <f t="shared" si="80"/>
        <v>0</v>
      </c>
      <c r="N287" s="29">
        <f t="shared" si="81"/>
        <v>63295.551763870586</v>
      </c>
      <c r="O287" s="29">
        <f t="shared" si="82"/>
        <v>63290.733145538201</v>
      </c>
      <c r="P287" s="29">
        <f t="shared" si="83"/>
        <v>63290.733145538201</v>
      </c>
      <c r="Q287">
        <f t="shared" si="84"/>
        <v>0</v>
      </c>
      <c r="R287" s="29">
        <f t="shared" si="85"/>
        <v>63290.733145538201</v>
      </c>
      <c r="S287" s="29">
        <f t="shared" si="86"/>
        <v>63290.733145538201</v>
      </c>
      <c r="T287" s="29">
        <f t="shared" si="87"/>
        <v>63290.733145538201</v>
      </c>
      <c r="U287">
        <f t="shared" si="88"/>
        <v>0</v>
      </c>
      <c r="V287" s="29">
        <f t="shared" si="89"/>
        <v>63290.733145538201</v>
      </c>
      <c r="W287" s="29">
        <f t="shared" si="90"/>
        <v>63290.733145538201</v>
      </c>
      <c r="X287" s="29">
        <f t="shared" si="91"/>
        <v>63290.733145538201</v>
      </c>
      <c r="Y287">
        <f t="shared" si="92"/>
        <v>0</v>
      </c>
    </row>
    <row r="288" spans="1:25" x14ac:dyDescent="0.25">
      <c r="A288" s="4" t="s">
        <v>1206</v>
      </c>
      <c r="B288" s="7" t="s">
        <v>614</v>
      </c>
      <c r="C288" s="2" t="s">
        <v>1207</v>
      </c>
      <c r="D288">
        <f>VLOOKUP(B288,'Model allocations'!$A$1:$L$317,6,FALSE)</f>
        <v>76411.978174215765</v>
      </c>
      <c r="E288" s="31">
        <f>VLOOKUP(B288,'Initial adjusted formula count'!$A$1:$P$317,12,FALSE)</f>
        <v>0.180555555555556</v>
      </c>
      <c r="F288">
        <f>VLOOKUP(B288,'Model allocations'!$A$1:$L$317,11,FALSE)</f>
        <v>68770.780356794188</v>
      </c>
      <c r="G288" s="30">
        <f t="shared" si="93"/>
        <v>0.9</v>
      </c>
      <c r="H288">
        <f t="shared" si="94"/>
        <v>68770.780356794188</v>
      </c>
      <c r="I288">
        <f t="shared" si="76"/>
        <v>0</v>
      </c>
      <c r="J288">
        <f t="shared" si="77"/>
        <v>68770.780356794188</v>
      </c>
      <c r="K288">
        <f t="shared" si="78"/>
        <v>68730.668481440254</v>
      </c>
      <c r="L288">
        <f t="shared" si="79"/>
        <v>68730.668481440254</v>
      </c>
      <c r="M288">
        <f t="shared" si="80"/>
        <v>68770.780356794188</v>
      </c>
      <c r="N288" s="29">
        <f t="shared" si="81"/>
        <v>0</v>
      </c>
      <c r="O288" s="29">
        <f t="shared" si="82"/>
        <v>0</v>
      </c>
      <c r="P288" s="29">
        <f t="shared" si="83"/>
        <v>68770.780356794188</v>
      </c>
      <c r="Q288">
        <f t="shared" si="84"/>
        <v>0</v>
      </c>
      <c r="R288" s="29">
        <f t="shared" si="85"/>
        <v>0</v>
      </c>
      <c r="S288" s="29">
        <f t="shared" si="86"/>
        <v>0</v>
      </c>
      <c r="T288" s="29">
        <f t="shared" si="87"/>
        <v>68770.780356794188</v>
      </c>
      <c r="U288">
        <f t="shared" si="88"/>
        <v>0</v>
      </c>
      <c r="V288" s="29">
        <f t="shared" si="89"/>
        <v>0</v>
      </c>
      <c r="W288" s="29">
        <f t="shared" si="90"/>
        <v>0</v>
      </c>
      <c r="X288" s="29">
        <f t="shared" si="91"/>
        <v>68770.780356794188</v>
      </c>
      <c r="Y288">
        <f t="shared" si="92"/>
        <v>0</v>
      </c>
    </row>
    <row r="289" spans="1:25" x14ac:dyDescent="0.25">
      <c r="A289" s="4" t="s">
        <v>1208</v>
      </c>
      <c r="B289" s="7" t="s">
        <v>616</v>
      </c>
      <c r="C289" s="2" t="s">
        <v>1209</v>
      </c>
      <c r="D289">
        <f>VLOOKUP(B289,'Model allocations'!$A$1:$L$317,6,FALSE)</f>
        <v>214482.66330610073</v>
      </c>
      <c r="E289" s="31">
        <f>VLOOKUP(B289,'Initial adjusted formula count'!$A$1:$P$317,12,FALSE)</f>
        <v>0.148957298907646</v>
      </c>
      <c r="F289">
        <f>VLOOKUP(B289,'Model allocations'!$A$1:$L$317,11,FALSE)</f>
        <v>182310.26381018563</v>
      </c>
      <c r="G289" s="30">
        <f t="shared" si="93"/>
        <v>0.85</v>
      </c>
      <c r="H289">
        <f t="shared" si="94"/>
        <v>182310.26381018563</v>
      </c>
      <c r="I289">
        <f t="shared" si="76"/>
        <v>0</v>
      </c>
      <c r="J289">
        <f t="shared" si="77"/>
        <v>182310.26381018563</v>
      </c>
      <c r="K289">
        <f t="shared" si="78"/>
        <v>182203.92785558754</v>
      </c>
      <c r="L289">
        <f t="shared" si="79"/>
        <v>182203.92785558754</v>
      </c>
      <c r="M289">
        <f t="shared" si="80"/>
        <v>182310.26381018563</v>
      </c>
      <c r="N289" s="29">
        <f t="shared" si="81"/>
        <v>0</v>
      </c>
      <c r="O289" s="29">
        <f t="shared" si="82"/>
        <v>0</v>
      </c>
      <c r="P289" s="29">
        <f t="shared" si="83"/>
        <v>182310.26381018563</v>
      </c>
      <c r="Q289">
        <f t="shared" si="84"/>
        <v>0</v>
      </c>
      <c r="R289" s="29">
        <f t="shared" si="85"/>
        <v>0</v>
      </c>
      <c r="S289" s="29">
        <f t="shared" si="86"/>
        <v>0</v>
      </c>
      <c r="T289" s="29">
        <f t="shared" si="87"/>
        <v>182310.26381018563</v>
      </c>
      <c r="U289">
        <f t="shared" si="88"/>
        <v>0</v>
      </c>
      <c r="V289" s="29">
        <f t="shared" si="89"/>
        <v>0</v>
      </c>
      <c r="W289" s="29">
        <f t="shared" si="90"/>
        <v>0</v>
      </c>
      <c r="X289" s="29">
        <f t="shared" si="91"/>
        <v>182310.26381018563</v>
      </c>
      <c r="Y289">
        <f t="shared" si="92"/>
        <v>0</v>
      </c>
    </row>
    <row r="290" spans="1:25" x14ac:dyDescent="0.25">
      <c r="A290" s="4" t="s">
        <v>1210</v>
      </c>
      <c r="B290" s="7" t="s">
        <v>618</v>
      </c>
      <c r="C290" s="2" t="s">
        <v>1211</v>
      </c>
      <c r="D290">
        <f>VLOOKUP(B290,'Model allocations'!$A$1:$L$317,6,FALSE)</f>
        <v>17491.773151635054</v>
      </c>
      <c r="E290" s="31">
        <f>VLOOKUP(B290,'Initial adjusted formula count'!$A$1:$P$317,12,FALSE)</f>
        <v>0.134545454545455</v>
      </c>
      <c r="F290">
        <f>VLOOKUP(B290,'Model allocations'!$A$1:$L$317,11,FALSE)</f>
        <v>21110.830551045183</v>
      </c>
      <c r="G290" s="30">
        <f t="shared" si="93"/>
        <v>0.85</v>
      </c>
      <c r="H290">
        <f t="shared" si="94"/>
        <v>14868.007178889795</v>
      </c>
      <c r="I290">
        <f t="shared" si="76"/>
        <v>0</v>
      </c>
      <c r="J290">
        <f t="shared" si="77"/>
        <v>21110.830551045183</v>
      </c>
      <c r="K290">
        <f t="shared" si="78"/>
        <v>21098.51725462353</v>
      </c>
      <c r="L290">
        <f t="shared" si="79"/>
        <v>21098.51725462353</v>
      </c>
      <c r="M290">
        <f t="shared" si="80"/>
        <v>0</v>
      </c>
      <c r="N290" s="29">
        <f t="shared" si="81"/>
        <v>21098.51725462353</v>
      </c>
      <c r="O290" s="29">
        <f t="shared" si="82"/>
        <v>21096.911048512735</v>
      </c>
      <c r="P290" s="29">
        <f t="shared" si="83"/>
        <v>21096.911048512735</v>
      </c>
      <c r="Q290">
        <f t="shared" si="84"/>
        <v>0</v>
      </c>
      <c r="R290" s="29">
        <f t="shared" si="85"/>
        <v>21096.911048512735</v>
      </c>
      <c r="S290" s="29">
        <f t="shared" si="86"/>
        <v>21096.911048512735</v>
      </c>
      <c r="T290" s="29">
        <f t="shared" si="87"/>
        <v>21096.911048512735</v>
      </c>
      <c r="U290">
        <f t="shared" si="88"/>
        <v>0</v>
      </c>
      <c r="V290" s="29">
        <f t="shared" si="89"/>
        <v>21096.911048512735</v>
      </c>
      <c r="W290" s="29">
        <f t="shared" si="90"/>
        <v>21096.911048512735</v>
      </c>
      <c r="X290" s="29">
        <f t="shared" si="91"/>
        <v>21096.911048512735</v>
      </c>
      <c r="Y290">
        <f t="shared" si="92"/>
        <v>0</v>
      </c>
    </row>
    <row r="291" spans="1:25" x14ac:dyDescent="0.25">
      <c r="A291" s="4" t="s">
        <v>1212</v>
      </c>
      <c r="B291" s="7" t="s">
        <v>620</v>
      </c>
      <c r="C291" s="2" t="s">
        <v>1213</v>
      </c>
      <c r="D291">
        <f>VLOOKUP(B291,'Model allocations'!$A$1:$L$317,6,FALSE)</f>
        <v>502904.37575827533</v>
      </c>
      <c r="E291" s="31">
        <f>VLOOKUP(B291,'Initial adjusted formula count'!$A$1:$P$317,12,FALSE)</f>
        <v>0.179202423018677</v>
      </c>
      <c r="F291">
        <f>VLOOKUP(B291,'Model allocations'!$A$1:$L$317,11,FALSE)</f>
        <v>714344.86080833978</v>
      </c>
      <c r="G291" s="30">
        <f t="shared" si="93"/>
        <v>0.9</v>
      </c>
      <c r="H291">
        <f t="shared" si="94"/>
        <v>452613.9381824478</v>
      </c>
      <c r="I291">
        <f t="shared" si="76"/>
        <v>0</v>
      </c>
      <c r="J291">
        <f t="shared" si="77"/>
        <v>714344.86080833978</v>
      </c>
      <c r="K291">
        <f t="shared" si="78"/>
        <v>713928.20548077475</v>
      </c>
      <c r="L291">
        <f t="shared" si="79"/>
        <v>713928.20548077475</v>
      </c>
      <c r="M291">
        <f t="shared" si="80"/>
        <v>0</v>
      </c>
      <c r="N291" s="29">
        <f t="shared" si="81"/>
        <v>713928.20548077475</v>
      </c>
      <c r="O291" s="29">
        <f t="shared" si="82"/>
        <v>713873.85493886354</v>
      </c>
      <c r="P291" s="29">
        <f t="shared" si="83"/>
        <v>713873.85493886354</v>
      </c>
      <c r="Q291">
        <f t="shared" si="84"/>
        <v>0</v>
      </c>
      <c r="R291" s="29">
        <f t="shared" si="85"/>
        <v>713873.85493886354</v>
      </c>
      <c r="S291" s="29">
        <f t="shared" si="86"/>
        <v>713873.85493886354</v>
      </c>
      <c r="T291" s="29">
        <f t="shared" si="87"/>
        <v>713873.85493886354</v>
      </c>
      <c r="U291">
        <f t="shared" si="88"/>
        <v>0</v>
      </c>
      <c r="V291" s="29">
        <f t="shared" si="89"/>
        <v>713873.85493886354</v>
      </c>
      <c r="W291" s="29">
        <f t="shared" si="90"/>
        <v>713873.85493886354</v>
      </c>
      <c r="X291" s="29">
        <f t="shared" si="91"/>
        <v>713873.85493886354</v>
      </c>
      <c r="Y291">
        <f t="shared" si="92"/>
        <v>0</v>
      </c>
    </row>
    <row r="292" spans="1:25" x14ac:dyDescent="0.25">
      <c r="A292" s="4" t="s">
        <v>1214</v>
      </c>
      <c r="B292" s="7" t="s">
        <v>621</v>
      </c>
      <c r="C292" s="2" t="s">
        <v>1215</v>
      </c>
      <c r="D292">
        <f>VLOOKUP(B292,'Model allocations'!$A$1:$L$317,6,FALSE)</f>
        <v>649682.44851175009</v>
      </c>
      <c r="E292" s="31">
        <f>VLOOKUP(B292,'Initial adjusted formula count'!$A$1:$P$317,12,FALSE)</f>
        <v>0.21741621311945</v>
      </c>
      <c r="F292">
        <f>VLOOKUP(B292,'Model allocations'!$A$1:$L$317,11,FALSE)</f>
        <v>584714.20366057509</v>
      </c>
      <c r="G292" s="30">
        <f t="shared" si="93"/>
        <v>0.9</v>
      </c>
      <c r="H292">
        <f t="shared" si="94"/>
        <v>584714.20366057509</v>
      </c>
      <c r="I292">
        <f t="shared" si="76"/>
        <v>0</v>
      </c>
      <c r="J292">
        <f t="shared" si="77"/>
        <v>584714.20366057509</v>
      </c>
      <c r="K292">
        <f t="shared" si="78"/>
        <v>584373.15789763292</v>
      </c>
      <c r="L292">
        <f t="shared" si="79"/>
        <v>584373.15789763292</v>
      </c>
      <c r="M292">
        <f t="shared" si="80"/>
        <v>584714.20366057509</v>
      </c>
      <c r="N292" s="29">
        <f t="shared" si="81"/>
        <v>0</v>
      </c>
      <c r="O292" s="29">
        <f t="shared" si="82"/>
        <v>0</v>
      </c>
      <c r="P292" s="29">
        <f t="shared" si="83"/>
        <v>584714.20366057509</v>
      </c>
      <c r="Q292">
        <f t="shared" si="84"/>
        <v>0</v>
      </c>
      <c r="R292" s="29">
        <f t="shared" si="85"/>
        <v>0</v>
      </c>
      <c r="S292" s="29">
        <f t="shared" si="86"/>
        <v>0</v>
      </c>
      <c r="T292" s="29">
        <f t="shared" si="87"/>
        <v>584714.20366057509</v>
      </c>
      <c r="U292">
        <f t="shared" si="88"/>
        <v>0</v>
      </c>
      <c r="V292" s="29">
        <f t="shared" si="89"/>
        <v>0</v>
      </c>
      <c r="W292" s="29">
        <f t="shared" si="90"/>
        <v>0</v>
      </c>
      <c r="X292" s="29">
        <f t="shared" si="91"/>
        <v>584714.20366057509</v>
      </c>
      <c r="Y292">
        <f t="shared" si="92"/>
        <v>0</v>
      </c>
    </row>
    <row r="293" spans="1:25" x14ac:dyDescent="0.25">
      <c r="A293" s="4" t="s">
        <v>1216</v>
      </c>
      <c r="B293" s="7" t="s">
        <v>623</v>
      </c>
      <c r="C293" s="2" t="s">
        <v>1217</v>
      </c>
      <c r="D293">
        <f>VLOOKUP(B293,'Model allocations'!$A$1:$L$317,6,FALSE)</f>
        <v>116066.68118122635</v>
      </c>
      <c r="E293" s="31">
        <f>VLOOKUP(B293,'Initial adjusted formula count'!$A$1:$P$317,12,FALSE)</f>
        <v>0.23183391003460199</v>
      </c>
      <c r="F293">
        <f>VLOOKUP(B293,'Model allocations'!$A$1:$L$317,11,FALSE)</f>
        <v>146874.76652280343</v>
      </c>
      <c r="G293" s="30">
        <f t="shared" si="93"/>
        <v>0.9</v>
      </c>
      <c r="H293">
        <f t="shared" si="94"/>
        <v>104460.01306310372</v>
      </c>
      <c r="I293">
        <f t="shared" si="76"/>
        <v>0</v>
      </c>
      <c r="J293">
        <f t="shared" si="77"/>
        <v>146874.76652280343</v>
      </c>
      <c r="K293">
        <f t="shared" si="78"/>
        <v>146789.09900097462</v>
      </c>
      <c r="L293">
        <f t="shared" si="79"/>
        <v>146789.09900097462</v>
      </c>
      <c r="M293">
        <f t="shared" si="80"/>
        <v>0</v>
      </c>
      <c r="N293" s="29">
        <f t="shared" si="81"/>
        <v>146789.09900097462</v>
      </c>
      <c r="O293" s="29">
        <f t="shared" si="82"/>
        <v>146777.92411389758</v>
      </c>
      <c r="P293" s="29">
        <f t="shared" si="83"/>
        <v>146777.92411389758</v>
      </c>
      <c r="Q293">
        <f t="shared" si="84"/>
        <v>0</v>
      </c>
      <c r="R293" s="29">
        <f t="shared" si="85"/>
        <v>146777.92411389758</v>
      </c>
      <c r="S293" s="29">
        <f t="shared" si="86"/>
        <v>146777.92411389758</v>
      </c>
      <c r="T293" s="29">
        <f t="shared" si="87"/>
        <v>146777.92411389758</v>
      </c>
      <c r="U293">
        <f t="shared" si="88"/>
        <v>0</v>
      </c>
      <c r="V293" s="29">
        <f t="shared" si="89"/>
        <v>146777.92411389758</v>
      </c>
      <c r="W293" s="29">
        <f t="shared" si="90"/>
        <v>146777.92411389758</v>
      </c>
      <c r="X293" s="29">
        <f t="shared" si="91"/>
        <v>146777.92411389758</v>
      </c>
      <c r="Y293">
        <f t="shared" si="92"/>
        <v>0</v>
      </c>
    </row>
    <row r="294" spans="1:25" x14ac:dyDescent="0.25">
      <c r="A294" s="4" t="s">
        <v>1218</v>
      </c>
      <c r="B294" s="7" t="s">
        <v>253</v>
      </c>
      <c r="C294" s="2" t="s">
        <v>1219</v>
      </c>
      <c r="D294">
        <f>VLOOKUP(B294,'Model allocations'!$A$1:$L$317,6,FALSE)</f>
        <v>157263.68555770593</v>
      </c>
      <c r="E294" s="31">
        <f>VLOOKUP(B294,'Initial adjusted formula count'!$A$1:$P$317,12,FALSE)</f>
        <v>6.73051343442405E-2</v>
      </c>
      <c r="F294">
        <f>VLOOKUP(B294,'Model allocations'!$A$1:$L$317,11,FALSE)</f>
        <v>144352.43593011977</v>
      </c>
      <c r="G294" s="30">
        <f t="shared" si="93"/>
        <v>0.85</v>
      </c>
      <c r="H294">
        <f t="shared" si="94"/>
        <v>133674.13272405002</v>
      </c>
      <c r="I294">
        <f t="shared" si="76"/>
        <v>0</v>
      </c>
      <c r="J294">
        <f t="shared" si="77"/>
        <v>144352.43593011977</v>
      </c>
      <c r="K294">
        <f t="shared" si="78"/>
        <v>144268.23960593928</v>
      </c>
      <c r="L294">
        <f t="shared" si="79"/>
        <v>144268.23960593928</v>
      </c>
      <c r="M294">
        <f t="shared" si="80"/>
        <v>0</v>
      </c>
      <c r="N294" s="29">
        <f t="shared" si="81"/>
        <v>144268.23960593928</v>
      </c>
      <c r="O294" s="29">
        <f t="shared" si="82"/>
        <v>144257.25662901954</v>
      </c>
      <c r="P294" s="29">
        <f t="shared" si="83"/>
        <v>144257.25662901954</v>
      </c>
      <c r="Q294">
        <f t="shared" si="84"/>
        <v>0</v>
      </c>
      <c r="R294" s="29">
        <f t="shared" si="85"/>
        <v>144257.25662901954</v>
      </c>
      <c r="S294" s="29">
        <f t="shared" si="86"/>
        <v>144257.25662901954</v>
      </c>
      <c r="T294" s="29">
        <f t="shared" si="87"/>
        <v>144257.25662901954</v>
      </c>
      <c r="U294">
        <f t="shared" si="88"/>
        <v>0</v>
      </c>
      <c r="V294" s="29">
        <f t="shared" si="89"/>
        <v>144257.25662901954</v>
      </c>
      <c r="W294" s="29">
        <f t="shared" si="90"/>
        <v>144257.25662901954</v>
      </c>
      <c r="X294" s="29">
        <f t="shared" si="91"/>
        <v>144257.25662901954</v>
      </c>
      <c r="Y294">
        <f t="shared" si="92"/>
        <v>0</v>
      </c>
    </row>
    <row r="295" spans="1:25" x14ac:dyDescent="0.25">
      <c r="A295" s="4" t="s">
        <v>1220</v>
      </c>
      <c r="B295" s="7" t="s">
        <v>625</v>
      </c>
      <c r="C295" s="2" t="s">
        <v>1221</v>
      </c>
      <c r="D295">
        <f>VLOOKUP(B295,'Model allocations'!$A$1:$L$317,6,FALSE)</f>
        <v>0</v>
      </c>
      <c r="E295" s="31">
        <f>VLOOKUP(B295,'Initial adjusted formula count'!$A$1:$P$317,12,FALSE)</f>
        <v>3.03030303030303E-2</v>
      </c>
      <c r="F295">
        <f>VLOOKUP(B295,'Model allocations'!$A$1:$L$317,11,FALSE)</f>
        <v>0</v>
      </c>
      <c r="G295" s="30">
        <f t="shared" si="93"/>
        <v>0.85</v>
      </c>
      <c r="H295">
        <f t="shared" si="94"/>
        <v>0</v>
      </c>
      <c r="I295">
        <f t="shared" si="76"/>
        <v>0</v>
      </c>
      <c r="J295">
        <f t="shared" si="77"/>
        <v>0</v>
      </c>
      <c r="K295">
        <f t="shared" si="78"/>
        <v>0</v>
      </c>
      <c r="L295">
        <f t="shared" si="79"/>
        <v>0</v>
      </c>
      <c r="M295">
        <f t="shared" si="80"/>
        <v>0</v>
      </c>
      <c r="N295" s="29">
        <f t="shared" si="81"/>
        <v>0</v>
      </c>
      <c r="O295" s="29">
        <f t="shared" si="82"/>
        <v>0</v>
      </c>
      <c r="P295" s="29">
        <f t="shared" si="83"/>
        <v>0</v>
      </c>
      <c r="Q295">
        <f t="shared" si="84"/>
        <v>0</v>
      </c>
      <c r="R295" s="29">
        <f t="shared" si="85"/>
        <v>0</v>
      </c>
      <c r="S295" s="29">
        <f t="shared" si="86"/>
        <v>0</v>
      </c>
      <c r="T295" s="29">
        <f t="shared" si="87"/>
        <v>0</v>
      </c>
      <c r="U295">
        <f t="shared" si="88"/>
        <v>0</v>
      </c>
      <c r="V295" s="29">
        <f t="shared" si="89"/>
        <v>0</v>
      </c>
      <c r="W295" s="29">
        <f t="shared" si="90"/>
        <v>0</v>
      </c>
      <c r="X295" s="29">
        <f t="shared" si="91"/>
        <v>0</v>
      </c>
      <c r="Y295">
        <f t="shared" si="92"/>
        <v>0</v>
      </c>
    </row>
    <row r="296" spans="1:25" x14ac:dyDescent="0.25">
      <c r="A296" s="4" t="s">
        <v>1222</v>
      </c>
      <c r="B296" s="7" t="s">
        <v>627</v>
      </c>
      <c r="C296" s="2" t="s">
        <v>1223</v>
      </c>
      <c r="D296">
        <f>VLOOKUP(B296,'Model allocations'!$A$1:$L$317,6,FALSE)</f>
        <v>23936.110628553233</v>
      </c>
      <c r="E296" s="31">
        <f>VLOOKUP(B296,'Initial adjusted formula count'!$A$1:$P$317,12,FALSE)</f>
        <v>0.11782477341389699</v>
      </c>
      <c r="F296">
        <f>VLOOKUP(B296,'Model allocations'!$A$1:$L$317,11,FALSE)</f>
        <v>22251.956526777347</v>
      </c>
      <c r="G296" s="30">
        <f t="shared" si="93"/>
        <v>0.85</v>
      </c>
      <c r="H296">
        <f t="shared" si="94"/>
        <v>20345.694034270247</v>
      </c>
      <c r="I296">
        <f t="shared" si="76"/>
        <v>0</v>
      </c>
      <c r="J296">
        <f t="shared" si="77"/>
        <v>22251.956526777347</v>
      </c>
      <c r="K296">
        <f t="shared" si="78"/>
        <v>22238.977646765336</v>
      </c>
      <c r="L296">
        <f t="shared" si="79"/>
        <v>22238.977646765336</v>
      </c>
      <c r="M296">
        <f t="shared" si="80"/>
        <v>0</v>
      </c>
      <c r="N296" s="29">
        <f t="shared" si="81"/>
        <v>22238.977646765336</v>
      </c>
      <c r="O296" s="29">
        <f t="shared" si="82"/>
        <v>22237.284618702608</v>
      </c>
      <c r="P296" s="29">
        <f t="shared" si="83"/>
        <v>22237.284618702608</v>
      </c>
      <c r="Q296">
        <f t="shared" si="84"/>
        <v>0</v>
      </c>
      <c r="R296" s="29">
        <f t="shared" si="85"/>
        <v>22237.284618702608</v>
      </c>
      <c r="S296" s="29">
        <f t="shared" si="86"/>
        <v>22237.284618702608</v>
      </c>
      <c r="T296" s="29">
        <f t="shared" si="87"/>
        <v>22237.284618702608</v>
      </c>
      <c r="U296">
        <f t="shared" si="88"/>
        <v>0</v>
      </c>
      <c r="V296" s="29">
        <f t="shared" si="89"/>
        <v>22237.284618702608</v>
      </c>
      <c r="W296" s="29">
        <f t="shared" si="90"/>
        <v>22237.284618702608</v>
      </c>
      <c r="X296" s="29">
        <f t="shared" si="91"/>
        <v>22237.284618702608</v>
      </c>
      <c r="Y296">
        <f t="shared" si="92"/>
        <v>0</v>
      </c>
    </row>
    <row r="297" spans="1:25" x14ac:dyDescent="0.25">
      <c r="A297" s="4" t="s">
        <v>1224</v>
      </c>
      <c r="B297" s="7" t="s">
        <v>629</v>
      </c>
      <c r="C297" s="2" t="s">
        <v>1225</v>
      </c>
      <c r="D297">
        <f>VLOOKUP(B297,'Model allocations'!$A$1:$L$317,6,FALSE)</f>
        <v>54884.318404265228</v>
      </c>
      <c r="E297" s="31">
        <f>VLOOKUP(B297,'Initial adjusted formula count'!$A$1:$P$317,12,FALSE)</f>
        <v>0.230283911671924</v>
      </c>
      <c r="F297">
        <f>VLOOKUP(B297,'Model allocations'!$A$1:$L$317,11,FALSE)</f>
        <v>53000.75133293117</v>
      </c>
      <c r="G297" s="30">
        <f t="shared" si="93"/>
        <v>0.9</v>
      </c>
      <c r="H297">
        <f t="shared" si="94"/>
        <v>49395.886563838707</v>
      </c>
      <c r="I297">
        <f t="shared" si="76"/>
        <v>0</v>
      </c>
      <c r="J297">
        <f t="shared" si="77"/>
        <v>53000.75133293117</v>
      </c>
      <c r="K297">
        <f t="shared" si="78"/>
        <v>52969.83762917354</v>
      </c>
      <c r="L297">
        <f t="shared" si="79"/>
        <v>52969.83762917354</v>
      </c>
      <c r="M297">
        <f t="shared" si="80"/>
        <v>0</v>
      </c>
      <c r="N297" s="29">
        <f t="shared" si="81"/>
        <v>52969.83762917354</v>
      </c>
      <c r="O297" s="29">
        <f t="shared" si="82"/>
        <v>52965.805095708703</v>
      </c>
      <c r="P297" s="29">
        <f t="shared" si="83"/>
        <v>52965.805095708703</v>
      </c>
      <c r="Q297">
        <f t="shared" si="84"/>
        <v>0</v>
      </c>
      <c r="R297" s="29">
        <f t="shared" si="85"/>
        <v>52965.805095708703</v>
      </c>
      <c r="S297" s="29">
        <f t="shared" si="86"/>
        <v>52965.805095708703</v>
      </c>
      <c r="T297" s="29">
        <f t="shared" si="87"/>
        <v>52965.805095708703</v>
      </c>
      <c r="U297">
        <f t="shared" si="88"/>
        <v>0</v>
      </c>
      <c r="V297" s="29">
        <f t="shared" si="89"/>
        <v>52965.805095708703</v>
      </c>
      <c r="W297" s="29">
        <f t="shared" si="90"/>
        <v>52965.805095708703</v>
      </c>
      <c r="X297" s="29">
        <f t="shared" si="91"/>
        <v>52965.805095708703</v>
      </c>
      <c r="Y297">
        <f t="shared" si="92"/>
        <v>0</v>
      </c>
    </row>
    <row r="298" spans="1:25" x14ac:dyDescent="0.25">
      <c r="A298" s="4" t="s">
        <v>53</v>
      </c>
      <c r="B298" s="7" t="s">
        <v>64</v>
      </c>
      <c r="C298" s="2" t="s">
        <v>1226</v>
      </c>
      <c r="D298">
        <f>VLOOKUP(B298,'Model allocations'!$A$1:$L$317,6,FALSE)</f>
        <v>614293.56395284913</v>
      </c>
      <c r="E298" s="31">
        <f>VLOOKUP(B298,'Initial adjusted formula count'!$A$1:$P$317,12,FALSE)</f>
        <v>0.132873693120831</v>
      </c>
      <c r="F298">
        <f>VLOOKUP(B298,'Model allocations'!$A$1:$L$317,11,FALSE)</f>
        <v>715584.20462194737</v>
      </c>
      <c r="G298" s="30">
        <f t="shared" si="93"/>
        <v>0.85</v>
      </c>
      <c r="H298">
        <f t="shared" si="94"/>
        <v>522149.52935992175</v>
      </c>
      <c r="I298">
        <f t="shared" si="76"/>
        <v>0</v>
      </c>
      <c r="J298">
        <f t="shared" si="77"/>
        <v>715584.20462194737</v>
      </c>
      <c r="K298">
        <f t="shared" si="78"/>
        <v>715166.82642335608</v>
      </c>
      <c r="L298">
        <f t="shared" si="79"/>
        <v>715166.82642335608</v>
      </c>
      <c r="M298">
        <f t="shared" si="80"/>
        <v>0</v>
      </c>
      <c r="N298" s="29">
        <f t="shared" si="81"/>
        <v>715166.82642335608</v>
      </c>
      <c r="O298" s="29">
        <f t="shared" si="82"/>
        <v>715112.381586642</v>
      </c>
      <c r="P298" s="29">
        <f t="shared" si="83"/>
        <v>715112.381586642</v>
      </c>
      <c r="Q298">
        <f t="shared" si="84"/>
        <v>0</v>
      </c>
      <c r="R298" s="29">
        <f t="shared" si="85"/>
        <v>715112.381586642</v>
      </c>
      <c r="S298" s="29">
        <f t="shared" si="86"/>
        <v>715112.381586642</v>
      </c>
      <c r="T298" s="29">
        <f t="shared" si="87"/>
        <v>715112.381586642</v>
      </c>
      <c r="U298">
        <f t="shared" si="88"/>
        <v>0</v>
      </c>
      <c r="V298" s="29">
        <f t="shared" si="89"/>
        <v>715112.381586642</v>
      </c>
      <c r="W298" s="29">
        <f t="shared" si="90"/>
        <v>715112.381586642</v>
      </c>
      <c r="X298" s="29">
        <f t="shared" si="91"/>
        <v>715112.381586642</v>
      </c>
      <c r="Y298">
        <f t="shared" si="92"/>
        <v>0</v>
      </c>
    </row>
    <row r="299" spans="1:25" x14ac:dyDescent="0.25">
      <c r="A299" s="4" t="s">
        <v>1227</v>
      </c>
      <c r="B299" s="7" t="s">
        <v>306</v>
      </c>
      <c r="C299" s="2" t="s">
        <v>1228</v>
      </c>
      <c r="D299">
        <f>VLOOKUP(B299,'Model allocations'!$A$1:$L$317,6,FALSE)</f>
        <v>246078.06912806502</v>
      </c>
      <c r="E299" s="31">
        <f>VLOOKUP(B299,'Initial adjusted formula count'!$A$1:$P$317,12,FALSE)</f>
        <v>0.108668730650155</v>
      </c>
      <c r="F299">
        <f>VLOOKUP(B299,'Model allocations'!$A$1:$L$317,11,FALSE)</f>
        <v>209166.35875885526</v>
      </c>
      <c r="G299" s="30">
        <f t="shared" si="93"/>
        <v>0.85</v>
      </c>
      <c r="H299">
        <f t="shared" si="94"/>
        <v>209166.35875885526</v>
      </c>
      <c r="I299">
        <f t="shared" si="76"/>
        <v>0</v>
      </c>
      <c r="J299">
        <f t="shared" si="77"/>
        <v>209166.35875885526</v>
      </c>
      <c r="K299">
        <f t="shared" si="78"/>
        <v>209044.35847229109</v>
      </c>
      <c r="L299">
        <f t="shared" si="79"/>
        <v>209044.35847229109</v>
      </c>
      <c r="M299">
        <f t="shared" si="80"/>
        <v>209166.35875885526</v>
      </c>
      <c r="N299" s="29">
        <f t="shared" si="81"/>
        <v>0</v>
      </c>
      <c r="O299" s="29">
        <f t="shared" si="82"/>
        <v>0</v>
      </c>
      <c r="P299" s="29">
        <f t="shared" si="83"/>
        <v>209166.35875885526</v>
      </c>
      <c r="Q299">
        <f t="shared" si="84"/>
        <v>0</v>
      </c>
      <c r="R299" s="29">
        <f t="shared" si="85"/>
        <v>0</v>
      </c>
      <c r="S299" s="29">
        <f t="shared" si="86"/>
        <v>0</v>
      </c>
      <c r="T299" s="29">
        <f t="shared" si="87"/>
        <v>209166.35875885526</v>
      </c>
      <c r="U299">
        <f t="shared" si="88"/>
        <v>0</v>
      </c>
      <c r="V299" s="29">
        <f t="shared" si="89"/>
        <v>0</v>
      </c>
      <c r="W299" s="29">
        <f t="shared" si="90"/>
        <v>0</v>
      </c>
      <c r="X299" s="29">
        <f t="shared" si="91"/>
        <v>209166.35875885526</v>
      </c>
      <c r="Y299">
        <f t="shared" si="92"/>
        <v>0</v>
      </c>
    </row>
    <row r="300" spans="1:25" x14ac:dyDescent="0.25">
      <c r="A300" s="4" t="s">
        <v>1229</v>
      </c>
      <c r="B300" s="7" t="s">
        <v>255</v>
      </c>
      <c r="C300" s="2" t="s">
        <v>1230</v>
      </c>
      <c r="D300">
        <f>VLOOKUP(B300,'Model allocations'!$A$1:$L$317,6,FALSE)</f>
        <v>430778.04515177343</v>
      </c>
      <c r="E300" s="31">
        <f>VLOOKUP(B300,'Initial adjusted formula count'!$A$1:$P$317,12,FALSE)</f>
        <v>0.11717011128775801</v>
      </c>
      <c r="F300">
        <f>VLOOKUP(B300,'Model allocations'!$A$1:$L$317,11,FALSE)</f>
        <v>433627.87077822542</v>
      </c>
      <c r="G300" s="30">
        <f t="shared" si="93"/>
        <v>0.85</v>
      </c>
      <c r="H300">
        <f t="shared" si="94"/>
        <v>366161.33837900741</v>
      </c>
      <c r="I300">
        <f t="shared" si="76"/>
        <v>0</v>
      </c>
      <c r="J300">
        <f t="shared" si="77"/>
        <v>433627.87077822542</v>
      </c>
      <c r="K300">
        <f t="shared" si="78"/>
        <v>433374.94901388884</v>
      </c>
      <c r="L300">
        <f t="shared" si="79"/>
        <v>433374.94901388884</v>
      </c>
      <c r="M300">
        <f t="shared" si="80"/>
        <v>0</v>
      </c>
      <c r="N300" s="29">
        <f t="shared" si="81"/>
        <v>433374.94901388884</v>
      </c>
      <c r="O300" s="29">
        <f t="shared" si="82"/>
        <v>433341.95667215361</v>
      </c>
      <c r="P300" s="29">
        <f t="shared" si="83"/>
        <v>433341.95667215361</v>
      </c>
      <c r="Q300">
        <f t="shared" si="84"/>
        <v>0</v>
      </c>
      <c r="R300" s="29">
        <f t="shared" si="85"/>
        <v>433341.95667215361</v>
      </c>
      <c r="S300" s="29">
        <f t="shared" si="86"/>
        <v>433341.95667215361</v>
      </c>
      <c r="T300" s="29">
        <f t="shared" si="87"/>
        <v>433341.95667215361</v>
      </c>
      <c r="U300">
        <f t="shared" si="88"/>
        <v>0</v>
      </c>
      <c r="V300" s="29">
        <f t="shared" si="89"/>
        <v>433341.95667215361</v>
      </c>
      <c r="W300" s="29">
        <f t="shared" si="90"/>
        <v>433341.95667215361</v>
      </c>
      <c r="X300" s="29">
        <f t="shared" si="91"/>
        <v>433341.95667215361</v>
      </c>
      <c r="Y300">
        <f t="shared" si="92"/>
        <v>0</v>
      </c>
    </row>
    <row r="301" spans="1:25" x14ac:dyDescent="0.25">
      <c r="A301" s="4" t="s">
        <v>13</v>
      </c>
      <c r="B301" s="7" t="s">
        <v>68</v>
      </c>
      <c r="C301" s="2" t="s">
        <v>1231</v>
      </c>
      <c r="D301">
        <f>VLOOKUP(B301,'Model allocations'!$A$1:$L$317,6,FALSE)</f>
        <v>0</v>
      </c>
      <c r="E301" s="31">
        <f>VLOOKUP(B301,'Initial adjusted formula count'!$A$1:$P$317,12,FALSE)</f>
        <v>7.0283347368702204E-2</v>
      </c>
      <c r="F301">
        <f>VLOOKUP(B301,'Model allocations'!$A$1:$L$317,11,FALSE)</f>
        <v>0</v>
      </c>
      <c r="G301" s="30">
        <f t="shared" si="93"/>
        <v>0.85</v>
      </c>
      <c r="H301">
        <f t="shared" si="9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79"/>
        <v>0</v>
      </c>
      <c r="M301">
        <f t="shared" si="80"/>
        <v>0</v>
      </c>
      <c r="N301" s="29">
        <f t="shared" si="81"/>
        <v>0</v>
      </c>
      <c r="O301" s="29">
        <f t="shared" si="82"/>
        <v>0</v>
      </c>
      <c r="P301" s="29">
        <f t="shared" si="83"/>
        <v>0</v>
      </c>
      <c r="Q301">
        <f t="shared" si="84"/>
        <v>0</v>
      </c>
      <c r="R301" s="29">
        <f t="shared" si="85"/>
        <v>0</v>
      </c>
      <c r="S301" s="29">
        <f t="shared" si="86"/>
        <v>0</v>
      </c>
      <c r="T301" s="29">
        <f t="shared" si="87"/>
        <v>0</v>
      </c>
      <c r="U301">
        <f t="shared" si="88"/>
        <v>0</v>
      </c>
      <c r="V301" s="29">
        <f t="shared" si="89"/>
        <v>0</v>
      </c>
      <c r="W301" s="29">
        <f t="shared" si="90"/>
        <v>0</v>
      </c>
      <c r="X301" s="29">
        <f t="shared" si="91"/>
        <v>0</v>
      </c>
      <c r="Y301">
        <f t="shared" si="92"/>
        <v>0</v>
      </c>
    </row>
    <row r="302" spans="1:25" x14ac:dyDescent="0.25">
      <c r="A302" s="4" t="s">
        <v>1232</v>
      </c>
      <c r="B302" s="7" t="s">
        <v>631</v>
      </c>
      <c r="C302" s="2" t="s">
        <v>1233</v>
      </c>
      <c r="D302">
        <f>VLOOKUP(B302,'Model allocations'!$A$1:$L$317,6,FALSE)</f>
        <v>67991.488891026995</v>
      </c>
      <c r="E302" s="31">
        <f>VLOOKUP(B302,'Initial adjusted formula count'!$A$1:$P$317,12,FALSE)</f>
        <v>0.19789473684210501</v>
      </c>
      <c r="F302">
        <f>VLOOKUP(B302,'Model allocations'!$A$1:$L$317,11,FALSE)</f>
        <v>62189.226066198869</v>
      </c>
      <c r="G302" s="30">
        <f t="shared" si="93"/>
        <v>0.9</v>
      </c>
      <c r="H302">
        <f t="shared" si="94"/>
        <v>61192.340001924298</v>
      </c>
      <c r="I302">
        <f t="shared" si="76"/>
        <v>0</v>
      </c>
      <c r="J302">
        <f t="shared" si="77"/>
        <v>62189.226066198869</v>
      </c>
      <c r="K302">
        <f t="shared" si="78"/>
        <v>62152.953008493503</v>
      </c>
      <c r="L302">
        <f t="shared" si="79"/>
        <v>62152.953008493503</v>
      </c>
      <c r="M302">
        <f t="shared" si="80"/>
        <v>0</v>
      </c>
      <c r="N302" s="29">
        <f t="shared" si="81"/>
        <v>62152.953008493503</v>
      </c>
      <c r="O302" s="29">
        <f t="shared" si="82"/>
        <v>62148.221374904213</v>
      </c>
      <c r="P302" s="29">
        <f t="shared" si="83"/>
        <v>62148.221374904213</v>
      </c>
      <c r="Q302">
        <f t="shared" si="84"/>
        <v>0</v>
      </c>
      <c r="R302" s="29">
        <f t="shared" si="85"/>
        <v>62148.221374904213</v>
      </c>
      <c r="S302" s="29">
        <f t="shared" si="86"/>
        <v>62148.221374904213</v>
      </c>
      <c r="T302" s="29">
        <f t="shared" si="87"/>
        <v>62148.221374904213</v>
      </c>
      <c r="U302">
        <f t="shared" si="88"/>
        <v>0</v>
      </c>
      <c r="V302" s="29">
        <f t="shared" si="89"/>
        <v>62148.221374904213</v>
      </c>
      <c r="W302" s="29">
        <f t="shared" si="90"/>
        <v>62148.221374904213</v>
      </c>
      <c r="X302" s="29">
        <f t="shared" si="91"/>
        <v>62148.221374904213</v>
      </c>
      <c r="Y302">
        <f t="shared" si="92"/>
        <v>0</v>
      </c>
    </row>
    <row r="303" spans="1:25" x14ac:dyDescent="0.25">
      <c r="A303" s="4" t="s">
        <v>1234</v>
      </c>
      <c r="B303" s="7" t="s">
        <v>256</v>
      </c>
      <c r="C303" s="2" t="s">
        <v>1235</v>
      </c>
      <c r="D303">
        <f>VLOOKUP(B303,'Model allocations'!$A$1:$L$317,6,FALSE)</f>
        <v>0</v>
      </c>
      <c r="E303" s="31">
        <f>VLOOKUP(B303,'Initial adjusted formula count'!$A$1:$P$317,12,FALSE)</f>
        <v>4.0786136939983099E-2</v>
      </c>
      <c r="F303">
        <f>VLOOKUP(B303,'Model allocations'!$A$1:$L$317,11,FALSE)</f>
        <v>0</v>
      </c>
      <c r="G303" s="30">
        <f t="shared" si="93"/>
        <v>0.85</v>
      </c>
      <c r="H303">
        <f t="shared" si="9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79"/>
        <v>0</v>
      </c>
      <c r="M303">
        <f t="shared" si="80"/>
        <v>0</v>
      </c>
      <c r="N303" s="29">
        <f t="shared" si="81"/>
        <v>0</v>
      </c>
      <c r="O303" s="29">
        <f t="shared" si="82"/>
        <v>0</v>
      </c>
      <c r="P303" s="29">
        <f t="shared" si="83"/>
        <v>0</v>
      </c>
      <c r="Q303">
        <f t="shared" si="84"/>
        <v>0</v>
      </c>
      <c r="R303" s="29">
        <f t="shared" si="85"/>
        <v>0</v>
      </c>
      <c r="S303" s="29">
        <f t="shared" si="86"/>
        <v>0</v>
      </c>
      <c r="T303" s="29">
        <f t="shared" si="87"/>
        <v>0</v>
      </c>
      <c r="U303">
        <f t="shared" si="88"/>
        <v>0</v>
      </c>
      <c r="V303" s="29">
        <f t="shared" si="89"/>
        <v>0</v>
      </c>
      <c r="W303" s="29">
        <f t="shared" si="90"/>
        <v>0</v>
      </c>
      <c r="X303" s="29">
        <f t="shared" si="91"/>
        <v>0</v>
      </c>
      <c r="Y303">
        <f t="shared" si="92"/>
        <v>0</v>
      </c>
    </row>
    <row r="304" spans="1:25" x14ac:dyDescent="0.25">
      <c r="A304" s="4" t="s">
        <v>1236</v>
      </c>
      <c r="B304" s="7" t="s">
        <v>307</v>
      </c>
      <c r="C304" s="2" t="s">
        <v>1237</v>
      </c>
      <c r="D304">
        <f>VLOOKUP(B304,'Model allocations'!$A$1:$L$317,6,FALSE)</f>
        <v>83723.113174606042</v>
      </c>
      <c r="E304" s="31">
        <f>VLOOKUP(B304,'Initial adjusted formula count'!$A$1:$P$317,12,FALSE)</f>
        <v>0.121852152721365</v>
      </c>
      <c r="F304">
        <f>VLOOKUP(B304,'Model allocations'!$A$1:$L$317,11,FALSE)</f>
        <v>85584.448179912899</v>
      </c>
      <c r="G304" s="30">
        <f t="shared" si="93"/>
        <v>0.85</v>
      </c>
      <c r="H304">
        <f t="shared" si="94"/>
        <v>71164.646198415139</v>
      </c>
      <c r="I304">
        <f t="shared" si="76"/>
        <v>0</v>
      </c>
      <c r="J304">
        <f t="shared" si="77"/>
        <v>85584.448179912899</v>
      </c>
      <c r="K304">
        <f t="shared" si="78"/>
        <v>85534.529410635936</v>
      </c>
      <c r="L304">
        <f t="shared" si="79"/>
        <v>85534.529410635936</v>
      </c>
      <c r="M304">
        <f t="shared" si="80"/>
        <v>0</v>
      </c>
      <c r="N304" s="29">
        <f t="shared" si="81"/>
        <v>85534.529410635936</v>
      </c>
      <c r="O304" s="29">
        <f t="shared" si="82"/>
        <v>85528.017764240823</v>
      </c>
      <c r="P304" s="29">
        <f t="shared" si="83"/>
        <v>85528.017764240823</v>
      </c>
      <c r="Q304">
        <f t="shared" si="84"/>
        <v>0</v>
      </c>
      <c r="R304" s="29">
        <f t="shared" si="85"/>
        <v>85528.017764240823</v>
      </c>
      <c r="S304" s="29">
        <f t="shared" si="86"/>
        <v>85528.017764240823</v>
      </c>
      <c r="T304" s="29">
        <f t="shared" si="87"/>
        <v>85528.017764240823</v>
      </c>
      <c r="U304">
        <f t="shared" si="88"/>
        <v>0</v>
      </c>
      <c r="V304" s="29">
        <f t="shared" si="89"/>
        <v>85528.017764240823</v>
      </c>
      <c r="W304" s="29">
        <f t="shared" si="90"/>
        <v>85528.017764240823</v>
      </c>
      <c r="X304" s="29">
        <f t="shared" si="91"/>
        <v>85528.017764240823</v>
      </c>
      <c r="Y304">
        <f t="shared" si="92"/>
        <v>0</v>
      </c>
    </row>
    <row r="305" spans="1:25" x14ac:dyDescent="0.25">
      <c r="A305" s="4" t="s">
        <v>19</v>
      </c>
      <c r="B305" s="7" t="s">
        <v>70</v>
      </c>
      <c r="C305" s="2" t="s">
        <v>1238</v>
      </c>
      <c r="D305">
        <f>VLOOKUP(B305,'Model allocations'!$A$1:$L$317,6,FALSE)</f>
        <v>31235.675075331794</v>
      </c>
      <c r="E305" s="31">
        <f>VLOOKUP(B305,'Initial adjusted formula count'!$A$1:$P$317,12,FALSE)</f>
        <v>0.18500267811471999</v>
      </c>
      <c r="F305">
        <f>VLOOKUP(B305,'Model allocations'!$A$1:$L$317,11,FALSE)</f>
        <v>24204.510904052524</v>
      </c>
      <c r="G305" s="30">
        <f t="shared" si="93"/>
        <v>0.9</v>
      </c>
      <c r="H305">
        <f t="shared" si="94"/>
        <v>28112.107567798615</v>
      </c>
      <c r="I305">
        <f t="shared" si="76"/>
        <v>28112.107567798615</v>
      </c>
      <c r="J305">
        <f t="shared" si="77"/>
        <v>0</v>
      </c>
      <c r="K305">
        <f t="shared" si="78"/>
        <v>0</v>
      </c>
      <c r="L305">
        <f t="shared" si="79"/>
        <v>28112.107567798615</v>
      </c>
      <c r="M305">
        <f t="shared" si="80"/>
        <v>0</v>
      </c>
      <c r="N305" s="29">
        <f t="shared" si="81"/>
        <v>0</v>
      </c>
      <c r="O305" s="29">
        <f t="shared" si="82"/>
        <v>0</v>
      </c>
      <c r="P305" s="29">
        <f t="shared" si="83"/>
        <v>28112.107567798615</v>
      </c>
      <c r="Q305">
        <f t="shared" si="84"/>
        <v>0</v>
      </c>
      <c r="R305" s="29">
        <f t="shared" si="85"/>
        <v>0</v>
      </c>
      <c r="S305" s="29">
        <f t="shared" si="86"/>
        <v>0</v>
      </c>
      <c r="T305" s="29">
        <f t="shared" si="87"/>
        <v>28112.107567798615</v>
      </c>
      <c r="U305">
        <f t="shared" si="88"/>
        <v>0</v>
      </c>
      <c r="V305" s="29">
        <f t="shared" si="89"/>
        <v>0</v>
      </c>
      <c r="W305" s="29">
        <f t="shared" si="90"/>
        <v>0</v>
      </c>
      <c r="X305" s="29">
        <f t="shared" si="91"/>
        <v>28112.107567798615</v>
      </c>
      <c r="Y305">
        <f t="shared" si="92"/>
        <v>0</v>
      </c>
    </row>
    <row r="306" spans="1:25" x14ac:dyDescent="0.25">
      <c r="A306" s="4" t="s">
        <v>1239</v>
      </c>
      <c r="B306" s="7" t="s">
        <v>258</v>
      </c>
      <c r="C306" s="2" t="s">
        <v>1240</v>
      </c>
      <c r="D306">
        <f>VLOOKUP(B306,'Model allocations'!$A$1:$L$317,6,FALSE)</f>
        <v>18667.991451094585</v>
      </c>
      <c r="E306" s="31">
        <f>VLOOKUP(B306,'Initial adjusted formula count'!$A$1:$P$317,12,FALSE)</f>
        <v>0.12831858407079599</v>
      </c>
      <c r="F306">
        <f>VLOOKUP(B306,'Model allocations'!$A$1:$L$317,11,FALSE)</f>
        <v>16546.326648116494</v>
      </c>
      <c r="G306" s="30">
        <f t="shared" si="93"/>
        <v>0.85</v>
      </c>
      <c r="H306">
        <f t="shared" si="94"/>
        <v>15867.792733430397</v>
      </c>
      <c r="I306">
        <f t="shared" si="76"/>
        <v>0</v>
      </c>
      <c r="J306">
        <f t="shared" si="77"/>
        <v>16546.326648116494</v>
      </c>
      <c r="K306">
        <f t="shared" si="78"/>
        <v>16536.675686056278</v>
      </c>
      <c r="L306">
        <f t="shared" si="79"/>
        <v>16536.675686056278</v>
      </c>
      <c r="M306">
        <f t="shared" si="80"/>
        <v>0</v>
      </c>
      <c r="N306" s="29">
        <f t="shared" si="81"/>
        <v>16536.675686056278</v>
      </c>
      <c r="O306" s="29">
        <f t="shared" si="82"/>
        <v>16535.416767753224</v>
      </c>
      <c r="P306" s="29">
        <f t="shared" si="83"/>
        <v>16535.416767753224</v>
      </c>
      <c r="Q306">
        <f t="shared" si="84"/>
        <v>0</v>
      </c>
      <c r="R306" s="29">
        <f t="shared" si="85"/>
        <v>16535.416767753224</v>
      </c>
      <c r="S306" s="29">
        <f t="shared" si="86"/>
        <v>16535.416767753224</v>
      </c>
      <c r="T306" s="29">
        <f t="shared" si="87"/>
        <v>16535.416767753224</v>
      </c>
      <c r="U306">
        <f t="shared" si="88"/>
        <v>0</v>
      </c>
      <c r="V306" s="29">
        <f t="shared" si="89"/>
        <v>16535.416767753224</v>
      </c>
      <c r="W306" s="29">
        <f t="shared" si="90"/>
        <v>16535.416767753224</v>
      </c>
      <c r="X306" s="29">
        <f t="shared" si="91"/>
        <v>16535.416767753224</v>
      </c>
      <c r="Y306">
        <f t="shared" si="92"/>
        <v>0</v>
      </c>
    </row>
    <row r="307" spans="1:25" x14ac:dyDescent="0.25">
      <c r="A307" s="4" t="s">
        <v>1241</v>
      </c>
      <c r="B307" s="7" t="s">
        <v>633</v>
      </c>
      <c r="C307" s="2" t="s">
        <v>1242</v>
      </c>
      <c r="D307">
        <f>VLOOKUP(B307,'Model allocations'!$A$1:$L$317,6,FALSE)</f>
        <v>29333.116174164265</v>
      </c>
      <c r="E307" s="31">
        <f>VLOOKUP(B307,'Initial adjusted formula count'!$A$1:$P$317,12,FALSE)</f>
        <v>8.4639498432601906E-2</v>
      </c>
      <c r="F307">
        <f>VLOOKUP(B307,'Model allocations'!$A$1:$L$317,11,FALSE)</f>
        <v>24933.148748039624</v>
      </c>
      <c r="G307" s="30">
        <f t="shared" si="93"/>
        <v>0.85</v>
      </c>
      <c r="H307">
        <f t="shared" si="94"/>
        <v>24933.148748039624</v>
      </c>
      <c r="I307">
        <f t="shared" si="76"/>
        <v>0</v>
      </c>
      <c r="J307">
        <f t="shared" si="77"/>
        <v>24933.148748039624</v>
      </c>
      <c r="K307">
        <f t="shared" si="78"/>
        <v>24918.606011290478</v>
      </c>
      <c r="L307">
        <f t="shared" si="79"/>
        <v>24918.606011290478</v>
      </c>
      <c r="M307">
        <f t="shared" si="80"/>
        <v>24933.148748039624</v>
      </c>
      <c r="N307" s="29">
        <f t="shared" si="81"/>
        <v>0</v>
      </c>
      <c r="O307" s="29">
        <f t="shared" si="82"/>
        <v>0</v>
      </c>
      <c r="P307" s="29">
        <f t="shared" si="83"/>
        <v>24933.148748039624</v>
      </c>
      <c r="Q307">
        <f t="shared" si="84"/>
        <v>0</v>
      </c>
      <c r="R307" s="29">
        <f t="shared" si="85"/>
        <v>0</v>
      </c>
      <c r="S307" s="29">
        <f t="shared" si="86"/>
        <v>0</v>
      </c>
      <c r="T307" s="29">
        <f t="shared" si="87"/>
        <v>24933.148748039624</v>
      </c>
      <c r="U307">
        <f t="shared" si="88"/>
        <v>0</v>
      </c>
      <c r="V307" s="29">
        <f t="shared" si="89"/>
        <v>0</v>
      </c>
      <c r="W307" s="29">
        <f t="shared" si="90"/>
        <v>0</v>
      </c>
      <c r="X307" s="29">
        <f t="shared" si="91"/>
        <v>24933.148748039624</v>
      </c>
      <c r="Y307">
        <f t="shared" si="92"/>
        <v>0</v>
      </c>
    </row>
    <row r="308" spans="1:25" x14ac:dyDescent="0.25">
      <c r="A308" s="4" t="s">
        <v>1243</v>
      </c>
      <c r="B308" s="7" t="s">
        <v>635</v>
      </c>
      <c r="C308" s="2" t="s">
        <v>1244</v>
      </c>
      <c r="D308">
        <f>VLOOKUP(B308,'Model allocations'!$A$1:$L$317,6,FALSE)</f>
        <v>8485.4506595884504</v>
      </c>
      <c r="E308" s="31">
        <f>VLOOKUP(B308,'Initial adjusted formula count'!$A$1:$P$317,12,FALSE)</f>
        <v>0.14285714285714299</v>
      </c>
      <c r="F308">
        <f>VLOOKUP(B308,'Model allocations'!$A$1:$L$317,11,FALSE)</f>
        <v>9129.0078058573763</v>
      </c>
      <c r="G308" s="30">
        <f t="shared" si="93"/>
        <v>0.85</v>
      </c>
      <c r="H308">
        <f t="shared" si="94"/>
        <v>7212.6330606501824</v>
      </c>
      <c r="I308">
        <f t="shared" si="76"/>
        <v>0</v>
      </c>
      <c r="J308">
        <f t="shared" si="77"/>
        <v>9129.0078058573763</v>
      </c>
      <c r="K308">
        <f t="shared" si="78"/>
        <v>9123.6831371344997</v>
      </c>
      <c r="L308">
        <f t="shared" si="79"/>
        <v>9123.6831371344997</v>
      </c>
      <c r="M308">
        <f t="shared" si="80"/>
        <v>0</v>
      </c>
      <c r="N308" s="29">
        <f t="shared" si="81"/>
        <v>9123.6831371344997</v>
      </c>
      <c r="O308" s="29">
        <f t="shared" si="82"/>
        <v>9122.9885615190215</v>
      </c>
      <c r="P308" s="29">
        <f t="shared" si="83"/>
        <v>9122.9885615190215</v>
      </c>
      <c r="Q308">
        <f t="shared" si="84"/>
        <v>0</v>
      </c>
      <c r="R308" s="29">
        <f t="shared" si="85"/>
        <v>9122.9885615190215</v>
      </c>
      <c r="S308" s="29">
        <f t="shared" si="86"/>
        <v>9122.9885615190215</v>
      </c>
      <c r="T308" s="29">
        <f t="shared" si="87"/>
        <v>9122.9885615190215</v>
      </c>
      <c r="U308">
        <f t="shared" si="88"/>
        <v>0</v>
      </c>
      <c r="V308" s="29">
        <f t="shared" si="89"/>
        <v>9122.9885615190215</v>
      </c>
      <c r="W308" s="29">
        <f t="shared" si="90"/>
        <v>9122.9885615190215</v>
      </c>
      <c r="X308" s="29">
        <f t="shared" si="91"/>
        <v>9122.9885615190215</v>
      </c>
      <c r="Y308">
        <f t="shared" si="92"/>
        <v>0</v>
      </c>
    </row>
    <row r="309" spans="1:25" x14ac:dyDescent="0.25">
      <c r="A309" s="4" t="s">
        <v>1245</v>
      </c>
      <c r="B309" s="7" t="s">
        <v>637</v>
      </c>
      <c r="C309" s="2" t="s">
        <v>1246</v>
      </c>
      <c r="D309">
        <f>VLOOKUP(B309,'Model allocations'!$A$1:$L$317,6,FALSE)</f>
        <v>58266.761195840678</v>
      </c>
      <c r="E309" s="31">
        <f>VLOOKUP(B309,'Initial adjusted formula count'!$A$1:$P$317,12,FALSE)</f>
        <v>0.118004866180049</v>
      </c>
      <c r="F309">
        <f>VLOOKUP(B309,'Model allocations'!$A$1:$L$317,11,FALSE)</f>
        <v>55344.609823010338</v>
      </c>
      <c r="G309" s="30">
        <f t="shared" si="93"/>
        <v>0.85</v>
      </c>
      <c r="H309">
        <f t="shared" si="94"/>
        <v>49526.747016464578</v>
      </c>
      <c r="I309">
        <f t="shared" si="76"/>
        <v>0</v>
      </c>
      <c r="J309">
        <f t="shared" si="77"/>
        <v>55344.609823010338</v>
      </c>
      <c r="K309">
        <f t="shared" si="78"/>
        <v>55312.329018877906</v>
      </c>
      <c r="L309">
        <f t="shared" si="79"/>
        <v>55312.329018877906</v>
      </c>
      <c r="M309">
        <f t="shared" si="80"/>
        <v>0</v>
      </c>
      <c r="N309" s="29">
        <f t="shared" si="81"/>
        <v>55312.329018877906</v>
      </c>
      <c r="O309" s="29">
        <f t="shared" si="82"/>
        <v>55308.118154209071</v>
      </c>
      <c r="P309" s="29">
        <f t="shared" si="83"/>
        <v>55308.118154209071</v>
      </c>
      <c r="Q309">
        <f t="shared" si="84"/>
        <v>0</v>
      </c>
      <c r="R309" s="29">
        <f t="shared" si="85"/>
        <v>55308.118154209071</v>
      </c>
      <c r="S309" s="29">
        <f t="shared" si="86"/>
        <v>55308.118154209071</v>
      </c>
      <c r="T309" s="29">
        <f t="shared" si="87"/>
        <v>55308.118154209071</v>
      </c>
      <c r="U309">
        <f t="shared" si="88"/>
        <v>0</v>
      </c>
      <c r="V309" s="29">
        <f t="shared" si="89"/>
        <v>55308.118154209071</v>
      </c>
      <c r="W309" s="29">
        <f t="shared" si="90"/>
        <v>55308.118154209071</v>
      </c>
      <c r="X309" s="29">
        <f t="shared" si="91"/>
        <v>55308.118154209071</v>
      </c>
      <c r="Y309">
        <f t="shared" si="92"/>
        <v>0</v>
      </c>
    </row>
    <row r="310" spans="1:25" x14ac:dyDescent="0.25">
      <c r="A310" s="4" t="s">
        <v>1247</v>
      </c>
      <c r="B310" s="7" t="s">
        <v>639</v>
      </c>
      <c r="C310" s="2" t="s">
        <v>1248</v>
      </c>
      <c r="D310">
        <f>VLOOKUP(B310,'Model allocations'!$A$1:$L$317,6,FALSE)</f>
        <v>11879.630923423827</v>
      </c>
      <c r="E310" s="31">
        <f>VLOOKUP(B310,'Initial adjusted formula count'!$A$1:$P$317,12,FALSE)</f>
        <v>0.19047619047618999</v>
      </c>
      <c r="F310">
        <f>VLOOKUP(B310,'Model allocations'!$A$1:$L$317,11,FALSE)</f>
        <v>18157.054491011848</v>
      </c>
      <c r="G310" s="30">
        <f t="shared" si="93"/>
        <v>0.9</v>
      </c>
      <c r="H310">
        <f t="shared" si="94"/>
        <v>10691.667831081444</v>
      </c>
      <c r="I310">
        <f t="shared" si="76"/>
        <v>0</v>
      </c>
      <c r="J310">
        <f t="shared" si="77"/>
        <v>18157.054491011848</v>
      </c>
      <c r="K310">
        <f t="shared" si="78"/>
        <v>18146.464041074254</v>
      </c>
      <c r="L310">
        <f t="shared" si="79"/>
        <v>18146.464041074254</v>
      </c>
      <c r="M310">
        <f t="shared" si="80"/>
        <v>0</v>
      </c>
      <c r="N310" s="29">
        <f t="shared" si="81"/>
        <v>18146.464041074254</v>
      </c>
      <c r="O310" s="29">
        <f t="shared" si="82"/>
        <v>18145.082571415496</v>
      </c>
      <c r="P310" s="29">
        <f t="shared" si="83"/>
        <v>18145.082571415496</v>
      </c>
      <c r="Q310">
        <f t="shared" si="84"/>
        <v>0</v>
      </c>
      <c r="R310" s="29">
        <f t="shared" si="85"/>
        <v>18145.082571415496</v>
      </c>
      <c r="S310" s="29">
        <f t="shared" si="86"/>
        <v>18145.082571415496</v>
      </c>
      <c r="T310" s="29">
        <f t="shared" si="87"/>
        <v>18145.082571415496</v>
      </c>
      <c r="U310">
        <f t="shared" si="88"/>
        <v>0</v>
      </c>
      <c r="V310" s="29">
        <f t="shared" si="89"/>
        <v>18145.082571415496</v>
      </c>
      <c r="W310" s="29">
        <f t="shared" si="90"/>
        <v>18145.082571415496</v>
      </c>
      <c r="X310" s="29">
        <f t="shared" si="91"/>
        <v>18145.082571415496</v>
      </c>
      <c r="Y310">
        <f t="shared" si="92"/>
        <v>0</v>
      </c>
    </row>
    <row r="311" spans="1:25" x14ac:dyDescent="0.25">
      <c r="A311" s="4" t="s">
        <v>1249</v>
      </c>
      <c r="B311" s="7" t="s">
        <v>641</v>
      </c>
      <c r="C311" s="2" t="s">
        <v>1250</v>
      </c>
      <c r="D311">
        <f>VLOOKUP(B311,'Model allocations'!$A$1:$L$317,6,FALSE)</f>
        <v>17037.865667298818</v>
      </c>
      <c r="E311" s="31">
        <f>VLOOKUP(B311,'Initial adjusted formula count'!$A$1:$P$317,12,FALSE)</f>
        <v>0.70454545454545403</v>
      </c>
      <c r="F311">
        <f>VLOOKUP(B311,'Model allocations'!$A$1:$L$317,11,FALSE)</f>
        <v>50774.571459099359</v>
      </c>
      <c r="G311" s="30">
        <f t="shared" si="93"/>
        <v>0.95</v>
      </c>
      <c r="H311">
        <f t="shared" si="94"/>
        <v>16185.972383933877</v>
      </c>
      <c r="I311">
        <f t="shared" si="76"/>
        <v>0</v>
      </c>
      <c r="J311">
        <f t="shared" si="77"/>
        <v>50774.571459099359</v>
      </c>
      <c r="K311">
        <f t="shared" si="78"/>
        <v>50744.95621740877</v>
      </c>
      <c r="L311">
        <f t="shared" si="79"/>
        <v>50744.95621740877</v>
      </c>
      <c r="M311">
        <f t="shared" si="80"/>
        <v>0</v>
      </c>
      <c r="N311" s="29">
        <f t="shared" si="81"/>
        <v>50744.95621740877</v>
      </c>
      <c r="O311" s="29">
        <f t="shared" si="82"/>
        <v>50741.093061634136</v>
      </c>
      <c r="P311" s="29">
        <f t="shared" si="83"/>
        <v>50741.093061634136</v>
      </c>
      <c r="Q311">
        <f t="shared" si="84"/>
        <v>0</v>
      </c>
      <c r="R311" s="29">
        <f t="shared" si="85"/>
        <v>50741.093061634136</v>
      </c>
      <c r="S311" s="29">
        <f t="shared" si="86"/>
        <v>50741.093061634136</v>
      </c>
      <c r="T311" s="29">
        <f t="shared" si="87"/>
        <v>50741.093061634136</v>
      </c>
      <c r="U311">
        <f t="shared" si="88"/>
        <v>0</v>
      </c>
      <c r="V311" s="29">
        <f t="shared" si="89"/>
        <v>50741.093061634136</v>
      </c>
      <c r="W311" s="29">
        <f t="shared" si="90"/>
        <v>50741.093061634136</v>
      </c>
      <c r="X311" s="29">
        <f t="shared" si="91"/>
        <v>50741.093061634136</v>
      </c>
      <c r="Y311">
        <f t="shared" si="92"/>
        <v>0</v>
      </c>
    </row>
    <row r="312" spans="1:25" x14ac:dyDescent="0.25">
      <c r="A312" s="4" t="s">
        <v>1251</v>
      </c>
      <c r="B312" s="7" t="s">
        <v>643</v>
      </c>
      <c r="C312" s="2" t="s">
        <v>1252</v>
      </c>
      <c r="D312">
        <f>VLOOKUP(B312,'Model allocations'!$A$1:$L$317,6,FALSE)</f>
        <v>139727.08752788982</v>
      </c>
      <c r="E312" s="31">
        <f>VLOOKUP(B312,'Initial adjusted formula count'!$A$1:$P$317,12,FALSE)</f>
        <v>9.79151154132539E-2</v>
      </c>
      <c r="F312">
        <f>VLOOKUP(B312,'Model allocations'!$A$1:$L$317,11,FALSE)</f>
        <v>150058.06580878064</v>
      </c>
      <c r="G312" s="30">
        <f t="shared" si="93"/>
        <v>0.85</v>
      </c>
      <c r="H312">
        <f t="shared" si="94"/>
        <v>118768.02439870634</v>
      </c>
      <c r="I312">
        <f t="shared" si="76"/>
        <v>0</v>
      </c>
      <c r="J312">
        <f t="shared" si="77"/>
        <v>150058.06580878064</v>
      </c>
      <c r="K312">
        <f t="shared" si="78"/>
        <v>149970.54156664835</v>
      </c>
      <c r="L312">
        <f t="shared" si="79"/>
        <v>149970.54156664835</v>
      </c>
      <c r="M312">
        <f t="shared" si="80"/>
        <v>0</v>
      </c>
      <c r="N312" s="29">
        <f t="shared" si="81"/>
        <v>149970.54156664835</v>
      </c>
      <c r="O312" s="29">
        <f t="shared" si="82"/>
        <v>149959.12447996892</v>
      </c>
      <c r="P312" s="29">
        <f t="shared" si="83"/>
        <v>149959.12447996892</v>
      </c>
      <c r="Q312">
        <f t="shared" si="84"/>
        <v>0</v>
      </c>
      <c r="R312" s="29">
        <f t="shared" si="85"/>
        <v>149959.12447996892</v>
      </c>
      <c r="S312" s="29">
        <f t="shared" si="86"/>
        <v>149959.12447996892</v>
      </c>
      <c r="T312" s="29">
        <f t="shared" si="87"/>
        <v>149959.12447996892</v>
      </c>
      <c r="U312">
        <f t="shared" si="88"/>
        <v>0</v>
      </c>
      <c r="V312" s="29">
        <f t="shared" si="89"/>
        <v>149959.12447996892</v>
      </c>
      <c r="W312" s="29">
        <f t="shared" si="90"/>
        <v>149959.12447996892</v>
      </c>
      <c r="X312" s="29">
        <f t="shared" si="91"/>
        <v>149959.12447996892</v>
      </c>
      <c r="Y312">
        <f t="shared" si="92"/>
        <v>0</v>
      </c>
    </row>
    <row r="313" spans="1:25" x14ac:dyDescent="0.25">
      <c r="A313" s="4" t="s">
        <v>1253</v>
      </c>
      <c r="B313" s="7" t="s">
        <v>645</v>
      </c>
      <c r="C313" s="2" t="s">
        <v>1254</v>
      </c>
      <c r="D313">
        <f>VLOOKUP(B313,'Model allocations'!$A$1:$L$317,6,FALSE)</f>
        <v>4015032.403761934</v>
      </c>
      <c r="E313" s="31">
        <f>VLOOKUP(B313,'Initial adjusted formula count'!$A$1:$P$317,12,FALSE)</f>
        <v>0.26801815431164899</v>
      </c>
      <c r="F313">
        <f>VLOOKUP(B313,'Model allocations'!$A$1:$L$317,11,FALSE)</f>
        <v>4211610.6949335141</v>
      </c>
      <c r="G313" s="30">
        <f t="shared" si="93"/>
        <v>0.9</v>
      </c>
      <c r="H313">
        <f t="shared" si="94"/>
        <v>3613529.1633857405</v>
      </c>
      <c r="I313">
        <f t="shared" si="76"/>
        <v>0</v>
      </c>
      <c r="J313">
        <f t="shared" si="77"/>
        <v>4211610.6949335141</v>
      </c>
      <c r="K313">
        <f t="shared" si="78"/>
        <v>4209154.1922973944</v>
      </c>
      <c r="L313">
        <f t="shared" si="79"/>
        <v>4209154.1922973944</v>
      </c>
      <c r="M313">
        <f t="shared" si="80"/>
        <v>0</v>
      </c>
      <c r="N313" s="29">
        <f t="shared" si="81"/>
        <v>4209154.1922973944</v>
      </c>
      <c r="O313" s="29">
        <f t="shared" si="82"/>
        <v>4208833.7541782912</v>
      </c>
      <c r="P313" s="29">
        <f t="shared" si="83"/>
        <v>4208833.7541782912</v>
      </c>
      <c r="Q313">
        <f t="shared" si="84"/>
        <v>0</v>
      </c>
      <c r="R313" s="29">
        <f t="shared" si="85"/>
        <v>4208833.7541782912</v>
      </c>
      <c r="S313" s="29">
        <f t="shared" si="86"/>
        <v>4208833.7541782912</v>
      </c>
      <c r="T313" s="29">
        <f t="shared" si="87"/>
        <v>4208833.7541782912</v>
      </c>
      <c r="U313">
        <f t="shared" si="88"/>
        <v>0</v>
      </c>
      <c r="V313" s="29">
        <f t="shared" si="89"/>
        <v>4208833.7541782912</v>
      </c>
      <c r="W313" s="29">
        <f t="shared" si="90"/>
        <v>4208833.7541782912</v>
      </c>
      <c r="X313" s="29">
        <f t="shared" si="91"/>
        <v>4208833.7541782912</v>
      </c>
      <c r="Y313">
        <f t="shared" si="92"/>
        <v>0</v>
      </c>
    </row>
    <row r="314" spans="1:25" x14ac:dyDescent="0.25">
      <c r="A314" s="4" t="s">
        <v>1255</v>
      </c>
      <c r="B314" s="7" t="s">
        <v>647</v>
      </c>
      <c r="C314" s="2" t="s">
        <v>1256</v>
      </c>
      <c r="D314">
        <f>VLOOKUP(B314,'Model allocations'!$A$1:$L$317,6,FALSE)</f>
        <v>353978.25141071988</v>
      </c>
      <c r="E314" s="31">
        <f>VLOOKUP(B314,'Initial adjusted formula count'!$A$1:$P$317,12,FALSE)</f>
        <v>8.3779238648524698E-2</v>
      </c>
      <c r="F314">
        <f>VLOOKUP(B314,'Model allocations'!$A$1:$L$317,11,FALSE)</f>
        <v>312668.51735061512</v>
      </c>
      <c r="G314" s="30">
        <f t="shared" si="93"/>
        <v>0.85</v>
      </c>
      <c r="H314">
        <f t="shared" si="94"/>
        <v>300881.51369911188</v>
      </c>
      <c r="I314">
        <f t="shared" si="76"/>
        <v>0</v>
      </c>
      <c r="J314">
        <f t="shared" si="77"/>
        <v>312668.51735061512</v>
      </c>
      <c r="K314">
        <f t="shared" si="78"/>
        <v>312486.1474468566</v>
      </c>
      <c r="L314">
        <f t="shared" si="79"/>
        <v>312486.1474468566</v>
      </c>
      <c r="M314">
        <f t="shared" si="80"/>
        <v>0</v>
      </c>
      <c r="N314" s="29">
        <f t="shared" si="81"/>
        <v>312486.1474468566</v>
      </c>
      <c r="O314" s="29">
        <f t="shared" si="82"/>
        <v>312462.35823202645</v>
      </c>
      <c r="P314" s="29">
        <f t="shared" si="83"/>
        <v>312462.35823202645</v>
      </c>
      <c r="Q314">
        <f t="shared" si="84"/>
        <v>0</v>
      </c>
      <c r="R314" s="29">
        <f t="shared" si="85"/>
        <v>312462.35823202645</v>
      </c>
      <c r="S314" s="29">
        <f t="shared" si="86"/>
        <v>312462.35823202645</v>
      </c>
      <c r="T314" s="29">
        <f t="shared" si="87"/>
        <v>312462.35823202645</v>
      </c>
      <c r="U314">
        <f t="shared" si="88"/>
        <v>0</v>
      </c>
      <c r="V314" s="29">
        <f t="shared" si="89"/>
        <v>312462.35823202645</v>
      </c>
      <c r="W314" s="29">
        <f t="shared" si="90"/>
        <v>312462.35823202645</v>
      </c>
      <c r="X314" s="29">
        <f t="shared" si="91"/>
        <v>312462.35823202645</v>
      </c>
      <c r="Y314">
        <f t="shared" si="92"/>
        <v>0</v>
      </c>
    </row>
    <row r="315" spans="1:25" x14ac:dyDescent="0.25">
      <c r="A315" s="4" t="s">
        <v>1257</v>
      </c>
      <c r="B315" s="7" t="s">
        <v>649</v>
      </c>
      <c r="C315" s="2" t="s">
        <v>1258</v>
      </c>
      <c r="D315">
        <f>VLOOKUP(B315,'Model allocations'!$A$1:$L$317,6,FALSE)</f>
        <v>79173.289002137608</v>
      </c>
      <c r="E315" s="31">
        <f>VLOOKUP(B315,'Initial adjusted formula count'!$A$1:$P$317,12,FALSE)</f>
        <v>0.124688279301746</v>
      </c>
      <c r="F315">
        <f>VLOOKUP(B315,'Model allocations'!$A$1:$L$317,11,FALSE)</f>
        <v>85584.448179912899</v>
      </c>
      <c r="G315" s="30">
        <f t="shared" si="93"/>
        <v>0.85</v>
      </c>
      <c r="H315">
        <f t="shared" si="94"/>
        <v>67297.295651816967</v>
      </c>
      <c r="I315">
        <f t="shared" si="76"/>
        <v>0</v>
      </c>
      <c r="J315">
        <f t="shared" si="77"/>
        <v>85584.448179912899</v>
      </c>
      <c r="K315">
        <f t="shared" si="78"/>
        <v>85534.529410635936</v>
      </c>
      <c r="L315">
        <f t="shared" si="79"/>
        <v>85534.529410635936</v>
      </c>
      <c r="M315">
        <f t="shared" si="80"/>
        <v>0</v>
      </c>
      <c r="N315" s="29">
        <f t="shared" si="81"/>
        <v>85534.529410635936</v>
      </c>
      <c r="O315" s="29">
        <f t="shared" si="82"/>
        <v>85528.017764240823</v>
      </c>
      <c r="P315" s="29">
        <f t="shared" si="83"/>
        <v>85528.017764240823</v>
      </c>
      <c r="Q315">
        <f t="shared" si="84"/>
        <v>0</v>
      </c>
      <c r="R315" s="29">
        <f t="shared" si="85"/>
        <v>85528.017764240823</v>
      </c>
      <c r="S315" s="29">
        <f t="shared" si="86"/>
        <v>85528.017764240823</v>
      </c>
      <c r="T315" s="29">
        <f t="shared" si="87"/>
        <v>85528.017764240823</v>
      </c>
      <c r="U315">
        <f t="shared" si="88"/>
        <v>0</v>
      </c>
      <c r="V315" s="29">
        <f t="shared" si="89"/>
        <v>85528.017764240823</v>
      </c>
      <c r="W315" s="29">
        <f t="shared" si="90"/>
        <v>85528.017764240823</v>
      </c>
      <c r="X315" s="29">
        <f t="shared" si="91"/>
        <v>85528.017764240823</v>
      </c>
      <c r="Y315">
        <f t="shared" si="92"/>
        <v>0</v>
      </c>
    </row>
    <row r="316" spans="1:25" x14ac:dyDescent="0.25">
      <c r="A316" s="1"/>
      <c r="B316" s="7" t="s">
        <v>651</v>
      </c>
      <c r="C316" s="2" t="s">
        <v>652</v>
      </c>
      <c r="D316">
        <f>VLOOKUP(B316,'Model allocations'!$A$1:$L$317,6,FALSE)</f>
        <v>548377.30802943988</v>
      </c>
      <c r="E316" s="31">
        <f>VLOOKUP(B316,'Initial adjusted formula count'!$A$1:$P$317,12,FALSE)</f>
        <v>1</v>
      </c>
      <c r="F316">
        <f>VLOOKUP(B316,'Model allocations'!$A$1:$L$317,11,FALSE)</f>
        <v>520958.44262796786</v>
      </c>
      <c r="G316" s="30">
        <f t="shared" si="93"/>
        <v>0.95</v>
      </c>
      <c r="H316">
        <f t="shared" si="94"/>
        <v>520958.44262796786</v>
      </c>
      <c r="I316">
        <f t="shared" si="76"/>
        <v>0</v>
      </c>
      <c r="J316">
        <f t="shared" si="77"/>
        <v>520958.44262796786</v>
      </c>
      <c r="K316">
        <f t="shared" si="78"/>
        <v>520654.58363426646</v>
      </c>
      <c r="L316">
        <f t="shared" si="79"/>
        <v>520654.58363426646</v>
      </c>
      <c r="M316">
        <f t="shared" si="80"/>
        <v>520958.44262796786</v>
      </c>
      <c r="N316" s="29">
        <f t="shared" si="81"/>
        <v>0</v>
      </c>
      <c r="O316" s="29">
        <f t="shared" si="82"/>
        <v>0</v>
      </c>
      <c r="P316" s="29">
        <f t="shared" si="83"/>
        <v>520958.44262796786</v>
      </c>
      <c r="Q316">
        <f t="shared" si="84"/>
        <v>0</v>
      </c>
      <c r="R316" s="29">
        <f t="shared" si="85"/>
        <v>0</v>
      </c>
      <c r="S316" s="29">
        <f t="shared" si="86"/>
        <v>0</v>
      </c>
      <c r="T316" s="29">
        <f t="shared" si="87"/>
        <v>520958.44262796786</v>
      </c>
      <c r="U316">
        <f t="shared" si="88"/>
        <v>0</v>
      </c>
      <c r="V316" s="29">
        <f t="shared" si="89"/>
        <v>0</v>
      </c>
      <c r="W316" s="29">
        <f t="shared" si="90"/>
        <v>0</v>
      </c>
      <c r="X316" s="29">
        <f t="shared" si="91"/>
        <v>520958.44262796786</v>
      </c>
      <c r="Y316">
        <f t="shared" si="92"/>
        <v>0</v>
      </c>
    </row>
    <row r="317" spans="1:25" x14ac:dyDescent="0.25">
      <c r="A317" t="s">
        <v>1429</v>
      </c>
      <c r="B317" t="s">
        <v>1421</v>
      </c>
      <c r="C317" t="s">
        <v>1422</v>
      </c>
      <c r="D317">
        <f>VLOOKUP(B317,'Model allocations'!$A$1:$L$317,6,FALSE)</f>
        <v>47817.022432642545</v>
      </c>
      <c r="E317" s="31">
        <f>VLOOKUP(B317,'Initial adjusted formula count'!$A$1:$P$317,12,FALSE)</f>
        <v>0.176337460229611</v>
      </c>
      <c r="F317">
        <f>VLOOKUP(B317,'Model allocations'!$A$1:$L$317,11,FALSE)</f>
        <v>48957.067418319537</v>
      </c>
      <c r="G317" s="30">
        <f t="shared" ref="G317:G318" si="95">IF(E317&lt;0.15,0.85,IF(AND(E317&gt;=0.15,E317&lt;0.3),0.9,0.95))</f>
        <v>0.9</v>
      </c>
      <c r="H317">
        <f t="shared" ref="H317:H318" si="96">IF(F317 = 0, 0, D317*G317)</f>
        <v>43035.32018937829</v>
      </c>
      <c r="I317">
        <f t="shared" ref="I317:I318" si="97">IF(F317&lt;H317,H317,0)</f>
        <v>0</v>
      </c>
      <c r="J317">
        <f t="shared" ref="J317:J318" si="98">IF(I317=0,F317,0)</f>
        <v>48957.067418319537</v>
      </c>
      <c r="K317">
        <f t="shared" ref="K317:K318" si="99">(J317/$J$3)*($F$3-$I$3)</f>
        <v>48928.512270685766</v>
      </c>
      <c r="L317">
        <f t="shared" ref="L317:L318" si="100">I317+K317</f>
        <v>48928.512270685766</v>
      </c>
      <c r="M317">
        <f t="shared" ref="M317:M318" si="101">IF(L317&lt;H317,H317,0)</f>
        <v>0</v>
      </c>
      <c r="N317" s="29">
        <f t="shared" ref="N317:N318" si="102">IF($I317+$M317=0,L317,0)</f>
        <v>48928.512270685766</v>
      </c>
      <c r="O317" s="29">
        <f t="shared" ref="O317:O318" si="103">((N317/$N$3)*($F$3-$I$3-$M$3))</f>
        <v>48924.787398721885</v>
      </c>
      <c r="P317" s="29">
        <f t="shared" ref="P317:P318" si="104">$I317+$M317+O317</f>
        <v>48924.787398721885</v>
      </c>
      <c r="Q317">
        <f t="shared" ref="Q317:Q318" si="105">IF(P317&lt;H317,H317,0)</f>
        <v>0</v>
      </c>
      <c r="R317" s="29">
        <f t="shared" ref="R317:R318" si="106">IF($I317+$M317+$Q317=0,P317,0)</f>
        <v>48924.787398721885</v>
      </c>
      <c r="S317" s="29">
        <f t="shared" ref="S317:S318" si="107">((R317/$R$3)*($F$3-$I$3-$M$3-$Q$3))</f>
        <v>48924.787398721885</v>
      </c>
      <c r="T317" s="29">
        <f t="shared" ref="T317:T318" si="108">$I317+$M317+$Q317+S317</f>
        <v>48924.787398721885</v>
      </c>
      <c r="U317">
        <f t="shared" ref="U317:U318" si="109">IF(T317&lt;H317,H317,0)</f>
        <v>0</v>
      </c>
      <c r="V317" s="29">
        <f t="shared" ref="V317:V318" si="110">IF($I317+$M317+$Q317+U317=0,T317,0)</f>
        <v>48924.787398721885</v>
      </c>
      <c r="W317" s="29">
        <f t="shared" ref="W317:W318" si="111">((V317/$V$3)*($F$3-$I$3-$M$3-$Q$3-$U$3))</f>
        <v>48924.787398721885</v>
      </c>
      <c r="X317" s="29">
        <f t="shared" ref="X317:X318" si="112">$I317+$M317+$Q317+$U317+W317</f>
        <v>48924.787398721885</v>
      </c>
      <c r="Y317">
        <f t="shared" ref="Y317:Y318" si="113">IF(X317&lt;H317,H317,0)</f>
        <v>0</v>
      </c>
    </row>
    <row r="318" spans="1:25" x14ac:dyDescent="0.25">
      <c r="A318" t="s">
        <v>1430</v>
      </c>
      <c r="B318" t="s">
        <v>1423</v>
      </c>
      <c r="C318" t="s">
        <v>1424</v>
      </c>
      <c r="D318">
        <f>VLOOKUP(B318,'Model allocations'!$A$1:$L$317,6,FALSE)</f>
        <v>14413.944843656911</v>
      </c>
      <c r="E318" s="31">
        <f>VLOOKUP(B318,'Initial adjusted formula count'!$A$1:$P$317,12,FALSE)</f>
        <v>0.14068098658834399</v>
      </c>
      <c r="F318">
        <f>VLOOKUP(B318,'Model allocations'!$A$1:$L$317,11,FALSE)</f>
        <v>13890.588333945803</v>
      </c>
      <c r="G318" s="30">
        <f t="shared" si="95"/>
        <v>0.85</v>
      </c>
      <c r="H318">
        <f t="shared" si="96"/>
        <v>12251.853117108374</v>
      </c>
      <c r="I318">
        <f t="shared" si="97"/>
        <v>0</v>
      </c>
      <c r="J318">
        <f t="shared" si="98"/>
        <v>13890.588333945803</v>
      </c>
      <c r="K318">
        <f t="shared" si="99"/>
        <v>13882.486382143696</v>
      </c>
      <c r="L318">
        <f t="shared" si="100"/>
        <v>13882.486382143696</v>
      </c>
      <c r="M318">
        <f t="shared" si="101"/>
        <v>0</v>
      </c>
      <c r="N318" s="29">
        <f t="shared" si="102"/>
        <v>13882.486382143696</v>
      </c>
      <c r="O318" s="29">
        <f t="shared" si="103"/>
        <v>13881.429524252171</v>
      </c>
      <c r="P318" s="29">
        <f t="shared" si="104"/>
        <v>13881.429524252171</v>
      </c>
      <c r="Q318">
        <f t="shared" si="105"/>
        <v>0</v>
      </c>
      <c r="R318" s="29">
        <f t="shared" si="106"/>
        <v>13881.429524252171</v>
      </c>
      <c r="S318" s="29">
        <f t="shared" si="107"/>
        <v>13881.429524252171</v>
      </c>
      <c r="T318" s="29">
        <f t="shared" si="108"/>
        <v>13881.429524252171</v>
      </c>
      <c r="U318">
        <f t="shared" si="109"/>
        <v>0</v>
      </c>
      <c r="V318" s="29">
        <f t="shared" si="110"/>
        <v>13881.429524252171</v>
      </c>
      <c r="W318" s="29">
        <f t="shared" si="111"/>
        <v>13881.429524252171</v>
      </c>
      <c r="X318" s="29">
        <f t="shared" si="112"/>
        <v>13881.429524252171</v>
      </c>
      <c r="Y318">
        <f t="shared" si="113"/>
        <v>0</v>
      </c>
    </row>
  </sheetData>
  <sheetProtection algorithmName="SHA-512" hashValue="TcAqiH1YZPGVNWrKbUYwJz3ak7p5+z4F74f0h/RMx625HxDq2OZmojQcb6Aa+9kVv6YMwobb44IO17sG45kf8g==" saltValue="tg9DVtXjnK/B3WWlDw+rag==" spinCount="100000" sheet="1" objects="1" scenarios="1"/>
  <autoFilter ref="A3:Y318" xr:uid="{B34A506B-0783-4864-A67B-A0D4F556461E}"/>
  <conditionalFormatting sqref="B1:B316">
    <cfRule type="duplicateValues" dxfId="0" priority="14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AFD0-3ECD-4CC2-8DF5-17977764E11A}">
  <sheetPr>
    <tabColor rgb="FFFF0000"/>
  </sheetPr>
  <dimension ref="A1:L316"/>
  <sheetViews>
    <sheetView topLeftCell="B1" workbookViewId="0">
      <selection activeCell="L4" sqref="L4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26.5703125" bestFit="1" customWidth="1"/>
    <col min="4" max="4" width="25.7109375" bestFit="1" customWidth="1"/>
    <col min="5" max="5" width="29.42578125" bestFit="1" customWidth="1"/>
    <col min="6" max="6" width="25.42578125" bestFit="1" customWidth="1"/>
    <col min="7" max="7" width="25.85546875" bestFit="1" customWidth="1"/>
    <col min="8" max="8" width="17.28515625" bestFit="1" customWidth="1"/>
    <col min="9" max="9" width="17.7109375" bestFit="1" customWidth="1"/>
    <col min="10" max="10" width="20.85546875" bestFit="1" customWidth="1"/>
    <col min="11" max="11" width="16.85546875" bestFit="1" customWidth="1"/>
    <col min="12" max="12" width="22.85546875" bestFit="1" customWidth="1"/>
    <col min="13" max="13" width="16.85546875" bestFit="1" customWidth="1"/>
    <col min="14" max="16" width="22.85546875" customWidth="1"/>
    <col min="17" max="17" width="47.5703125" bestFit="1" customWidth="1"/>
  </cols>
  <sheetData>
    <row r="1" spans="1:12" x14ac:dyDescent="0.25">
      <c r="A1" t="s">
        <v>4</v>
      </c>
      <c r="B1" t="s">
        <v>1279</v>
      </c>
      <c r="C1" t="s">
        <v>1336</v>
      </c>
      <c r="D1" t="s">
        <v>1337</v>
      </c>
      <c r="E1" t="s">
        <v>1338</v>
      </c>
      <c r="F1" t="s">
        <v>1339</v>
      </c>
      <c r="G1" t="s">
        <v>1357</v>
      </c>
      <c r="H1" t="s">
        <v>84</v>
      </c>
      <c r="I1" t="s">
        <v>85</v>
      </c>
      <c r="J1" t="s">
        <v>86</v>
      </c>
      <c r="K1" t="s">
        <v>87</v>
      </c>
      <c r="L1" t="s">
        <v>1340</v>
      </c>
    </row>
    <row r="2" spans="1:12" x14ac:dyDescent="0.25">
      <c r="A2" t="s">
        <v>309</v>
      </c>
      <c r="B2" t="s">
        <v>1383</v>
      </c>
      <c r="C2">
        <v>705487.43750839541</v>
      </c>
      <c r="D2">
        <v>185884.31275661089</v>
      </c>
      <c r="E2">
        <v>436283.3428980321</v>
      </c>
      <c r="F2">
        <v>599679.32829525613</v>
      </c>
      <c r="G2">
        <v>1927334.4214582946</v>
      </c>
      <c r="H2">
        <v>634755.13241215039</v>
      </c>
      <c r="I2">
        <v>167247.51609168094</v>
      </c>
      <c r="J2">
        <v>392541.4916933378</v>
      </c>
      <c r="K2">
        <v>539555.3644176051</v>
      </c>
      <c r="L2">
        <v>1734099.5046147741</v>
      </c>
    </row>
    <row r="3" spans="1:12" x14ac:dyDescent="0.25">
      <c r="A3" t="s">
        <v>260</v>
      </c>
      <c r="B3" t="s">
        <v>261</v>
      </c>
      <c r="C3">
        <v>32693.320274779297</v>
      </c>
      <c r="D3">
        <v>0</v>
      </c>
      <c r="E3">
        <v>15639.281750893295</v>
      </c>
      <c r="F3">
        <v>21496.475004290744</v>
      </c>
      <c r="G3">
        <v>69829.07702996333</v>
      </c>
      <c r="H3">
        <v>57352.722845560602</v>
      </c>
      <c r="I3">
        <v>0</v>
      </c>
      <c r="J3">
        <v>27677.575935116536</v>
      </c>
      <c r="K3">
        <v>37657.157199161673</v>
      </c>
      <c r="L3">
        <v>122687.45597983882</v>
      </c>
    </row>
    <row r="4" spans="1:12" x14ac:dyDescent="0.25">
      <c r="A4" t="s">
        <v>262</v>
      </c>
      <c r="B4" t="s">
        <v>263</v>
      </c>
      <c r="C4">
        <v>0</v>
      </c>
      <c r="D4">
        <v>0</v>
      </c>
      <c r="E4">
        <v>0</v>
      </c>
      <c r="F4">
        <v>0</v>
      </c>
      <c r="G4">
        <v>0</v>
      </c>
      <c r="H4">
        <v>15641.651685152894</v>
      </c>
      <c r="I4">
        <v>4211.8875827849861</v>
      </c>
      <c r="J4">
        <v>8358.5650288235192</v>
      </c>
      <c r="K4">
        <v>11372.375889698647</v>
      </c>
      <c r="L4">
        <v>39584.480186460045</v>
      </c>
    </row>
    <row r="5" spans="1:12" x14ac:dyDescent="0.25">
      <c r="A5" t="s">
        <v>89</v>
      </c>
      <c r="B5" t="s">
        <v>90</v>
      </c>
      <c r="C5">
        <v>229713.59245700185</v>
      </c>
      <c r="D5">
        <v>0</v>
      </c>
      <c r="E5">
        <v>109886.53230232923</v>
      </c>
      <c r="F5">
        <v>151041.02174067439</v>
      </c>
      <c r="G5">
        <v>490641.1465000055</v>
      </c>
      <c r="H5">
        <v>205948.4138545132</v>
      </c>
      <c r="I5">
        <v>0</v>
      </c>
      <c r="J5">
        <v>99387.659039736653</v>
      </c>
      <c r="K5">
        <v>135223.42812426237</v>
      </c>
      <c r="L5">
        <v>440559.50101851224</v>
      </c>
    </row>
    <row r="6" spans="1:12" x14ac:dyDescent="0.25">
      <c r="A6" t="s">
        <v>91</v>
      </c>
      <c r="B6" t="s">
        <v>92</v>
      </c>
      <c r="C6">
        <v>484377.35038686154</v>
      </c>
      <c r="D6">
        <v>0</v>
      </c>
      <c r="E6">
        <v>231708.3059408665</v>
      </c>
      <c r="F6">
        <v>318487.24808988639</v>
      </c>
      <c r="G6">
        <v>1034572.9044176145</v>
      </c>
      <c r="H6">
        <v>470987.51185293705</v>
      </c>
      <c r="I6">
        <v>0</v>
      </c>
      <c r="J6">
        <v>227291.60843686611</v>
      </c>
      <c r="K6">
        <v>309245.13942341856</v>
      </c>
      <c r="L6">
        <v>1007524.2597132217</v>
      </c>
    </row>
    <row r="7" spans="1:12" x14ac:dyDescent="0.25">
      <c r="A7" t="s">
        <v>310</v>
      </c>
      <c r="B7" t="s">
        <v>311</v>
      </c>
      <c r="C7">
        <v>43950.743131969139</v>
      </c>
      <c r="D7">
        <v>0</v>
      </c>
      <c r="E7">
        <v>21364.210085989966</v>
      </c>
      <c r="F7">
        <v>29459.828465911669</v>
      </c>
      <c r="G7">
        <v>94774.781683870766</v>
      </c>
      <c r="H7">
        <v>37227.280062656522</v>
      </c>
      <c r="I7">
        <v>0</v>
      </c>
      <c r="J7">
        <v>18095.972343413392</v>
      </c>
      <c r="K7">
        <v>24953.145424760383</v>
      </c>
      <c r="L7">
        <v>80276.397830830305</v>
      </c>
    </row>
    <row r="8" spans="1:12" x14ac:dyDescent="0.25">
      <c r="A8" t="s">
        <v>312</v>
      </c>
      <c r="B8" t="s">
        <v>313</v>
      </c>
      <c r="C8">
        <v>2598258.6113114059</v>
      </c>
      <c r="D8">
        <v>684598.32259142061</v>
      </c>
      <c r="E8">
        <v>1878154.2702684619</v>
      </c>
      <c r="F8">
        <v>2581556.9390021251</v>
      </c>
      <c r="G8">
        <v>7742568.1431734134</v>
      </c>
      <c r="H8">
        <v>2494843.4437818867</v>
      </c>
      <c r="I8">
        <v>671796.06945420557</v>
      </c>
      <c r="J8">
        <v>1788768.1841096915</v>
      </c>
      <c r="K8">
        <v>2433736.4247427899</v>
      </c>
      <c r="L8">
        <v>7389144.1220885739</v>
      </c>
    </row>
    <row r="9" spans="1:12" x14ac:dyDescent="0.25">
      <c r="A9" t="s">
        <v>93</v>
      </c>
      <c r="B9" t="s">
        <v>94</v>
      </c>
      <c r="C9">
        <v>122169.77576364891</v>
      </c>
      <c r="D9">
        <v>0</v>
      </c>
      <c r="E9">
        <v>0</v>
      </c>
      <c r="F9">
        <v>0</v>
      </c>
      <c r="G9">
        <v>122169.77576364891</v>
      </c>
      <c r="H9">
        <v>131216.0780254493</v>
      </c>
      <c r="I9">
        <v>0</v>
      </c>
      <c r="J9">
        <v>0</v>
      </c>
      <c r="K9">
        <v>0</v>
      </c>
      <c r="L9">
        <v>131216.0780254493</v>
      </c>
    </row>
    <row r="10" spans="1:12" x14ac:dyDescent="0.25">
      <c r="A10" t="s">
        <v>95</v>
      </c>
      <c r="B10" t="s">
        <v>96</v>
      </c>
      <c r="C10">
        <v>774631.84770095581</v>
      </c>
      <c r="D10">
        <v>0</v>
      </c>
      <c r="E10">
        <v>449482.95126227324</v>
      </c>
      <c r="F10">
        <v>619807.17233359464</v>
      </c>
      <c r="G10">
        <v>1843921.9712968238</v>
      </c>
      <c r="H10">
        <v>775130.73906424362</v>
      </c>
      <c r="I10">
        <v>0</v>
      </c>
      <c r="J10">
        <v>416212.03205459338</v>
      </c>
      <c r="K10">
        <v>566283.76545709034</v>
      </c>
      <c r="L10">
        <v>1757626.5365759274</v>
      </c>
    </row>
    <row r="11" spans="1:12" x14ac:dyDescent="0.25">
      <c r="A11" t="s">
        <v>97</v>
      </c>
      <c r="B11" t="s">
        <v>98</v>
      </c>
      <c r="C11">
        <v>1159752.519221118</v>
      </c>
      <c r="D11">
        <v>0</v>
      </c>
      <c r="E11">
        <v>690331.03840355063</v>
      </c>
      <c r="F11">
        <v>951920.70730477036</v>
      </c>
      <c r="G11">
        <v>2802004.2649294389</v>
      </c>
      <c r="H11">
        <v>1270449.7090940855</v>
      </c>
      <c r="I11">
        <v>0</v>
      </c>
      <c r="J11">
        <v>774762.44757769397</v>
      </c>
      <c r="K11">
        <v>1054115.120082594</v>
      </c>
      <c r="L11">
        <v>3099327.2767543737</v>
      </c>
    </row>
    <row r="12" spans="1:12" x14ac:dyDescent="0.25">
      <c r="A12" t="s">
        <v>56</v>
      </c>
      <c r="B12" t="s">
        <v>1385</v>
      </c>
      <c r="C12">
        <v>1235715.3716398529</v>
      </c>
      <c r="D12">
        <v>0</v>
      </c>
      <c r="E12">
        <v>786352.3782197634</v>
      </c>
      <c r="F12">
        <v>1084327.7651209484</v>
      </c>
      <c r="G12">
        <v>3106395.5149805648</v>
      </c>
      <c r="H12">
        <v>1167679.7789691328</v>
      </c>
      <c r="I12">
        <v>0</v>
      </c>
      <c r="J12">
        <v>701255.29039980122</v>
      </c>
      <c r="K12">
        <v>954103.8120258305</v>
      </c>
      <c r="L12">
        <v>2823038.8813947644</v>
      </c>
    </row>
    <row r="13" spans="1:12" x14ac:dyDescent="0.25">
      <c r="A13" t="s">
        <v>99</v>
      </c>
      <c r="B13" t="s">
        <v>100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264</v>
      </c>
      <c r="B14" t="s">
        <v>265</v>
      </c>
      <c r="C14">
        <v>1977085.5260905998</v>
      </c>
      <c r="D14">
        <v>0</v>
      </c>
      <c r="E14">
        <v>1283861.563734517</v>
      </c>
      <c r="F14">
        <v>1764690.8888390777</v>
      </c>
      <c r="G14">
        <v>5025637.9786641952</v>
      </c>
      <c r="H14">
        <v>2181141.4294296536</v>
      </c>
      <c r="I14">
        <v>0</v>
      </c>
      <c r="J14">
        <v>1485992.2776679611</v>
      </c>
      <c r="K14">
        <v>2021789.9475034762</v>
      </c>
      <c r="L14">
        <v>5688923.6546010906</v>
      </c>
    </row>
    <row r="15" spans="1:12" x14ac:dyDescent="0.25">
      <c r="A15" t="s">
        <v>314</v>
      </c>
      <c r="B15" t="s">
        <v>315</v>
      </c>
      <c r="C15">
        <v>10906.893975764393</v>
      </c>
      <c r="D15">
        <v>2856.5758939464172</v>
      </c>
      <c r="E15">
        <v>6015.3466569807933</v>
      </c>
      <c r="F15">
        <v>8294.7639984994967</v>
      </c>
      <c r="G15">
        <v>28073.580525191101</v>
      </c>
      <c r="H15">
        <v>0</v>
      </c>
      <c r="I15">
        <v>2428.0895098544547</v>
      </c>
      <c r="J15">
        <v>0</v>
      </c>
      <c r="K15">
        <v>0</v>
      </c>
      <c r="L15">
        <v>2428.0895098544547</v>
      </c>
    </row>
    <row r="16" spans="1:12" x14ac:dyDescent="0.25">
      <c r="A16" t="s">
        <v>316</v>
      </c>
      <c r="B16" t="s">
        <v>317</v>
      </c>
      <c r="C16">
        <v>267138.11059899989</v>
      </c>
      <c r="D16">
        <v>69964.94958025057</v>
      </c>
      <c r="E16">
        <v>129854.33942890776</v>
      </c>
      <c r="F16">
        <v>179060.51989436932</v>
      </c>
      <c r="G16">
        <v>646017.91950252745</v>
      </c>
      <c r="H16">
        <v>267646.03994594951</v>
      </c>
      <c r="I16">
        <v>59470.207143212981</v>
      </c>
      <c r="J16">
        <v>129162.02103054385</v>
      </c>
      <c r="K16">
        <v>175733.4002627545</v>
      </c>
      <c r="L16">
        <v>632011.66838246083</v>
      </c>
    </row>
    <row r="17" spans="1:12" x14ac:dyDescent="0.25">
      <c r="A17" t="s">
        <v>318</v>
      </c>
      <c r="B17" t="s">
        <v>319</v>
      </c>
      <c r="C17">
        <v>24089.814939311054</v>
      </c>
      <c r="D17">
        <v>3831.1206422324799</v>
      </c>
      <c r="E17">
        <v>11523.681290131903</v>
      </c>
      <c r="F17">
        <v>15839.507897898438</v>
      </c>
      <c r="G17">
        <v>55284.124769573871</v>
      </c>
      <c r="H17">
        <v>20476.342698414395</v>
      </c>
      <c r="I17">
        <v>3256.4525458976077</v>
      </c>
      <c r="J17">
        <v>9795.1290966121178</v>
      </c>
      <c r="K17">
        <v>13463.581713213673</v>
      </c>
      <c r="L17">
        <v>46991.50605413779</v>
      </c>
    </row>
    <row r="18" spans="1:12" x14ac:dyDescent="0.25">
      <c r="A18" t="s">
        <v>55</v>
      </c>
      <c r="B18" t="s">
        <v>9</v>
      </c>
      <c r="C18">
        <v>819124.2124931392</v>
      </c>
      <c r="D18">
        <v>215825.73013537956</v>
      </c>
      <c r="E18">
        <v>458083.68394561857</v>
      </c>
      <c r="F18">
        <v>629644.29048974381</v>
      </c>
      <c r="G18">
        <v>2122677.9170638812</v>
      </c>
      <c r="H18">
        <v>732359.48458403081</v>
      </c>
      <c r="I18">
        <v>192937.18298741101</v>
      </c>
      <c r="J18">
        <v>409558.4983099784</v>
      </c>
      <c r="K18">
        <v>562945.54711327609</v>
      </c>
      <c r="L18">
        <v>1897800.7129946963</v>
      </c>
    </row>
    <row r="19" spans="1:12" x14ac:dyDescent="0.25">
      <c r="A19" t="s">
        <v>320</v>
      </c>
      <c r="B19" t="s">
        <v>321</v>
      </c>
      <c r="C19">
        <v>208567.25116782496</v>
      </c>
      <c r="D19">
        <v>54229.157445164499</v>
      </c>
      <c r="E19">
        <v>136576.44027378573</v>
      </c>
      <c r="F19">
        <v>184971.87213735111</v>
      </c>
      <c r="G19">
        <v>584344.72102412628</v>
      </c>
      <c r="H19">
        <v>210293.3171003889</v>
      </c>
      <c r="I19">
        <v>56626.488612998146</v>
      </c>
      <c r="J19">
        <v>141214.94486267949</v>
      </c>
      <c r="K19">
        <v>192132.19358628348</v>
      </c>
      <c r="L19">
        <v>600266.94416235003</v>
      </c>
    </row>
    <row r="20" spans="1:12" x14ac:dyDescent="0.25">
      <c r="A20" t="s">
        <v>322</v>
      </c>
      <c r="B20" t="s">
        <v>323</v>
      </c>
      <c r="C20">
        <v>152217.50260669328</v>
      </c>
      <c r="D20">
        <v>39577.771047698981</v>
      </c>
      <c r="E20">
        <v>110322.09072156889</v>
      </c>
      <c r="F20">
        <v>152126.84464236131</v>
      </c>
      <c r="G20">
        <v>454244.20901832241</v>
      </c>
      <c r="H20">
        <v>136995.75234602395</v>
      </c>
      <c r="I20">
        <v>36269.031962870722</v>
      </c>
      <c r="J20">
        <v>99289.881649412011</v>
      </c>
      <c r="K20">
        <v>136914.16017812517</v>
      </c>
      <c r="L20">
        <v>409468.82613643177</v>
      </c>
    </row>
    <row r="21" spans="1:12" x14ac:dyDescent="0.25">
      <c r="A21" t="s">
        <v>324</v>
      </c>
      <c r="B21" t="s">
        <v>325</v>
      </c>
      <c r="C21">
        <v>23268.04048163072</v>
      </c>
      <c r="D21">
        <v>6120.5810297908465</v>
      </c>
      <c r="E21">
        <v>16486.539034044137</v>
      </c>
      <c r="F21">
        <v>22733.843656499121</v>
      </c>
      <c r="G21">
        <v>68609.004201964824</v>
      </c>
      <c r="H21">
        <v>21724.51622937902</v>
      </c>
      <c r="I21">
        <v>5849.8438649791478</v>
      </c>
      <c r="J21">
        <v>14837.885130639725</v>
      </c>
      <c r="K21">
        <v>20460.459290849209</v>
      </c>
      <c r="L21">
        <v>62872.704515847101</v>
      </c>
    </row>
    <row r="22" spans="1:12" x14ac:dyDescent="0.25">
      <c r="A22" t="s">
        <v>326</v>
      </c>
      <c r="B22" t="s">
        <v>327</v>
      </c>
      <c r="C22">
        <v>383870.28646256687</v>
      </c>
      <c r="D22">
        <v>97495.414964399009</v>
      </c>
      <c r="E22">
        <v>172892.90837407191</v>
      </c>
      <c r="F22">
        <v>232916.76880861406</v>
      </c>
      <c r="G22">
        <v>887175.37860965193</v>
      </c>
      <c r="H22">
        <v>344985.31772253884</v>
      </c>
      <c r="I22">
        <v>82871.102719739152</v>
      </c>
      <c r="J22">
        <v>166484.81282183737</v>
      </c>
      <c r="K22">
        <v>226513.50618283611</v>
      </c>
      <c r="L22">
        <v>820854.73944695154</v>
      </c>
    </row>
    <row r="23" spans="1:12" x14ac:dyDescent="0.25">
      <c r="A23" t="s">
        <v>101</v>
      </c>
      <c r="B23" t="s">
        <v>102</v>
      </c>
      <c r="C23">
        <v>226621.01927421574</v>
      </c>
      <c r="D23">
        <v>0</v>
      </c>
      <c r="E23">
        <v>0</v>
      </c>
      <c r="F23">
        <v>0</v>
      </c>
      <c r="G23">
        <v>226621.01927421574</v>
      </c>
      <c r="H23">
        <v>236362.73657564376</v>
      </c>
      <c r="I23">
        <v>0</v>
      </c>
      <c r="J23">
        <v>0</v>
      </c>
      <c r="K23">
        <v>0</v>
      </c>
      <c r="L23">
        <v>236362.73657564376</v>
      </c>
    </row>
    <row r="24" spans="1:12" x14ac:dyDescent="0.25">
      <c r="A24" t="s">
        <v>328</v>
      </c>
      <c r="B24" t="s">
        <v>329</v>
      </c>
      <c r="C24">
        <v>96359.259757244217</v>
      </c>
      <c r="D24">
        <v>25389.076864317609</v>
      </c>
      <c r="E24">
        <v>59789.207769652916</v>
      </c>
      <c r="F24">
        <v>82445.351263503588</v>
      </c>
      <c r="G24">
        <v>263982.89565471833</v>
      </c>
      <c r="H24">
        <v>81905.370793657581</v>
      </c>
      <c r="I24">
        <v>21580.715334669967</v>
      </c>
      <c r="J24">
        <v>50820.82660420498</v>
      </c>
      <c r="K24">
        <v>70078.548573978042</v>
      </c>
      <c r="L24">
        <v>224385.46130651058</v>
      </c>
    </row>
    <row r="25" spans="1:12" x14ac:dyDescent="0.25">
      <c r="A25" t="s">
        <v>103</v>
      </c>
      <c r="B25" t="s">
        <v>104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330</v>
      </c>
      <c r="B26" t="s">
        <v>331</v>
      </c>
      <c r="C26">
        <v>151421.69390424096</v>
      </c>
      <c r="D26">
        <v>0</v>
      </c>
      <c r="E26">
        <v>72434.568109400556</v>
      </c>
      <c r="F26">
        <v>99562.621072504466</v>
      </c>
      <c r="G26">
        <v>323418.88308614597</v>
      </c>
      <c r="H26">
        <v>132954.0393237996</v>
      </c>
      <c r="I26">
        <v>0</v>
      </c>
      <c r="J26">
        <v>64161.653304133797</v>
      </c>
      <c r="K26">
        <v>87296.13714351115</v>
      </c>
      <c r="L26">
        <v>284411.82977144455</v>
      </c>
    </row>
    <row r="27" spans="1:12" x14ac:dyDescent="0.25">
      <c r="A27" t="s">
        <v>332</v>
      </c>
      <c r="B27" t="s">
        <v>333</v>
      </c>
      <c r="C27">
        <v>142818.18856877266</v>
      </c>
      <c r="D27">
        <v>31177.395571271216</v>
      </c>
      <c r="E27">
        <v>68318.967648639169</v>
      </c>
      <c r="F27">
        <v>93905.653966112164</v>
      </c>
      <c r="G27">
        <v>336220.20575479523</v>
      </c>
      <c r="H27">
        <v>142512.82646472641</v>
      </c>
      <c r="I27">
        <v>26500.786235580534</v>
      </c>
      <c r="J27">
        <v>68774.582626653209</v>
      </c>
      <c r="K27">
        <v>93572.330010038102</v>
      </c>
      <c r="L27">
        <v>331360.52533699828</v>
      </c>
    </row>
    <row r="28" spans="1:12" x14ac:dyDescent="0.25">
      <c r="A28" t="s">
        <v>105</v>
      </c>
      <c r="B28" t="s">
        <v>106</v>
      </c>
      <c r="C28">
        <v>160025.19923970915</v>
      </c>
      <c r="D28">
        <v>0</v>
      </c>
      <c r="E28">
        <v>76550.168570161957</v>
      </c>
      <c r="F28">
        <v>105219.58817889677</v>
      </c>
      <c r="G28">
        <v>341794.95598876785</v>
      </c>
      <c r="H28">
        <v>167713.26529080601</v>
      </c>
      <c r="I28">
        <v>0</v>
      </c>
      <c r="J28">
        <v>80935.941749658974</v>
      </c>
      <c r="K28">
        <v>110118.65665815459</v>
      </c>
      <c r="L28">
        <v>358767.86369861953</v>
      </c>
    </row>
    <row r="29" spans="1:12" x14ac:dyDescent="0.25">
      <c r="A29" t="s">
        <v>66</v>
      </c>
      <c r="B29" t="s">
        <v>1396</v>
      </c>
      <c r="C29">
        <v>63398.866922579939</v>
      </c>
      <c r="D29">
        <v>0</v>
      </c>
      <c r="E29">
        <v>35454.923777041549</v>
      </c>
      <c r="F29">
        <v>48733.432576510335</v>
      </c>
      <c r="G29">
        <v>147587.22327613182</v>
      </c>
      <c r="H29">
        <v>60923.266415243648</v>
      </c>
      <c r="I29">
        <v>0</v>
      </c>
      <c r="J29">
        <v>34070.21009543979</v>
      </c>
      <c r="K29">
        <v>46830.118631613135</v>
      </c>
      <c r="L29">
        <v>141823.59514229657</v>
      </c>
    </row>
    <row r="30" spans="1:12" x14ac:dyDescent="0.25">
      <c r="A30" t="s">
        <v>334</v>
      </c>
      <c r="B30" t="s">
        <v>335</v>
      </c>
      <c r="C30">
        <v>23229.464405764236</v>
      </c>
      <c r="D30">
        <v>6120.5810297908465</v>
      </c>
      <c r="E30">
        <v>16960.893659854155</v>
      </c>
      <c r="F30">
        <v>23313.054423913203</v>
      </c>
      <c r="G30">
        <v>69623.993519322437</v>
      </c>
      <c r="H30">
        <v>20906.517965187813</v>
      </c>
      <c r="I30">
        <v>5615.8501103799836</v>
      </c>
      <c r="J30">
        <v>15264.804293868739</v>
      </c>
      <c r="K30">
        <v>20981.748981521883</v>
      </c>
      <c r="L30">
        <v>62768.921350958422</v>
      </c>
    </row>
    <row r="31" spans="1:12" x14ac:dyDescent="0.25">
      <c r="A31" t="s">
        <v>107</v>
      </c>
      <c r="B31" t="s">
        <v>108</v>
      </c>
      <c r="C31">
        <v>751086.0157863769</v>
      </c>
      <c r="D31">
        <v>0</v>
      </c>
      <c r="E31">
        <v>396743.88441739831</v>
      </c>
      <c r="F31">
        <v>545331.6290562175</v>
      </c>
      <c r="G31">
        <v>1693161.5292599928</v>
      </c>
      <c r="H31">
        <v>680411.84830415098</v>
      </c>
      <c r="I31">
        <v>0</v>
      </c>
      <c r="J31">
        <v>347647.12803350919</v>
      </c>
      <c r="K31">
        <v>472996.71694098524</v>
      </c>
      <c r="L31">
        <v>1501055.6932786454</v>
      </c>
    </row>
    <row r="32" spans="1:12" x14ac:dyDescent="0.25">
      <c r="A32" t="s">
        <v>266</v>
      </c>
      <c r="B32" t="s">
        <v>267</v>
      </c>
      <c r="C32">
        <v>1594229.5386622641</v>
      </c>
      <c r="D32">
        <v>0</v>
      </c>
      <c r="E32">
        <v>1001737.1521493235</v>
      </c>
      <c r="F32">
        <v>1376905.7936958857</v>
      </c>
      <c r="G32">
        <v>3972872.4845074732</v>
      </c>
      <c r="H32">
        <v>1355095.1078629245</v>
      </c>
      <c r="I32">
        <v>0</v>
      </c>
      <c r="J32">
        <v>851476.57932692498</v>
      </c>
      <c r="K32">
        <v>1170369.9246415028</v>
      </c>
      <c r="L32">
        <v>3376941.6118313521</v>
      </c>
    </row>
    <row r="33" spans="1:12" x14ac:dyDescent="0.25">
      <c r="A33" t="s">
        <v>336</v>
      </c>
      <c r="B33" t="s">
        <v>337</v>
      </c>
      <c r="C33">
        <v>662469.91083105397</v>
      </c>
      <c r="D33">
        <v>174549.90344218345</v>
      </c>
      <c r="E33">
        <v>349037.1197123953</v>
      </c>
      <c r="F33">
        <v>479757.8200187211</v>
      </c>
      <c r="G33">
        <v>1665814.7540043539</v>
      </c>
      <c r="H33">
        <v>749061.31958898879</v>
      </c>
      <c r="I33">
        <v>201702.61646448108</v>
      </c>
      <c r="J33">
        <v>420226.16121532873</v>
      </c>
      <c r="K33">
        <v>571745.25143324328</v>
      </c>
      <c r="L33">
        <v>1942735.3487020419</v>
      </c>
    </row>
    <row r="34" spans="1:12" x14ac:dyDescent="0.25">
      <c r="A34" t="s">
        <v>338</v>
      </c>
      <c r="B34" t="s">
        <v>339</v>
      </c>
      <c r="C34">
        <v>247222.93011732632</v>
      </c>
      <c r="D34">
        <v>0</v>
      </c>
      <c r="E34">
        <v>120173.68173369349</v>
      </c>
      <c r="F34">
        <v>165711.53512075311</v>
      </c>
      <c r="G34">
        <v>533108.14697177289</v>
      </c>
      <c r="H34">
        <v>355413.08551264077</v>
      </c>
      <c r="I34">
        <v>0</v>
      </c>
      <c r="J34">
        <v>171517.09935549489</v>
      </c>
      <c r="K34">
        <v>233360.26203722917</v>
      </c>
      <c r="L34">
        <v>760290.44690536486</v>
      </c>
    </row>
    <row r="35" spans="1:12" x14ac:dyDescent="0.25">
      <c r="A35" t="s">
        <v>268</v>
      </c>
      <c r="B35" t="s">
        <v>269</v>
      </c>
      <c r="C35">
        <v>753667.06738701742</v>
      </c>
      <c r="D35">
        <v>0</v>
      </c>
      <c r="E35">
        <v>398595.904624741</v>
      </c>
      <c r="F35">
        <v>547877.26425409422</v>
      </c>
      <c r="G35">
        <v>1700140.2362658526</v>
      </c>
      <c r="H35">
        <v>640617.00727896474</v>
      </c>
      <c r="I35">
        <v>0</v>
      </c>
      <c r="J35">
        <v>338806.51893102983</v>
      </c>
      <c r="K35">
        <v>465695.67461598007</v>
      </c>
      <c r="L35">
        <v>1445119.2008259746</v>
      </c>
    </row>
    <row r="36" spans="1:12" x14ac:dyDescent="0.25">
      <c r="A36" t="s">
        <v>340</v>
      </c>
      <c r="B36" t="s">
        <v>341</v>
      </c>
      <c r="C36">
        <v>155596.35784154371</v>
      </c>
      <c r="D36">
        <v>39518.379019392305</v>
      </c>
      <c r="E36">
        <v>87445.243673026634</v>
      </c>
      <c r="F36">
        <v>115225.9137046486</v>
      </c>
      <c r="G36">
        <v>397785.89423861128</v>
      </c>
      <c r="H36">
        <v>140036.72205738933</v>
      </c>
      <c r="I36">
        <v>35801.044453672388</v>
      </c>
      <c r="J36">
        <v>78700.719305723978</v>
      </c>
      <c r="K36">
        <v>103703.32233418374</v>
      </c>
      <c r="L36">
        <v>358241.80815096945</v>
      </c>
    </row>
    <row r="37" spans="1:12" x14ac:dyDescent="0.25">
      <c r="A37" t="s">
        <v>109</v>
      </c>
      <c r="B37" t="s">
        <v>110</v>
      </c>
      <c r="C37">
        <v>151969.38939565056</v>
      </c>
      <c r="D37">
        <v>39801.624122320078</v>
      </c>
      <c r="E37">
        <v>80540.048045916323</v>
      </c>
      <c r="F37">
        <v>111059.38345106077</v>
      </c>
      <c r="G37">
        <v>383370.44501494768</v>
      </c>
      <c r="H37">
        <v>132085.05867462448</v>
      </c>
      <c r="I37">
        <v>33831.380503972068</v>
      </c>
      <c r="J37">
        <v>68459.040839028879</v>
      </c>
      <c r="K37">
        <v>94400.475933401656</v>
      </c>
      <c r="L37">
        <v>328775.95595102711</v>
      </c>
    </row>
    <row r="38" spans="1:12" x14ac:dyDescent="0.25">
      <c r="A38" t="s">
        <v>342</v>
      </c>
      <c r="B38" t="s">
        <v>343</v>
      </c>
      <c r="C38">
        <v>521372.42332937499</v>
      </c>
      <c r="D38">
        <v>137373.04089086127</v>
      </c>
      <c r="E38">
        <v>302045.66694547463</v>
      </c>
      <c r="F38">
        <v>415167.22014915117</v>
      </c>
      <c r="G38">
        <v>1375958.3513148623</v>
      </c>
      <c r="H38">
        <v>469373.72974886751</v>
      </c>
      <c r="I38">
        <v>123782.6961829588</v>
      </c>
      <c r="J38">
        <v>271908.44802352751</v>
      </c>
      <c r="K38">
        <v>373743.36624498677</v>
      </c>
      <c r="L38">
        <v>1238808.2402003407</v>
      </c>
    </row>
    <row r="39" spans="1:12" x14ac:dyDescent="0.25">
      <c r="A39" t="s">
        <v>344</v>
      </c>
      <c r="B39" t="s">
        <v>345</v>
      </c>
      <c r="C39">
        <v>128192.22949847669</v>
      </c>
      <c r="D39">
        <v>23118.831461747723</v>
      </c>
      <c r="E39">
        <v>61322.446865344777</v>
      </c>
      <c r="F39">
        <v>84288.809885245253</v>
      </c>
      <c r="G39">
        <v>296922.31771081442</v>
      </c>
      <c r="H39">
        <v>132954.0393237996</v>
      </c>
      <c r="I39">
        <v>19651.006742485562</v>
      </c>
      <c r="J39">
        <v>64161.653304133797</v>
      </c>
      <c r="K39">
        <v>87296.13714351115</v>
      </c>
      <c r="L39">
        <v>304062.83651393012</v>
      </c>
    </row>
    <row r="40" spans="1:12" x14ac:dyDescent="0.25">
      <c r="A40" t="s">
        <v>346</v>
      </c>
      <c r="B40" t="s">
        <v>347</v>
      </c>
      <c r="C40">
        <v>1713818.262825272</v>
      </c>
      <c r="D40">
        <v>319964.62743058853</v>
      </c>
      <c r="E40">
        <v>1087547.4217561984</v>
      </c>
      <c r="F40">
        <v>1494853.5578641649</v>
      </c>
      <c r="G40">
        <v>4616183.8698762236</v>
      </c>
      <c r="H40">
        <v>1807479.7502843342</v>
      </c>
      <c r="I40">
        <v>486707.00956626522</v>
      </c>
      <c r="J40">
        <v>1163506.5823027398</v>
      </c>
      <c r="K40">
        <v>1583027.0098344553</v>
      </c>
      <c r="L40">
        <v>5040720.351987794</v>
      </c>
    </row>
    <row r="41" spans="1:12" x14ac:dyDescent="0.25">
      <c r="A41" t="s">
        <v>270</v>
      </c>
      <c r="B41" t="s">
        <v>271</v>
      </c>
      <c r="C41">
        <v>38715.774009607056</v>
      </c>
      <c r="D41">
        <v>0</v>
      </c>
      <c r="E41">
        <v>18520.202073426277</v>
      </c>
      <c r="F41">
        <v>25456.351978765349</v>
      </c>
      <c r="G41">
        <v>82692.328061798675</v>
      </c>
      <c r="H41">
        <v>53007.819599684815</v>
      </c>
      <c r="I41">
        <v>0</v>
      </c>
      <c r="J41">
        <v>25580.789879425887</v>
      </c>
      <c r="K41">
        <v>34804.342259831254</v>
      </c>
      <c r="L41">
        <v>113392.95173894195</v>
      </c>
    </row>
    <row r="42" spans="1:12" x14ac:dyDescent="0.25">
      <c r="A42" t="s">
        <v>348</v>
      </c>
      <c r="B42" t="s">
        <v>349</v>
      </c>
      <c r="C42">
        <v>186696.06577966068</v>
      </c>
      <c r="D42">
        <v>0</v>
      </c>
      <c r="E42">
        <v>89308.529998522266</v>
      </c>
      <c r="F42">
        <v>122756.18620871288</v>
      </c>
      <c r="G42">
        <v>398760.78198689583</v>
      </c>
      <c r="H42">
        <v>248528.46566409603</v>
      </c>
      <c r="I42">
        <v>0</v>
      </c>
      <c r="J42">
        <v>119936.16238550498</v>
      </c>
      <c r="K42">
        <v>163181.01452970059</v>
      </c>
      <c r="L42">
        <v>531645.64257930161</v>
      </c>
    </row>
    <row r="43" spans="1:12" x14ac:dyDescent="0.25">
      <c r="A43" t="s">
        <v>350</v>
      </c>
      <c r="B43" t="s">
        <v>351</v>
      </c>
      <c r="C43">
        <v>14625.959070295998</v>
      </c>
      <c r="D43">
        <v>0</v>
      </c>
      <c r="E43">
        <v>6996.5207832943697</v>
      </c>
      <c r="F43">
        <v>9616.8440808669056</v>
      </c>
      <c r="G43">
        <v>31239.323934457272</v>
      </c>
      <c r="H43">
        <v>0</v>
      </c>
      <c r="I43">
        <v>0</v>
      </c>
      <c r="J43">
        <v>0</v>
      </c>
      <c r="K43">
        <v>0</v>
      </c>
      <c r="L43">
        <v>0</v>
      </c>
    </row>
    <row r="44" spans="1:12" x14ac:dyDescent="0.25">
      <c r="A44" t="s">
        <v>352</v>
      </c>
      <c r="B44" t="s">
        <v>1388</v>
      </c>
      <c r="C44">
        <v>36995.072942513398</v>
      </c>
      <c r="D44">
        <v>9747.5920104076504</v>
      </c>
      <c r="E44">
        <v>21111.281233510137</v>
      </c>
      <c r="F44">
        <v>29017.837044772285</v>
      </c>
      <c r="G44">
        <v>96871.783231203473</v>
      </c>
      <c r="H44">
        <v>33295.565648262062</v>
      </c>
      <c r="I44">
        <v>8891.7626747683062</v>
      </c>
      <c r="J44">
        <v>19000.153110159124</v>
      </c>
      <c r="K44">
        <v>26116.053340295057</v>
      </c>
      <c r="L44">
        <v>87303.534773484542</v>
      </c>
    </row>
    <row r="45" spans="1:12" x14ac:dyDescent="0.25">
      <c r="A45" t="s">
        <v>353</v>
      </c>
      <c r="B45" t="s">
        <v>1389</v>
      </c>
      <c r="C45">
        <v>88119.434482081328</v>
      </c>
      <c r="D45">
        <v>22573.165743120931</v>
      </c>
      <c r="E45">
        <v>42048.386874260774</v>
      </c>
      <c r="F45">
        <v>56948.100454925217</v>
      </c>
      <c r="G45">
        <v>209689.08755438824</v>
      </c>
      <c r="H45">
        <v>92980.929461742198</v>
      </c>
      <c r="I45">
        <v>19187.19088165279</v>
      </c>
      <c r="J45">
        <v>44871.221591779846</v>
      </c>
      <c r="K45">
        <v>61050.239701671206</v>
      </c>
      <c r="L45">
        <v>218089.58163684604</v>
      </c>
    </row>
    <row r="46" spans="1:12" x14ac:dyDescent="0.25">
      <c r="A46" t="s">
        <v>354</v>
      </c>
      <c r="B46" t="s">
        <v>355</v>
      </c>
      <c r="C46">
        <v>275312.17073498358</v>
      </c>
      <c r="D46">
        <v>72540.21961233599</v>
      </c>
      <c r="E46">
        <v>139412.21575203945</v>
      </c>
      <c r="F46">
        <v>192240.19730086092</v>
      </c>
      <c r="G46">
        <v>679504.80340021988</v>
      </c>
      <c r="H46">
        <v>297191.38201790513</v>
      </c>
      <c r="I46">
        <v>80025.864072914745</v>
      </c>
      <c r="J46">
        <v>152393.48794173173</v>
      </c>
      <c r="K46">
        <v>207341.33455196244</v>
      </c>
      <c r="L46">
        <v>736952.06858451408</v>
      </c>
    </row>
    <row r="47" spans="1:12" x14ac:dyDescent="0.25">
      <c r="A47" t="s">
        <v>356</v>
      </c>
      <c r="B47" t="s">
        <v>357</v>
      </c>
      <c r="C47">
        <v>121309.42523010213</v>
      </c>
      <c r="D47">
        <v>31963.034266685547</v>
      </c>
      <c r="E47">
        <v>67119.434738345633</v>
      </c>
      <c r="F47">
        <v>92256.874333283035</v>
      </c>
      <c r="G47">
        <v>312648.76856841636</v>
      </c>
      <c r="H47">
        <v>103113.01144558682</v>
      </c>
      <c r="I47">
        <v>27168.579126682715</v>
      </c>
      <c r="J47">
        <v>57051.519527593788</v>
      </c>
      <c r="K47">
        <v>78418.343183290577</v>
      </c>
      <c r="L47">
        <v>265751.45328315388</v>
      </c>
    </row>
    <row r="48" spans="1:12" x14ac:dyDescent="0.25">
      <c r="A48" t="s">
        <v>111</v>
      </c>
      <c r="B48" t="s">
        <v>112</v>
      </c>
      <c r="C48">
        <v>50760.681479262581</v>
      </c>
      <c r="D48">
        <v>0</v>
      </c>
      <c r="E48">
        <v>24282.04271849223</v>
      </c>
      <c r="F48">
        <v>33376.105927714569</v>
      </c>
      <c r="G48">
        <v>108418.83012546938</v>
      </c>
      <c r="H48">
        <v>43146.579257373196</v>
      </c>
      <c r="I48">
        <v>0</v>
      </c>
      <c r="J48">
        <v>20639.736310718396</v>
      </c>
      <c r="K48">
        <v>28369.690038557383</v>
      </c>
      <c r="L48">
        <v>92156.005606648978</v>
      </c>
    </row>
    <row r="49" spans="1:12" x14ac:dyDescent="0.25">
      <c r="A49" t="s">
        <v>113</v>
      </c>
      <c r="B49" t="s">
        <v>114</v>
      </c>
      <c r="C49">
        <v>41296.825610247528</v>
      </c>
      <c r="D49">
        <v>10881.032941850397</v>
      </c>
      <c r="E49">
        <v>19754.882211654698</v>
      </c>
      <c r="F49">
        <v>27153.442110683045</v>
      </c>
      <c r="G49">
        <v>99086.182874435661</v>
      </c>
      <c r="H49">
        <v>35275.665261593349</v>
      </c>
      <c r="I49">
        <v>9294.5564237711951</v>
      </c>
      <c r="J49">
        <v>16898.860299525844</v>
      </c>
      <c r="K49">
        <v>23227.788450643457</v>
      </c>
      <c r="L49">
        <v>84696.870435533841</v>
      </c>
    </row>
    <row r="50" spans="1:12" x14ac:dyDescent="0.25">
      <c r="A50" t="s">
        <v>358</v>
      </c>
      <c r="B50" t="s">
        <v>359</v>
      </c>
      <c r="C50">
        <v>34414.021341872947</v>
      </c>
      <c r="D50">
        <v>9067.5274515419987</v>
      </c>
      <c r="E50">
        <v>16930.777753482525</v>
      </c>
      <c r="F50">
        <v>23271.659567112169</v>
      </c>
      <c r="G50">
        <v>83683.986114009633</v>
      </c>
      <c r="H50">
        <v>42580.051809582874</v>
      </c>
      <c r="I50">
        <v>11465.693975359132</v>
      </c>
      <c r="J50">
        <v>23807.412104964962</v>
      </c>
      <c r="K50">
        <v>32391.545496743132</v>
      </c>
      <c r="L50">
        <v>110244.70338665009</v>
      </c>
    </row>
    <row r="51" spans="1:12" x14ac:dyDescent="0.25">
      <c r="A51" t="s">
        <v>360</v>
      </c>
      <c r="B51" t="s">
        <v>361</v>
      </c>
      <c r="C51">
        <v>84467.834456753146</v>
      </c>
      <c r="D51">
        <v>0</v>
      </c>
      <c r="E51">
        <v>41059.341259011955</v>
      </c>
      <c r="F51">
        <v>56618.107832923997</v>
      </c>
      <c r="G51">
        <v>182145.2835486891</v>
      </c>
      <c r="H51">
        <v>95587.871409267682</v>
      </c>
      <c r="I51">
        <v>0</v>
      </c>
      <c r="J51">
        <v>46129.293225194218</v>
      </c>
      <c r="K51">
        <v>62761.92866526945</v>
      </c>
      <c r="L51">
        <v>204479.09329973135</v>
      </c>
    </row>
    <row r="52" spans="1:12" x14ac:dyDescent="0.25">
      <c r="A52" t="s">
        <v>362</v>
      </c>
      <c r="B52" t="s">
        <v>363</v>
      </c>
      <c r="C52">
        <v>57643.485747637176</v>
      </c>
      <c r="D52">
        <v>15188.108481332847</v>
      </c>
      <c r="E52">
        <v>31664.092374948425</v>
      </c>
      <c r="F52">
        <v>43522.866402272775</v>
      </c>
      <c r="G52">
        <v>148018.55300619121</v>
      </c>
      <c r="H52">
        <v>53007.819599684815</v>
      </c>
      <c r="I52">
        <v>14273.619030549122</v>
      </c>
      <c r="J52">
        <v>28497.683137453583</v>
      </c>
      <c r="K52">
        <v>39170.579762045498</v>
      </c>
      <c r="L52">
        <v>134949.70152973302</v>
      </c>
    </row>
    <row r="53" spans="1:12" x14ac:dyDescent="0.25">
      <c r="A53" t="s">
        <v>364</v>
      </c>
      <c r="B53" t="s">
        <v>365</v>
      </c>
      <c r="C53">
        <v>13047.876867303326</v>
      </c>
      <c r="D53">
        <v>3417.311162017379</v>
      </c>
      <c r="E53">
        <v>6808.6736096702216</v>
      </c>
      <c r="F53">
        <v>9388.7092391401129</v>
      </c>
      <c r="G53">
        <v>32662.570878131042</v>
      </c>
      <c r="H53">
        <v>12165.72908845225</v>
      </c>
      <c r="I53">
        <v>2904.7144877147721</v>
      </c>
      <c r="J53">
        <v>5871.0009559338096</v>
      </c>
      <c r="K53">
        <v>7987.8818301252049</v>
      </c>
      <c r="L53">
        <v>28929.326362226035</v>
      </c>
    </row>
    <row r="54" spans="1:12" x14ac:dyDescent="0.25">
      <c r="A54" t="s">
        <v>366</v>
      </c>
      <c r="B54" t="s">
        <v>367</v>
      </c>
      <c r="C54">
        <v>41986.318782638773</v>
      </c>
      <c r="D54">
        <v>10663.68957666142</v>
      </c>
      <c r="E54">
        <v>31701.278752995968</v>
      </c>
      <c r="F54">
        <v>41772.52708652999</v>
      </c>
      <c r="G54">
        <v>126123.81419882615</v>
      </c>
      <c r="H54">
        <v>47793.935704633841</v>
      </c>
      <c r="I54">
        <v>12869.656502954125</v>
      </c>
      <c r="J54">
        <v>39749.035355984532</v>
      </c>
      <c r="K54">
        <v>54081.16940675435</v>
      </c>
      <c r="L54">
        <v>154493.79697032683</v>
      </c>
    </row>
    <row r="55" spans="1:12" x14ac:dyDescent="0.25">
      <c r="A55" t="s">
        <v>368</v>
      </c>
      <c r="B55" t="s">
        <v>369</v>
      </c>
      <c r="C55">
        <v>73476.057869617842</v>
      </c>
      <c r="D55">
        <v>18661.456759157481</v>
      </c>
      <c r="E55">
        <v>56546.755740877394</v>
      </c>
      <c r="F55">
        <v>74511.21780435952</v>
      </c>
      <c r="G55">
        <v>223195.48817401222</v>
      </c>
      <c r="H55">
        <v>67780.490635662543</v>
      </c>
      <c r="I55">
        <v>18251.512858734946</v>
      </c>
      <c r="J55">
        <v>50892.080166789652</v>
      </c>
      <c r="K55">
        <v>67060.096023923572</v>
      </c>
      <c r="L55">
        <v>203984.17968511072</v>
      </c>
    </row>
    <row r="56" spans="1:12" x14ac:dyDescent="0.25">
      <c r="A56" t="s">
        <v>115</v>
      </c>
      <c r="B56" t="s">
        <v>116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272</v>
      </c>
      <c r="B57" t="s">
        <v>273</v>
      </c>
      <c r="C57">
        <v>56998.619999272443</v>
      </c>
      <c r="D57">
        <v>14928.254023549607</v>
      </c>
      <c r="E57">
        <v>28593.491581728107</v>
      </c>
      <c r="F57">
        <v>39428.528077974399</v>
      </c>
      <c r="G57">
        <v>139948.89368252456</v>
      </c>
      <c r="H57">
        <v>48448.826999381577</v>
      </c>
      <c r="I57">
        <v>12689.015920017166</v>
      </c>
      <c r="J57">
        <v>24304.467844468891</v>
      </c>
      <c r="K57">
        <v>33514.248866278242</v>
      </c>
      <c r="L57">
        <v>118956.55963014587</v>
      </c>
    </row>
    <row r="58" spans="1:12" x14ac:dyDescent="0.25">
      <c r="A58" t="s">
        <v>370</v>
      </c>
      <c r="B58" t="s">
        <v>371</v>
      </c>
      <c r="C58">
        <v>69688.393217292716</v>
      </c>
      <c r="D58">
        <v>16123.689816514952</v>
      </c>
      <c r="E58">
        <v>33336.363732167294</v>
      </c>
      <c r="F58">
        <v>45821.433561777616</v>
      </c>
      <c r="G58">
        <v>164969.88032775256</v>
      </c>
      <c r="H58">
        <v>71256.413232363207</v>
      </c>
      <c r="I58">
        <v>13705.13634403771</v>
      </c>
      <c r="J58">
        <v>34387.291313326605</v>
      </c>
      <c r="K58">
        <v>46786.165005019051</v>
      </c>
      <c r="L58">
        <v>166135.00589474657</v>
      </c>
    </row>
    <row r="59" spans="1:12" x14ac:dyDescent="0.25">
      <c r="A59" t="s">
        <v>372</v>
      </c>
      <c r="B59" t="s">
        <v>373</v>
      </c>
      <c r="C59">
        <v>69359.766505138759</v>
      </c>
      <c r="D59">
        <v>18165.70670335554</v>
      </c>
      <c r="E59">
        <v>38523.59312048537</v>
      </c>
      <c r="F59">
        <v>53121.479364421146</v>
      </c>
      <c r="G59">
        <v>179170.54569340081</v>
      </c>
      <c r="H59">
        <v>79077.239074939673</v>
      </c>
      <c r="I59">
        <v>21293.431668524096</v>
      </c>
      <c r="J59">
        <v>41448.65868093654</v>
      </c>
      <c r="K59">
        <v>56393.618404351524</v>
      </c>
      <c r="L59">
        <v>198212.94782875181</v>
      </c>
    </row>
    <row r="60" spans="1:12" x14ac:dyDescent="0.25">
      <c r="A60" t="s">
        <v>374</v>
      </c>
      <c r="B60" t="s">
        <v>375</v>
      </c>
      <c r="C60">
        <v>290798.48033882648</v>
      </c>
      <c r="D60">
        <v>0</v>
      </c>
      <c r="E60">
        <v>139107.29557373511</v>
      </c>
      <c r="F60">
        <v>191205.48819605962</v>
      </c>
      <c r="G60">
        <v>621111.26410862117</v>
      </c>
      <c r="H60">
        <v>247178.7082880025</v>
      </c>
      <c r="I60">
        <v>0</v>
      </c>
      <c r="J60">
        <v>118241.20123767485</v>
      </c>
      <c r="K60">
        <v>162524.66496665069</v>
      </c>
      <c r="L60">
        <v>527944.57449232799</v>
      </c>
    </row>
    <row r="61" spans="1:12" x14ac:dyDescent="0.25">
      <c r="A61" t="s">
        <v>274</v>
      </c>
      <c r="B61" t="s">
        <v>275</v>
      </c>
      <c r="C61">
        <v>76571.19748566729</v>
      </c>
      <c r="D61">
        <v>0</v>
      </c>
      <c r="E61">
        <v>0</v>
      </c>
      <c r="F61">
        <v>0</v>
      </c>
      <c r="G61">
        <v>76571.19748566729</v>
      </c>
      <c r="H61">
        <v>88636.026215866412</v>
      </c>
      <c r="I61">
        <v>0</v>
      </c>
      <c r="J61">
        <v>0</v>
      </c>
      <c r="K61">
        <v>0</v>
      </c>
      <c r="L61">
        <v>88636.026215866412</v>
      </c>
    </row>
    <row r="62" spans="1:12" x14ac:dyDescent="0.25">
      <c r="A62" t="s">
        <v>376</v>
      </c>
      <c r="B62" t="s">
        <v>377</v>
      </c>
      <c r="C62">
        <v>0</v>
      </c>
      <c r="D62">
        <v>1453.183691881286</v>
      </c>
      <c r="E62">
        <v>0</v>
      </c>
      <c r="F62">
        <v>0</v>
      </c>
      <c r="G62">
        <v>1453.183691881286</v>
      </c>
      <c r="H62">
        <v>0</v>
      </c>
      <c r="I62">
        <v>1235.2061380990931</v>
      </c>
      <c r="J62">
        <v>0</v>
      </c>
      <c r="K62">
        <v>0</v>
      </c>
      <c r="L62">
        <v>1235.2061380990931</v>
      </c>
    </row>
    <row r="63" spans="1:12" x14ac:dyDescent="0.25">
      <c r="A63" t="s">
        <v>378</v>
      </c>
      <c r="B63" t="s">
        <v>379</v>
      </c>
      <c r="C63">
        <v>696883.93217292696</v>
      </c>
      <c r="D63">
        <v>183617.43089372537</v>
      </c>
      <c r="E63">
        <v>358369.55242720636</v>
      </c>
      <c r="F63">
        <v>492585.41720499872</v>
      </c>
      <c r="G63">
        <v>1731456.3326988574</v>
      </c>
      <c r="H63">
        <v>592351.34234698792</v>
      </c>
      <c r="I63">
        <v>156074.81625966655</v>
      </c>
      <c r="J63">
        <v>304614.11956312542</v>
      </c>
      <c r="K63">
        <v>418697.60462424892</v>
      </c>
      <c r="L63">
        <v>1471737.8827940291</v>
      </c>
    </row>
    <row r="64" spans="1:12" x14ac:dyDescent="0.25">
      <c r="A64" t="s">
        <v>380</v>
      </c>
      <c r="B64" t="s">
        <v>381</v>
      </c>
      <c r="C64">
        <v>361347.22408966586</v>
      </c>
      <c r="D64">
        <v>0</v>
      </c>
      <c r="E64">
        <v>172855.21935197857</v>
      </c>
      <c r="F64">
        <v>237592.61846847655</v>
      </c>
      <c r="G64">
        <v>771795.061910121</v>
      </c>
      <c r="H64">
        <v>425800.51809582871</v>
      </c>
      <c r="I64">
        <v>0</v>
      </c>
      <c r="J64">
        <v>205485.0334576834</v>
      </c>
      <c r="K64">
        <v>279575.86405438214</v>
      </c>
      <c r="L64">
        <v>910861.41560789431</v>
      </c>
    </row>
    <row r="65" spans="1:12" x14ac:dyDescent="0.25">
      <c r="A65" t="s">
        <v>382</v>
      </c>
      <c r="B65" t="s">
        <v>383</v>
      </c>
      <c r="C65">
        <v>548043.28986932652</v>
      </c>
      <c r="D65">
        <v>0</v>
      </c>
      <c r="E65">
        <v>262163.74935050082</v>
      </c>
      <c r="F65">
        <v>360348.80467718944</v>
      </c>
      <c r="G65">
        <v>1170555.8438970167</v>
      </c>
      <c r="H65">
        <v>784689.5262051702</v>
      </c>
      <c r="I65">
        <v>0</v>
      </c>
      <c r="J65">
        <v>423131.42603837256</v>
      </c>
      <c r="K65">
        <v>575698.05475688085</v>
      </c>
      <c r="L65">
        <v>1783519.0070004235</v>
      </c>
    </row>
    <row r="66" spans="1:12" x14ac:dyDescent="0.25">
      <c r="A66" t="s">
        <v>117</v>
      </c>
      <c r="B66" t="s">
        <v>118</v>
      </c>
      <c r="C66">
        <v>0</v>
      </c>
      <c r="D66">
        <v>0</v>
      </c>
      <c r="E66">
        <v>0</v>
      </c>
      <c r="F66">
        <v>0</v>
      </c>
      <c r="G66">
        <v>0</v>
      </c>
      <c r="H66">
        <v>18248.593632678374</v>
      </c>
      <c r="I66">
        <v>0</v>
      </c>
      <c r="J66">
        <v>8806.5014339007175</v>
      </c>
      <c r="K66">
        <v>11981.822745187807</v>
      </c>
      <c r="L66">
        <v>39036.9178117669</v>
      </c>
    </row>
    <row r="67" spans="1:12" x14ac:dyDescent="0.25">
      <c r="A67" t="s">
        <v>119</v>
      </c>
      <c r="B67" t="s">
        <v>120</v>
      </c>
      <c r="C67">
        <v>164326.95190744323</v>
      </c>
      <c r="D67">
        <v>0</v>
      </c>
      <c r="E67">
        <v>78607.968800542629</v>
      </c>
      <c r="F67">
        <v>108048.0717320929</v>
      </c>
      <c r="G67">
        <v>350982.99244007876</v>
      </c>
      <c r="H67">
        <v>139905.88451720099</v>
      </c>
      <c r="I67">
        <v>0</v>
      </c>
      <c r="J67">
        <v>67516.5109932388</v>
      </c>
      <c r="K67">
        <v>91860.641046439821</v>
      </c>
      <c r="L67">
        <v>299283.03655687964</v>
      </c>
    </row>
    <row r="68" spans="1:12" x14ac:dyDescent="0.25">
      <c r="A68" t="s">
        <v>121</v>
      </c>
      <c r="B68" t="s">
        <v>122</v>
      </c>
      <c r="C68">
        <v>1816199.9763173445</v>
      </c>
      <c r="D68">
        <v>0</v>
      </c>
      <c r="E68">
        <v>1161010.8899807895</v>
      </c>
      <c r="F68">
        <v>1595830.4207132678</v>
      </c>
      <c r="G68">
        <v>4573041.2870114017</v>
      </c>
      <c r="H68">
        <v>2055139.2352992555</v>
      </c>
      <c r="I68">
        <v>0</v>
      </c>
      <c r="J68">
        <v>1364378.6864379041</v>
      </c>
      <c r="K68">
        <v>1856326.6810223104</v>
      </c>
      <c r="L68">
        <v>5275844.6027594702</v>
      </c>
    </row>
    <row r="69" spans="1:12" x14ac:dyDescent="0.25">
      <c r="A69" t="s">
        <v>384</v>
      </c>
      <c r="B69" t="s">
        <v>385</v>
      </c>
      <c r="C69">
        <v>340698.81128454203</v>
      </c>
      <c r="D69">
        <v>0</v>
      </c>
      <c r="E69">
        <v>162977.7782461512</v>
      </c>
      <c r="F69">
        <v>224015.89741313504</v>
      </c>
      <c r="G69">
        <v>727692.48694382829</v>
      </c>
      <c r="H69">
        <v>392779.25342717272</v>
      </c>
      <c r="I69">
        <v>0</v>
      </c>
      <c r="J69">
        <v>189549.45943443445</v>
      </c>
      <c r="K69">
        <v>257894.47051547089</v>
      </c>
      <c r="L69">
        <v>840223.18337707804</v>
      </c>
    </row>
    <row r="70" spans="1:12" x14ac:dyDescent="0.25">
      <c r="A70" t="s">
        <v>386</v>
      </c>
      <c r="B70" t="s">
        <v>387</v>
      </c>
      <c r="C70">
        <v>282194.97500335809</v>
      </c>
      <c r="D70">
        <v>74353.725102644399</v>
      </c>
      <c r="E70">
        <v>159867.2897299169</v>
      </c>
      <c r="F70">
        <v>219740.47481346581</v>
      </c>
      <c r="G70">
        <v>736156.46464938519</v>
      </c>
      <c r="H70">
        <v>253975.4775030223</v>
      </c>
      <c r="I70">
        <v>66918.352592379961</v>
      </c>
      <c r="J70">
        <v>143880.5607569252</v>
      </c>
      <c r="K70">
        <v>197766.42733211923</v>
      </c>
      <c r="L70">
        <v>662540.81818444666</v>
      </c>
    </row>
    <row r="71" spans="1:12" x14ac:dyDescent="0.25">
      <c r="A71" t="s">
        <v>388</v>
      </c>
      <c r="B71" t="s">
        <v>389</v>
      </c>
      <c r="C71">
        <v>16099.928160323327</v>
      </c>
      <c r="D71">
        <v>4186.1103992758553</v>
      </c>
      <c r="E71">
        <v>10866.384934651529</v>
      </c>
      <c r="F71">
        <v>14716.854244394846</v>
      </c>
      <c r="G71">
        <v>45869.277738645556</v>
      </c>
      <c r="H71">
        <v>19117.574281853544</v>
      </c>
      <c r="I71">
        <v>5147.8626011816523</v>
      </c>
      <c r="J71">
        <v>12395.88464333475</v>
      </c>
      <c r="K71">
        <v>16865.4139990806</v>
      </c>
      <c r="L71">
        <v>53526.735525450546</v>
      </c>
    </row>
    <row r="72" spans="1:12" x14ac:dyDescent="0.25">
      <c r="A72" t="s">
        <v>390</v>
      </c>
      <c r="B72" t="s">
        <v>391</v>
      </c>
      <c r="C72">
        <v>60224.537348277634</v>
      </c>
      <c r="D72">
        <v>15868.173040198501</v>
      </c>
      <c r="E72">
        <v>30891.244342424343</v>
      </c>
      <c r="F72">
        <v>42460.572834198923</v>
      </c>
      <c r="G72">
        <v>149444.52756509939</v>
      </c>
      <c r="H72">
        <v>59959.664793086093</v>
      </c>
      <c r="I72">
        <v>16145.569067342451</v>
      </c>
      <c r="J72">
        <v>30595.610185239537</v>
      </c>
      <c r="K72">
        <v>41627.334165779663</v>
      </c>
      <c r="L72">
        <v>148328.17821144775</v>
      </c>
    </row>
    <row r="73" spans="1:12" x14ac:dyDescent="0.25">
      <c r="A73" t="s">
        <v>123</v>
      </c>
      <c r="B73" t="s">
        <v>124</v>
      </c>
      <c r="C73">
        <v>258965.51059759385</v>
      </c>
      <c r="D73">
        <v>0</v>
      </c>
      <c r="E73">
        <v>123879.573868918</v>
      </c>
      <c r="F73">
        <v>170274.70990240821</v>
      </c>
      <c r="G73">
        <v>553119.79436892003</v>
      </c>
      <c r="H73">
        <v>254611.33020832212</v>
      </c>
      <c r="I73">
        <v>0</v>
      </c>
      <c r="J73">
        <v>122871.66286347194</v>
      </c>
      <c r="K73">
        <v>167174.95544476321</v>
      </c>
      <c r="L73">
        <v>544657.94851655723</v>
      </c>
    </row>
    <row r="74" spans="1:12" x14ac:dyDescent="0.25">
      <c r="A74" t="s">
        <v>392</v>
      </c>
      <c r="B74" t="s">
        <v>393</v>
      </c>
      <c r="C74">
        <v>400062.99809927295</v>
      </c>
      <c r="D74">
        <v>105410.00662417576</v>
      </c>
      <c r="E74">
        <v>195203.23852394748</v>
      </c>
      <c r="F74">
        <v>268310.37412871973</v>
      </c>
      <c r="G74">
        <v>968986.61737611587</v>
      </c>
      <c r="H74">
        <v>374530.65979449439</v>
      </c>
      <c r="I74">
        <v>89598.505630549393</v>
      </c>
      <c r="J74">
        <v>180742.95800053378</v>
      </c>
      <c r="K74">
        <v>245912.64777028307</v>
      </c>
      <c r="L74">
        <v>890784.77119586058</v>
      </c>
    </row>
    <row r="75" spans="1:12" x14ac:dyDescent="0.25">
      <c r="A75" t="s">
        <v>394</v>
      </c>
      <c r="B75" t="s">
        <v>395</v>
      </c>
      <c r="C75">
        <v>27407.73587200031</v>
      </c>
      <c r="D75">
        <v>6961.0195847650912</v>
      </c>
      <c r="E75">
        <v>18432.836413721761</v>
      </c>
      <c r="F75">
        <v>24288.804384618092</v>
      </c>
      <c r="G75">
        <v>77090.396255105254</v>
      </c>
      <c r="H75">
        <v>23296.575491200263</v>
      </c>
      <c r="I75">
        <v>5916.8666470503276</v>
      </c>
      <c r="J75">
        <v>15667.910951663496</v>
      </c>
      <c r="K75">
        <v>20645.483726925377</v>
      </c>
      <c r="L75">
        <v>65526.836816839466</v>
      </c>
    </row>
    <row r="76" spans="1:12" x14ac:dyDescent="0.25">
      <c r="A76" t="s">
        <v>125</v>
      </c>
      <c r="B76" t="s">
        <v>126</v>
      </c>
      <c r="C76">
        <v>2020103.0527679417</v>
      </c>
      <c r="D76">
        <v>0</v>
      </c>
      <c r="E76">
        <v>1325017.5683421309</v>
      </c>
      <c r="F76">
        <v>1821260.5599030007</v>
      </c>
      <c r="G76">
        <v>5166381.1810130728</v>
      </c>
      <c r="H76">
        <v>2135085.4550233702</v>
      </c>
      <c r="I76">
        <v>0</v>
      </c>
      <c r="J76">
        <v>1441540.4132873195</v>
      </c>
      <c r="K76">
        <v>1961310.2707896708</v>
      </c>
      <c r="L76">
        <v>5537936.1391003607</v>
      </c>
    </row>
    <row r="77" spans="1:12" x14ac:dyDescent="0.25">
      <c r="A77" t="s">
        <v>276</v>
      </c>
      <c r="B77" t="s">
        <v>277</v>
      </c>
      <c r="C77">
        <v>2277347.8622984411</v>
      </c>
      <c r="D77">
        <v>0</v>
      </c>
      <c r="E77">
        <v>1571130.4758956628</v>
      </c>
      <c r="F77">
        <v>2159547.1928652599</v>
      </c>
      <c r="G77">
        <v>6008025.5310593639</v>
      </c>
      <c r="H77">
        <v>2287157.0686290232</v>
      </c>
      <c r="I77">
        <v>0</v>
      </c>
      <c r="J77">
        <v>1588315.4371856647</v>
      </c>
      <c r="K77">
        <v>2161007.316542801</v>
      </c>
      <c r="L77">
        <v>6036479.8223574888</v>
      </c>
    </row>
    <row r="78" spans="1:12" x14ac:dyDescent="0.25">
      <c r="A78" t="s">
        <v>396</v>
      </c>
      <c r="B78" t="s">
        <v>397</v>
      </c>
      <c r="C78">
        <v>13904.48341118833</v>
      </c>
      <c r="D78">
        <v>3615.2771630109637</v>
      </c>
      <c r="E78">
        <v>10424.757619893451</v>
      </c>
      <c r="F78">
        <v>14375.049208215831</v>
      </c>
      <c r="G78">
        <v>42319.567402308574</v>
      </c>
      <c r="H78">
        <v>14772.671035977735</v>
      </c>
      <c r="I78">
        <v>3977.8938281858209</v>
      </c>
      <c r="J78">
        <v>11065.798892837665</v>
      </c>
      <c r="K78">
        <v>15055.745106391043</v>
      </c>
      <c r="L78">
        <v>44872.108863392263</v>
      </c>
    </row>
    <row r="79" spans="1:12" x14ac:dyDescent="0.25">
      <c r="A79" t="s">
        <v>398</v>
      </c>
      <c r="B79" t="s">
        <v>399</v>
      </c>
      <c r="C79">
        <v>3659070.8191746403</v>
      </c>
      <c r="D79">
        <v>964104.85628520336</v>
      </c>
      <c r="E79">
        <v>2893061.3438922218</v>
      </c>
      <c r="F79">
        <v>3976565.027438466</v>
      </c>
      <c r="G79">
        <v>11492802.046790531</v>
      </c>
      <c r="H79">
        <v>3681871.0105551565</v>
      </c>
      <c r="I79">
        <v>991431.53823666624</v>
      </c>
      <c r="J79">
        <v>2934452.0849390598</v>
      </c>
      <c r="K79">
        <v>3992514.507592936</v>
      </c>
      <c r="L79">
        <v>11600269.14132382</v>
      </c>
    </row>
    <row r="80" spans="1:12" x14ac:dyDescent="0.25">
      <c r="A80" t="s">
        <v>127</v>
      </c>
      <c r="B80" t="s">
        <v>128</v>
      </c>
      <c r="C80">
        <v>708019.00264156493</v>
      </c>
      <c r="D80">
        <v>185434.09515999569</v>
      </c>
      <c r="E80">
        <v>400912.75489490537</v>
      </c>
      <c r="F80">
        <v>552832.09355562367</v>
      </c>
      <c r="G80">
        <v>1847197.9462520897</v>
      </c>
      <c r="H80">
        <v>686494.71284837718</v>
      </c>
      <c r="I80">
        <v>157618.98088599634</v>
      </c>
      <c r="J80">
        <v>352050.3787504597</v>
      </c>
      <c r="K80">
        <v>478987.62831357913</v>
      </c>
      <c r="L80">
        <v>1675151.7007984123</v>
      </c>
    </row>
    <row r="81" spans="1:12" x14ac:dyDescent="0.25">
      <c r="A81" t="s">
        <v>129</v>
      </c>
      <c r="B81" t="s">
        <v>130</v>
      </c>
      <c r="C81">
        <v>314027.94474459044</v>
      </c>
      <c r="D81">
        <v>0</v>
      </c>
      <c r="E81">
        <v>150219.41681779089</v>
      </c>
      <c r="F81">
        <v>206479.2993833189</v>
      </c>
      <c r="G81">
        <v>670726.66094570025</v>
      </c>
      <c r="H81">
        <v>342378.37577501335</v>
      </c>
      <c r="I81">
        <v>0</v>
      </c>
      <c r="J81">
        <v>165226.74118842298</v>
      </c>
      <c r="K81">
        <v>224801.81721923788</v>
      </c>
      <c r="L81">
        <v>732406.93418267427</v>
      </c>
    </row>
    <row r="82" spans="1:12" x14ac:dyDescent="0.25">
      <c r="A82" t="s">
        <v>400</v>
      </c>
      <c r="B82" t="s">
        <v>401</v>
      </c>
      <c r="C82">
        <v>123367.20827491388</v>
      </c>
      <c r="D82">
        <v>31332.816286980466</v>
      </c>
      <c r="E82">
        <v>55362.458950249391</v>
      </c>
      <c r="F82">
        <v>72950.679185382731</v>
      </c>
      <c r="G82">
        <v>283013.16269752651</v>
      </c>
      <c r="H82">
        <v>106015.63919936963</v>
      </c>
      <c r="I82">
        <v>26632.893843933394</v>
      </c>
      <c r="J82">
        <v>51161.579758851782</v>
      </c>
      <c r="K82">
        <v>69608.684519662507</v>
      </c>
      <c r="L82">
        <v>253418.79732181731</v>
      </c>
    </row>
    <row r="83" spans="1:12" x14ac:dyDescent="0.25">
      <c r="A83" t="s">
        <v>402</v>
      </c>
      <c r="B83" t="s">
        <v>403</v>
      </c>
      <c r="C83">
        <v>1082320.9712019039</v>
      </c>
      <c r="D83">
        <v>208730.02119749374</v>
      </c>
      <c r="E83">
        <v>634419.81102636911</v>
      </c>
      <c r="F83">
        <v>872021.47945037286</v>
      </c>
      <c r="G83">
        <v>2797492.2828761395</v>
      </c>
      <c r="H83">
        <v>1214834.9475468751</v>
      </c>
      <c r="I83">
        <v>177420.51801786968</v>
      </c>
      <c r="J83">
        <v>734504.15530843334</v>
      </c>
      <c r="K83">
        <v>999341.07324744947</v>
      </c>
      <c r="L83">
        <v>3126100.6941206278</v>
      </c>
    </row>
    <row r="84" spans="1:12" x14ac:dyDescent="0.25">
      <c r="A84" t="s">
        <v>131</v>
      </c>
      <c r="B84" t="s">
        <v>132</v>
      </c>
      <c r="C84">
        <v>43017.526677341186</v>
      </c>
      <c r="D84">
        <v>0</v>
      </c>
      <c r="E84">
        <v>20578.002303806978</v>
      </c>
      <c r="F84">
        <v>28284.835531961493</v>
      </c>
      <c r="G84">
        <v>91880.364513109656</v>
      </c>
      <c r="H84">
        <v>36564.897675740009</v>
      </c>
      <c r="I84">
        <v>0</v>
      </c>
      <c r="J84">
        <v>0</v>
      </c>
      <c r="K84">
        <v>0</v>
      </c>
      <c r="L84">
        <v>36564.897675740009</v>
      </c>
    </row>
    <row r="85" spans="1:12" x14ac:dyDescent="0.25">
      <c r="A85" t="s">
        <v>404</v>
      </c>
      <c r="B85" t="s">
        <v>405</v>
      </c>
      <c r="C85">
        <v>30112.268674138817</v>
      </c>
      <c r="D85">
        <v>7934.0865200992503</v>
      </c>
      <c r="E85">
        <v>21236.61155654148</v>
      </c>
      <c r="F85">
        <v>29190.105835579689</v>
      </c>
      <c r="G85">
        <v>88473.072586359238</v>
      </c>
      <c r="H85">
        <v>28676.361422780301</v>
      </c>
      <c r="I85">
        <v>7721.7939017724757</v>
      </c>
      <c r="J85">
        <v>19112.950400887334</v>
      </c>
      <c r="K85">
        <v>26271.095252021722</v>
      </c>
      <c r="L85">
        <v>81782.200977461835</v>
      </c>
    </row>
    <row r="86" spans="1:12" x14ac:dyDescent="0.25">
      <c r="A86" t="s">
        <v>133</v>
      </c>
      <c r="B86" t="s">
        <v>134</v>
      </c>
      <c r="C86">
        <v>11634.02024081536</v>
      </c>
      <c r="D86">
        <v>3047.0142868761773</v>
      </c>
      <c r="E86">
        <v>7943.5333803979074</v>
      </c>
      <c r="F86">
        <v>10953.605579511985</v>
      </c>
      <c r="G86">
        <v>33578.173487601431</v>
      </c>
      <c r="H86">
        <v>0</v>
      </c>
      <c r="I86">
        <v>2589.9621438447507</v>
      </c>
      <c r="J86">
        <v>0</v>
      </c>
      <c r="K86">
        <v>0</v>
      </c>
      <c r="L86">
        <v>2589.9621438447507</v>
      </c>
    </row>
    <row r="87" spans="1:12" x14ac:dyDescent="0.25">
      <c r="A87" t="s">
        <v>406</v>
      </c>
      <c r="B87" t="s">
        <v>407</v>
      </c>
      <c r="C87">
        <v>189277.11738030115</v>
      </c>
      <c r="D87">
        <v>49871.400983481006</v>
      </c>
      <c r="E87">
        <v>113302.23013886208</v>
      </c>
      <c r="F87">
        <v>156236.25920459378</v>
      </c>
      <c r="G87">
        <v>508687.00770723802</v>
      </c>
      <c r="H87">
        <v>170349.40564227104</v>
      </c>
      <c r="I87">
        <v>44884.260885132906</v>
      </c>
      <c r="J87">
        <v>101972.00712497588</v>
      </c>
      <c r="K87">
        <v>140612.63328413441</v>
      </c>
      <c r="L87">
        <v>457818.30693651421</v>
      </c>
    </row>
    <row r="88" spans="1:12" x14ac:dyDescent="0.25">
      <c r="A88" t="s">
        <v>408</v>
      </c>
      <c r="B88" t="s">
        <v>409</v>
      </c>
      <c r="C88">
        <v>97219.610290791054</v>
      </c>
      <c r="D88">
        <v>25615.765050606151</v>
      </c>
      <c r="E88">
        <v>48732.351761822662</v>
      </c>
      <c r="F88">
        <v>66983.496955573952</v>
      </c>
      <c r="G88">
        <v>238551.2240587938</v>
      </c>
      <c r="H88">
        <v>106884.61984854478</v>
      </c>
      <c r="I88">
        <v>28781.231815697403</v>
      </c>
      <c r="J88">
        <v>57337.369535840786</v>
      </c>
      <c r="K88">
        <v>78011.251529368747</v>
      </c>
      <c r="L88">
        <v>271014.47272945172</v>
      </c>
    </row>
    <row r="89" spans="1:12" x14ac:dyDescent="0.25">
      <c r="A89" t="s">
        <v>410</v>
      </c>
      <c r="B89" t="s">
        <v>411</v>
      </c>
      <c r="C89">
        <v>574714.15640927781</v>
      </c>
      <c r="D89">
        <v>151427.7084407513</v>
      </c>
      <c r="E89">
        <v>301638.86041793058</v>
      </c>
      <c r="F89">
        <v>414608.05723551963</v>
      </c>
      <c r="G89">
        <v>1442388.7825034794</v>
      </c>
      <c r="H89">
        <v>715171.07427115738</v>
      </c>
      <c r="I89">
        <v>192576.86003511361</v>
      </c>
      <c r="J89">
        <v>421006.16562804556</v>
      </c>
      <c r="K89">
        <v>572806.49859067413</v>
      </c>
      <c r="L89">
        <v>1901560.598524991</v>
      </c>
    </row>
    <row r="90" spans="1:12" x14ac:dyDescent="0.25">
      <c r="A90" t="s">
        <v>412</v>
      </c>
      <c r="B90" t="s">
        <v>413</v>
      </c>
      <c r="C90">
        <v>319190.04794587148</v>
      </c>
      <c r="D90">
        <v>84101.31711305202</v>
      </c>
      <c r="E90">
        <v>197093.95566462239</v>
      </c>
      <c r="F90">
        <v>270909.19895981409</v>
      </c>
      <c r="G90">
        <v>871294.51968335989</v>
      </c>
      <c r="H90">
        <v>287271.04315128434</v>
      </c>
      <c r="I90">
        <v>75691.185401746814</v>
      </c>
      <c r="J90">
        <v>177384.56009816015</v>
      </c>
      <c r="K90">
        <v>243818.27906383268</v>
      </c>
      <c r="L90">
        <v>784165.06771502399</v>
      </c>
    </row>
    <row r="91" spans="1:12" x14ac:dyDescent="0.25">
      <c r="A91" t="s">
        <v>135</v>
      </c>
      <c r="B91" t="s">
        <v>136</v>
      </c>
      <c r="C91">
        <v>186696.06577966068</v>
      </c>
      <c r="D91">
        <v>0</v>
      </c>
      <c r="E91">
        <v>89308.529998522266</v>
      </c>
      <c r="F91">
        <v>122756.18620871288</v>
      </c>
      <c r="G91">
        <v>398760.78198689583</v>
      </c>
      <c r="H91">
        <v>159023.45879905444</v>
      </c>
      <c r="I91">
        <v>0</v>
      </c>
      <c r="J91">
        <v>76742.369638277669</v>
      </c>
      <c r="K91">
        <v>104413.02677949372</v>
      </c>
      <c r="L91">
        <v>340178.85521682585</v>
      </c>
    </row>
    <row r="92" spans="1:12" x14ac:dyDescent="0.25">
      <c r="A92" t="s">
        <v>414</v>
      </c>
      <c r="B92" t="s">
        <v>415</v>
      </c>
      <c r="C92">
        <v>32963.057348976843</v>
      </c>
      <c r="D92">
        <v>6737.4880259950523</v>
      </c>
      <c r="E92">
        <v>16023.15756449248</v>
      </c>
      <c r="F92">
        <v>22094.871349433746</v>
      </c>
      <c r="G92">
        <v>77818.574288898119</v>
      </c>
      <c r="H92">
        <v>30414.322721130629</v>
      </c>
      <c r="I92">
        <v>5726.8648220957939</v>
      </c>
      <c r="J92">
        <v>14677.502389834528</v>
      </c>
      <c r="K92">
        <v>19969.704575313011</v>
      </c>
      <c r="L92">
        <v>70788.394508373953</v>
      </c>
    </row>
    <row r="93" spans="1:12" x14ac:dyDescent="0.25">
      <c r="A93" t="s">
        <v>416</v>
      </c>
      <c r="B93" t="s">
        <v>417</v>
      </c>
      <c r="C93">
        <v>36995.072942513398</v>
      </c>
      <c r="D93">
        <v>9747.5920104076504</v>
      </c>
      <c r="E93">
        <v>22487.548316589902</v>
      </c>
      <c r="F93">
        <v>30909.540987567634</v>
      </c>
      <c r="G93">
        <v>100139.75425707857</v>
      </c>
      <c r="H93">
        <v>33295.565648262062</v>
      </c>
      <c r="I93">
        <v>8772.8328093668861</v>
      </c>
      <c r="J93">
        <v>20238.793484930913</v>
      </c>
      <c r="K93">
        <v>27818.586888810871</v>
      </c>
      <c r="L93">
        <v>90125.778831370728</v>
      </c>
    </row>
    <row r="94" spans="1:12" x14ac:dyDescent="0.25">
      <c r="A94" t="s">
        <v>137</v>
      </c>
      <c r="B94" t="s">
        <v>138</v>
      </c>
      <c r="C94">
        <v>13765.608536749176</v>
      </c>
      <c r="D94">
        <v>0</v>
      </c>
      <c r="E94">
        <v>6584.9607372182309</v>
      </c>
      <c r="F94">
        <v>9051.1473702276762</v>
      </c>
      <c r="G94">
        <v>29401.716644195083</v>
      </c>
      <c r="H94">
        <v>11700.767256236799</v>
      </c>
      <c r="I94">
        <v>0</v>
      </c>
      <c r="J94">
        <v>5597.2166266354961</v>
      </c>
      <c r="K94">
        <v>7693.4752646935249</v>
      </c>
      <c r="L94">
        <v>24991.459147565816</v>
      </c>
    </row>
    <row r="95" spans="1:12" x14ac:dyDescent="0.25">
      <c r="A95" t="s">
        <v>139</v>
      </c>
      <c r="B95" t="s">
        <v>140</v>
      </c>
      <c r="C95">
        <v>48757.855662028225</v>
      </c>
      <c r="D95">
        <v>0</v>
      </c>
      <c r="E95">
        <v>23700.920564145108</v>
      </c>
      <c r="F95">
        <v>32681.99720437076</v>
      </c>
      <c r="G95">
        <v>105140.7734305441</v>
      </c>
      <c r="H95">
        <v>41444.177312723994</v>
      </c>
      <c r="I95">
        <v>0</v>
      </c>
      <c r="J95">
        <v>20145.782479523343</v>
      </c>
      <c r="K95">
        <v>27779.697623715147</v>
      </c>
      <c r="L95">
        <v>89369.657415962487</v>
      </c>
    </row>
    <row r="96" spans="1:12" x14ac:dyDescent="0.25">
      <c r="A96" t="s">
        <v>418</v>
      </c>
      <c r="B96" t="s">
        <v>419</v>
      </c>
      <c r="C96">
        <v>20888.346748971675</v>
      </c>
      <c r="D96">
        <v>5431.1376224050373</v>
      </c>
      <c r="E96">
        <v>13000.348189112901</v>
      </c>
      <c r="F96">
        <v>17606.980663407961</v>
      </c>
      <c r="G96">
        <v>56926.813223897567</v>
      </c>
      <c r="H96">
        <v>21724.51622937902</v>
      </c>
      <c r="I96">
        <v>5849.8438649791478</v>
      </c>
      <c r="J96">
        <v>11700.313370201611</v>
      </c>
      <c r="K96">
        <v>15846.282597067166</v>
      </c>
      <c r="L96">
        <v>55120.956061626945</v>
      </c>
    </row>
    <row r="97" spans="1:12" x14ac:dyDescent="0.25">
      <c r="A97" t="s">
        <v>420</v>
      </c>
      <c r="B97" t="s">
        <v>421</v>
      </c>
      <c r="C97">
        <v>202182.37538350347</v>
      </c>
      <c r="D97">
        <v>53271.723777809246</v>
      </c>
      <c r="E97">
        <v>108082.58230836826</v>
      </c>
      <c r="F97">
        <v>148561.45991860051</v>
      </c>
      <c r="G97">
        <v>512098.14138828148</v>
      </c>
      <c r="H97">
        <v>171855.01907597794</v>
      </c>
      <c r="I97">
        <v>45280.96521113786</v>
      </c>
      <c r="J97">
        <v>91870.194962113019</v>
      </c>
      <c r="K97">
        <v>126277.24093081043</v>
      </c>
      <c r="L97">
        <v>435283.42018003925</v>
      </c>
    </row>
    <row r="98" spans="1:12" x14ac:dyDescent="0.25">
      <c r="A98" t="s">
        <v>57</v>
      </c>
      <c r="B98" t="s">
        <v>17</v>
      </c>
      <c r="C98">
        <v>2596937.9161652727</v>
      </c>
      <c r="D98">
        <v>684250.34118658223</v>
      </c>
      <c r="E98">
        <v>1895154.9630996815</v>
      </c>
      <c r="F98">
        <v>2613058.4321100381</v>
      </c>
      <c r="G98">
        <v>7789401.6525615752</v>
      </c>
      <c r="H98">
        <v>2879981.3697507121</v>
      </c>
      <c r="I98">
        <v>775503.63696048188</v>
      </c>
      <c r="J98">
        <v>2177885.8989718468</v>
      </c>
      <c r="K98">
        <v>2963156.5947711691</v>
      </c>
      <c r="L98">
        <v>8796527.5004542097</v>
      </c>
    </row>
    <row r="99" spans="1:12" x14ac:dyDescent="0.25">
      <c r="A99" t="s">
        <v>141</v>
      </c>
      <c r="B99" t="s">
        <v>142</v>
      </c>
      <c r="C99">
        <v>101636.0934926786</v>
      </c>
      <c r="D99">
        <v>0</v>
      </c>
      <c r="E99">
        <v>0</v>
      </c>
      <c r="F99">
        <v>0</v>
      </c>
      <c r="G99">
        <v>101636.0934926786</v>
      </c>
      <c r="H99">
        <v>95587.871409267682</v>
      </c>
      <c r="I99">
        <v>0</v>
      </c>
      <c r="J99">
        <v>46129.293225194218</v>
      </c>
      <c r="K99">
        <v>62761.928665269479</v>
      </c>
      <c r="L99">
        <v>204479.09329973138</v>
      </c>
    </row>
    <row r="100" spans="1:12" x14ac:dyDescent="0.25">
      <c r="A100" t="s">
        <v>422</v>
      </c>
      <c r="B100" t="s">
        <v>423</v>
      </c>
      <c r="C100">
        <v>101797.67710713435</v>
      </c>
      <c r="D100">
        <v>26749.205982048908</v>
      </c>
      <c r="E100">
        <v>57685.134492198405</v>
      </c>
      <c r="F100">
        <v>79543.973792301535</v>
      </c>
      <c r="G100">
        <v>265775.99137368321</v>
      </c>
      <c r="H100">
        <v>119919.32958617219</v>
      </c>
      <c r="I100">
        <v>32291.138134684901</v>
      </c>
      <c r="J100">
        <v>66777.435844328968</v>
      </c>
      <c r="K100">
        <v>90855.080836624635</v>
      </c>
      <c r="L100">
        <v>309842.98440181068</v>
      </c>
    </row>
    <row r="101" spans="1:12" x14ac:dyDescent="0.25">
      <c r="A101" t="s">
        <v>424</v>
      </c>
      <c r="B101" t="s">
        <v>425</v>
      </c>
      <c r="C101">
        <v>430175.2667734116</v>
      </c>
      <c r="D101">
        <v>113344.093144275</v>
      </c>
      <c r="E101">
        <v>303180.72897455021</v>
      </c>
      <c r="F101">
        <v>416727.38339225843</v>
      </c>
      <c r="G101">
        <v>1263427.4722844954</v>
      </c>
      <c r="H101">
        <v>387157.74009607045</v>
      </c>
      <c r="I101">
        <v>102009.6838298475</v>
      </c>
      <c r="J101">
        <v>272862.65607709519</v>
      </c>
      <c r="K101">
        <v>375054.64505303261</v>
      </c>
      <c r="L101">
        <v>1137084.7250560457</v>
      </c>
    </row>
    <row r="102" spans="1:12" x14ac:dyDescent="0.25">
      <c r="A102" t="s">
        <v>74</v>
      </c>
      <c r="B102" t="s">
        <v>41</v>
      </c>
      <c r="C102">
        <v>64396.362361819156</v>
      </c>
      <c r="D102">
        <v>16865.763689402575</v>
      </c>
      <c r="E102">
        <v>39718.924816680737</v>
      </c>
      <c r="F102">
        <v>54769.762478472476</v>
      </c>
      <c r="G102">
        <v>175750.81334637495</v>
      </c>
      <c r="H102">
        <v>71140.374322590331</v>
      </c>
      <c r="I102">
        <v>19156.241634533319</v>
      </c>
      <c r="J102">
        <v>41549.345956977952</v>
      </c>
      <c r="K102">
        <v>56530.610046637499</v>
      </c>
      <c r="L102">
        <v>188376.57196073912</v>
      </c>
    </row>
    <row r="103" spans="1:12" x14ac:dyDescent="0.25">
      <c r="A103" t="s">
        <v>1421</v>
      </c>
      <c r="B103" t="s">
        <v>1425</v>
      </c>
      <c r="C103">
        <v>53289.999478849808</v>
      </c>
      <c r="D103">
        <v>0</v>
      </c>
      <c r="E103">
        <v>34788.209981572094</v>
      </c>
      <c r="F103">
        <v>47817.022432642545</v>
      </c>
      <c r="G103">
        <v>135895.23189306445</v>
      </c>
      <c r="H103">
        <v>53834.057349101822</v>
      </c>
      <c r="I103">
        <v>0</v>
      </c>
      <c r="J103">
        <v>35982.879532428524</v>
      </c>
      <c r="K103">
        <v>48957.067418319537</v>
      </c>
      <c r="L103">
        <v>138774.00429984988</v>
      </c>
    </row>
    <row r="104" spans="1:12" x14ac:dyDescent="0.25">
      <c r="A104" t="s">
        <v>75</v>
      </c>
      <c r="B104" t="s">
        <v>45</v>
      </c>
      <c r="C104">
        <v>48493.602144418648</v>
      </c>
      <c r="D104">
        <v>12700.742778300097</v>
      </c>
      <c r="E104">
        <v>29910.287895488211</v>
      </c>
      <c r="F104">
        <v>41244.302842020392</v>
      </c>
      <c r="G104">
        <v>132348.93566022735</v>
      </c>
      <c r="H104">
        <v>52352.560332351291</v>
      </c>
      <c r="I104">
        <v>14097.174852712933</v>
      </c>
      <c r="J104">
        <v>30576.373285847243</v>
      </c>
      <c r="K104">
        <v>41601.161102569989</v>
      </c>
      <c r="L104">
        <v>138627.26957348146</v>
      </c>
    </row>
    <row r="105" spans="1:12" x14ac:dyDescent="0.25">
      <c r="A105" t="s">
        <v>79</v>
      </c>
      <c r="B105" t="s">
        <v>1398</v>
      </c>
      <c r="C105">
        <v>40042.388156361791</v>
      </c>
      <c r="D105">
        <v>0</v>
      </c>
      <c r="E105">
        <v>31905.156636666343</v>
      </c>
      <c r="F105">
        <v>43854.213580422482</v>
      </c>
      <c r="G105">
        <v>115801.75837345062</v>
      </c>
      <c r="H105">
        <v>38980.94627689648</v>
      </c>
      <c r="I105">
        <v>0</v>
      </c>
      <c r="J105">
        <v>31370.359336375437</v>
      </c>
      <c r="K105">
        <v>42681.431195181176</v>
      </c>
      <c r="L105">
        <v>113032.7368084531</v>
      </c>
    </row>
    <row r="106" spans="1:12" x14ac:dyDescent="0.25">
      <c r="A106" t="s">
        <v>426</v>
      </c>
      <c r="B106" t="s">
        <v>427</v>
      </c>
      <c r="C106">
        <v>38715.774009607056</v>
      </c>
      <c r="D106">
        <v>10200.968382984745</v>
      </c>
      <c r="E106">
        <v>24312.673074921437</v>
      </c>
      <c r="F106">
        <v>33418.207905403884</v>
      </c>
      <c r="G106">
        <v>106647.62337291712</v>
      </c>
      <c r="H106">
        <v>51269.858301334483</v>
      </c>
      <c r="I106">
        <v>13805.63152135079</v>
      </c>
      <c r="J106">
        <v>38383.912310496868</v>
      </c>
      <c r="K106">
        <v>52223.829976428591</v>
      </c>
      <c r="L106">
        <v>155683.23210961075</v>
      </c>
    </row>
    <row r="107" spans="1:12" x14ac:dyDescent="0.25">
      <c r="A107" t="s">
        <v>428</v>
      </c>
      <c r="B107" t="s">
        <v>429</v>
      </c>
      <c r="C107">
        <v>0</v>
      </c>
      <c r="D107">
        <v>2283.3329450595575</v>
      </c>
      <c r="E107">
        <v>0</v>
      </c>
      <c r="F107">
        <v>0</v>
      </c>
      <c r="G107">
        <v>2283.3329450595575</v>
      </c>
      <c r="H107">
        <v>0</v>
      </c>
      <c r="I107">
        <v>1940.8330033006239</v>
      </c>
      <c r="J107">
        <v>0</v>
      </c>
      <c r="K107">
        <v>0</v>
      </c>
      <c r="L107">
        <v>1940.8330033006239</v>
      </c>
    </row>
    <row r="108" spans="1:12" x14ac:dyDescent="0.25">
      <c r="A108" t="s">
        <v>143</v>
      </c>
      <c r="B108" t="s">
        <v>144</v>
      </c>
      <c r="C108">
        <v>736460.05671608075</v>
      </c>
      <c r="D108">
        <v>0</v>
      </c>
      <c r="E108">
        <v>0</v>
      </c>
      <c r="F108">
        <v>0</v>
      </c>
      <c r="G108">
        <v>736460.05671608075</v>
      </c>
      <c r="H108">
        <v>811627.92632960051</v>
      </c>
      <c r="I108">
        <v>0</v>
      </c>
      <c r="J108">
        <v>0</v>
      </c>
      <c r="K108">
        <v>0</v>
      </c>
      <c r="L108">
        <v>811627.92632960051</v>
      </c>
    </row>
    <row r="109" spans="1:12" x14ac:dyDescent="0.25">
      <c r="A109" t="s">
        <v>145</v>
      </c>
      <c r="B109" t="s">
        <v>146</v>
      </c>
      <c r="C109">
        <v>18927.711738030121</v>
      </c>
      <c r="D109">
        <v>4987.140098348098</v>
      </c>
      <c r="E109">
        <v>16860.586187624245</v>
      </c>
      <c r="F109">
        <v>23175.179993112652</v>
      </c>
      <c r="G109">
        <v>63950.618017115114</v>
      </c>
      <c r="H109">
        <v>0</v>
      </c>
      <c r="I109">
        <v>4239.0690835958831</v>
      </c>
      <c r="J109">
        <v>0</v>
      </c>
      <c r="K109">
        <v>0</v>
      </c>
      <c r="L109">
        <v>4239.0690835958831</v>
      </c>
    </row>
    <row r="110" spans="1:12" x14ac:dyDescent="0.25">
      <c r="A110" t="s">
        <v>147</v>
      </c>
      <c r="B110" t="s">
        <v>148</v>
      </c>
      <c r="C110">
        <v>98079.960824337875</v>
      </c>
      <c r="D110">
        <v>0</v>
      </c>
      <c r="E110">
        <v>46917.845252679894</v>
      </c>
      <c r="F110">
        <v>64489.425012872205</v>
      </c>
      <c r="G110">
        <v>209487.23108988997</v>
      </c>
      <c r="H110">
        <v>90373.9875142167</v>
      </c>
      <c r="I110">
        <v>0</v>
      </c>
      <c r="J110">
        <v>43613.149958365451</v>
      </c>
      <c r="K110">
        <v>59338.550738072969</v>
      </c>
      <c r="L110">
        <v>193325.68821065512</v>
      </c>
    </row>
    <row r="111" spans="1:12" x14ac:dyDescent="0.25">
      <c r="A111" t="s">
        <v>430</v>
      </c>
      <c r="B111" t="s">
        <v>431</v>
      </c>
      <c r="C111">
        <v>26670.866539951527</v>
      </c>
      <c r="D111">
        <v>7027.3337749450511</v>
      </c>
      <c r="E111">
        <v>19913.116760369812</v>
      </c>
      <c r="F111">
        <v>27370.938353506051</v>
      </c>
      <c r="G111">
        <v>80982.255428772434</v>
      </c>
      <c r="H111">
        <v>24003.779885956374</v>
      </c>
      <c r="I111">
        <v>6324.6003974505466</v>
      </c>
      <c r="J111">
        <v>17921.805084332831</v>
      </c>
      <c r="K111">
        <v>24633.844518155445</v>
      </c>
      <c r="L111">
        <v>72884.029885895201</v>
      </c>
    </row>
    <row r="112" spans="1:12" x14ac:dyDescent="0.25">
      <c r="A112" t="s">
        <v>432</v>
      </c>
      <c r="B112" t="s">
        <v>433</v>
      </c>
      <c r="C112">
        <v>798405.29513145238</v>
      </c>
      <c r="D112">
        <v>210366.63687577451</v>
      </c>
      <c r="E112">
        <v>430697.58821867983</v>
      </c>
      <c r="F112">
        <v>592001.60768395406</v>
      </c>
      <c r="G112">
        <v>2031471.1279098608</v>
      </c>
      <c r="H112">
        <v>792510.35204774677</v>
      </c>
      <c r="I112">
        <v>213402.30419443932</v>
      </c>
      <c r="J112">
        <v>428792.74838873721</v>
      </c>
      <c r="K112">
        <v>583400.65509307303</v>
      </c>
      <c r="L112">
        <v>2018106.0597239961</v>
      </c>
    </row>
    <row r="113" spans="1:12" x14ac:dyDescent="0.25">
      <c r="A113" t="s">
        <v>434</v>
      </c>
      <c r="B113" t="s">
        <v>435</v>
      </c>
      <c r="C113">
        <v>2441674.8142058849</v>
      </c>
      <c r="D113">
        <v>464490.35096860031</v>
      </c>
      <c r="E113">
        <v>1728346.4134967471</v>
      </c>
      <c r="F113">
        <v>2375643.3363294457</v>
      </c>
      <c r="G113">
        <v>7010154.9150006771</v>
      </c>
      <c r="H113">
        <v>2624321.5605089869</v>
      </c>
      <c r="I113">
        <v>394816.79832331027</v>
      </c>
      <c r="J113">
        <v>1913736.633028853</v>
      </c>
      <c r="K113">
        <v>2603764.1951268837</v>
      </c>
      <c r="L113">
        <v>7536639.1869880343</v>
      </c>
    </row>
    <row r="114" spans="1:12" x14ac:dyDescent="0.25">
      <c r="A114" t="s">
        <v>436</v>
      </c>
      <c r="B114" t="s">
        <v>437</v>
      </c>
      <c r="C114">
        <v>3695205.541583606</v>
      </c>
      <c r="D114">
        <v>0</v>
      </c>
      <c r="E114">
        <v>2927632.3877626183</v>
      </c>
      <c r="F114">
        <v>4024083.5511321621</v>
      </c>
      <c r="G114">
        <v>10646921.480478387</v>
      </c>
      <c r="H114">
        <v>3850453.2564951377</v>
      </c>
      <c r="I114">
        <v>0</v>
      </c>
      <c r="J114">
        <v>3097162.6828606552</v>
      </c>
      <c r="K114">
        <v>4213892.9468849786</v>
      </c>
      <c r="L114">
        <v>11161508.886240771</v>
      </c>
    </row>
    <row r="115" spans="1:12" x14ac:dyDescent="0.25">
      <c r="A115" t="s">
        <v>438</v>
      </c>
      <c r="B115" t="s">
        <v>439</v>
      </c>
      <c r="C115">
        <v>128192.22949847669</v>
      </c>
      <c r="D115">
        <v>33776.539756993938</v>
      </c>
      <c r="E115">
        <v>65710.615719978538</v>
      </c>
      <c r="F115">
        <v>90610.580017159838</v>
      </c>
      <c r="G115">
        <v>318289.96499260899</v>
      </c>
      <c r="H115">
        <v>129478.11672709897</v>
      </c>
      <c r="I115">
        <v>34865.06943527572</v>
      </c>
      <c r="J115">
        <v>62942.602859215818</v>
      </c>
      <c r="K115">
        <v>85637.539065933845</v>
      </c>
      <c r="L115">
        <v>312923.32808752434</v>
      </c>
    </row>
    <row r="116" spans="1:12" x14ac:dyDescent="0.25">
      <c r="A116" t="s">
        <v>440</v>
      </c>
      <c r="B116" t="s">
        <v>1390</v>
      </c>
      <c r="C116">
        <v>215087.6333867058</v>
      </c>
      <c r="D116">
        <v>49281.224125934845</v>
      </c>
      <c r="E116">
        <v>102890.01151903483</v>
      </c>
      <c r="F116">
        <v>141424.17765980749</v>
      </c>
      <c r="G116">
        <v>508683.046691483</v>
      </c>
      <c r="H116">
        <v>182824.48837869993</v>
      </c>
      <c r="I116">
        <v>41889.040507044614</v>
      </c>
      <c r="J116">
        <v>87456.509791179604</v>
      </c>
      <c r="K116">
        <v>120210.55101083637</v>
      </c>
      <c r="L116">
        <v>432380.58968776051</v>
      </c>
    </row>
    <row r="117" spans="1:12" x14ac:dyDescent="0.25">
      <c r="A117" t="s">
        <v>278</v>
      </c>
      <c r="B117" t="s">
        <v>279</v>
      </c>
      <c r="C117">
        <v>49900.330945715774</v>
      </c>
      <c r="D117">
        <v>0</v>
      </c>
      <c r="E117">
        <v>23870.482672416088</v>
      </c>
      <c r="F117">
        <v>32810.409217075343</v>
      </c>
      <c r="G117">
        <v>106581.2228352072</v>
      </c>
      <c r="H117">
        <v>60828.645442261259</v>
      </c>
      <c r="I117">
        <v>0</v>
      </c>
      <c r="J117">
        <v>29355.004779669056</v>
      </c>
      <c r="K117">
        <v>39939.409150626023</v>
      </c>
      <c r="L117">
        <v>130123.05937255634</v>
      </c>
    </row>
    <row r="118" spans="1:12" x14ac:dyDescent="0.25">
      <c r="A118" t="s">
        <v>441</v>
      </c>
      <c r="B118" t="s">
        <v>442</v>
      </c>
      <c r="C118">
        <v>12044.907469655527</v>
      </c>
      <c r="D118">
        <v>3173.6346080397011</v>
      </c>
      <c r="E118">
        <v>6509.9850655167284</v>
      </c>
      <c r="F118">
        <v>8976.8375509252</v>
      </c>
      <c r="G118">
        <v>30705.364694137155</v>
      </c>
      <c r="H118">
        <v>0</v>
      </c>
      <c r="I118">
        <v>2697.5894168337459</v>
      </c>
      <c r="J118">
        <v>0</v>
      </c>
      <c r="K118">
        <v>0</v>
      </c>
      <c r="L118">
        <v>2697.5894168337459</v>
      </c>
    </row>
    <row r="119" spans="1:12" x14ac:dyDescent="0.25">
      <c r="A119" t="s">
        <v>149</v>
      </c>
      <c r="B119" t="s">
        <v>150</v>
      </c>
      <c r="C119">
        <v>108404.16722689974</v>
      </c>
      <c r="D119">
        <v>0</v>
      </c>
      <c r="E119">
        <v>52075.262084600537</v>
      </c>
      <c r="F119">
        <v>71808.331885659689</v>
      </c>
      <c r="G119">
        <v>232287.76119715997</v>
      </c>
      <c r="H119">
        <v>93849.910110917364</v>
      </c>
      <c r="I119">
        <v>0</v>
      </c>
      <c r="J119">
        <v>45290.578802917975</v>
      </c>
      <c r="K119">
        <v>61620.802689537282</v>
      </c>
      <c r="L119">
        <v>200761.29160337264</v>
      </c>
    </row>
    <row r="120" spans="1:12" x14ac:dyDescent="0.25">
      <c r="A120" t="s">
        <v>280</v>
      </c>
      <c r="B120" t="s">
        <v>281</v>
      </c>
      <c r="C120">
        <v>99616.298311981445</v>
      </c>
      <c r="D120">
        <v>26090.059831377272</v>
      </c>
      <c r="E120">
        <v>60910.260330525867</v>
      </c>
      <c r="F120">
        <v>83991.20837741789</v>
      </c>
      <c r="G120">
        <v>270607.82685130247</v>
      </c>
      <c r="H120">
        <v>84673.853565184225</v>
      </c>
      <c r="I120">
        <v>22176.550856670681</v>
      </c>
      <c r="J120">
        <v>51773.721280946986</v>
      </c>
      <c r="K120">
        <v>71392.5271208052</v>
      </c>
      <c r="L120">
        <v>230016.65282360709</v>
      </c>
    </row>
    <row r="121" spans="1:12" x14ac:dyDescent="0.25">
      <c r="A121" t="s">
        <v>443</v>
      </c>
      <c r="B121" t="s">
        <v>444</v>
      </c>
      <c r="C121">
        <v>15486.309603842823</v>
      </c>
      <c r="D121">
        <v>4146.9903909238847</v>
      </c>
      <c r="E121">
        <v>8780.2426009906594</v>
      </c>
      <c r="F121">
        <v>12068.60190961286</v>
      </c>
      <c r="G121">
        <v>40482.144505370226</v>
      </c>
      <c r="H121">
        <v>14772.671035977735</v>
      </c>
      <c r="I121">
        <v>3977.8938281858209</v>
      </c>
      <c r="J121">
        <v>8065.7069204252111</v>
      </c>
      <c r="K121">
        <v>10973.923227122365</v>
      </c>
      <c r="L121">
        <v>37790.195011711134</v>
      </c>
    </row>
    <row r="122" spans="1:12" x14ac:dyDescent="0.25">
      <c r="A122" t="s">
        <v>282</v>
      </c>
      <c r="B122" t="s">
        <v>283</v>
      </c>
      <c r="C122">
        <v>140237.1369681322</v>
      </c>
      <c r="D122">
        <v>0</v>
      </c>
      <c r="E122">
        <v>67084.287510410722</v>
      </c>
      <c r="F122">
        <v>92208.563834194458</v>
      </c>
      <c r="G122">
        <v>299529.98831273738</v>
      </c>
      <c r="H122">
        <v>145119.76841225187</v>
      </c>
      <c r="I122">
        <v>0</v>
      </c>
      <c r="J122">
        <v>70032.654260067589</v>
      </c>
      <c r="K122">
        <v>95284.018973636354</v>
      </c>
      <c r="L122">
        <v>310436.44164595578</v>
      </c>
    </row>
    <row r="123" spans="1:12" x14ac:dyDescent="0.25">
      <c r="A123" t="s">
        <v>445</v>
      </c>
      <c r="B123" t="s">
        <v>446</v>
      </c>
      <c r="C123">
        <v>34414.021341872947</v>
      </c>
      <c r="D123">
        <v>9067.5274515419987</v>
      </c>
      <c r="E123">
        <v>20913.238539338301</v>
      </c>
      <c r="F123">
        <v>28745.623787612669</v>
      </c>
      <c r="G123">
        <v>93140.411120365912</v>
      </c>
      <c r="H123">
        <v>30972.619207685653</v>
      </c>
      <c r="I123">
        <v>8160.7747063877987</v>
      </c>
      <c r="J123">
        <v>18821.91468540447</v>
      </c>
      <c r="K123">
        <v>25871.061408851401</v>
      </c>
      <c r="L123">
        <v>83826.370008329322</v>
      </c>
    </row>
    <row r="124" spans="1:12" x14ac:dyDescent="0.25">
      <c r="A124" t="s">
        <v>151</v>
      </c>
      <c r="B124" t="s">
        <v>152</v>
      </c>
      <c r="C124">
        <v>500724.01052425127</v>
      </c>
      <c r="D124">
        <v>0</v>
      </c>
      <c r="E124">
        <v>239527.94681631314</v>
      </c>
      <c r="F124">
        <v>329235.48559203197</v>
      </c>
      <c r="G124">
        <v>1069487.4429325964</v>
      </c>
      <c r="H124">
        <v>592644.80273745977</v>
      </c>
      <c r="I124">
        <v>0</v>
      </c>
      <c r="J124">
        <v>286001.61799620412</v>
      </c>
      <c r="K124">
        <v>389123.95772467065</v>
      </c>
      <c r="L124">
        <v>1267770.3784583346</v>
      </c>
    </row>
    <row r="125" spans="1:12" x14ac:dyDescent="0.25">
      <c r="A125" t="s">
        <v>153</v>
      </c>
      <c r="B125" t="s">
        <v>154</v>
      </c>
      <c r="C125">
        <v>1218256.3555023018</v>
      </c>
      <c r="D125">
        <v>0</v>
      </c>
      <c r="E125">
        <v>0</v>
      </c>
      <c r="F125">
        <v>0</v>
      </c>
      <c r="G125">
        <v>1218256.3555023018</v>
      </c>
      <c r="H125">
        <v>1273925.6316907862</v>
      </c>
      <c r="I125">
        <v>0</v>
      </c>
      <c r="J125">
        <v>0</v>
      </c>
      <c r="K125">
        <v>0</v>
      </c>
      <c r="L125">
        <v>1273925.6316907862</v>
      </c>
    </row>
    <row r="126" spans="1:12" x14ac:dyDescent="0.25">
      <c r="A126" t="s">
        <v>155</v>
      </c>
      <c r="B126" t="s">
        <v>156</v>
      </c>
      <c r="C126">
        <v>307145.14047621604</v>
      </c>
      <c r="D126">
        <v>0</v>
      </c>
      <c r="E126">
        <v>146926.93644918178</v>
      </c>
      <c r="F126">
        <v>201953.72569820503</v>
      </c>
      <c r="G126">
        <v>656025.80262360291</v>
      </c>
      <c r="H126">
        <v>294584.44007037953</v>
      </c>
      <c r="I126">
        <v>0</v>
      </c>
      <c r="J126">
        <v>142162.09457582582</v>
      </c>
      <c r="K126">
        <v>193420.85288660313</v>
      </c>
      <c r="L126">
        <v>630167.38753280847</v>
      </c>
    </row>
    <row r="127" spans="1:12" x14ac:dyDescent="0.25">
      <c r="A127" t="s">
        <v>157</v>
      </c>
      <c r="B127" t="s">
        <v>158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8689.8064917516094</v>
      </c>
      <c r="I127">
        <v>2339.9375459916596</v>
      </c>
      <c r="J127">
        <v>7653.8981390875661</v>
      </c>
      <c r="K127">
        <v>10413.63037303787</v>
      </c>
      <c r="L127">
        <v>29097.272549868707</v>
      </c>
    </row>
    <row r="128" spans="1:12" x14ac:dyDescent="0.25">
      <c r="A128" t="s">
        <v>159</v>
      </c>
      <c r="B128" t="s">
        <v>160</v>
      </c>
      <c r="C128">
        <v>66246.9910831054</v>
      </c>
      <c r="D128">
        <v>0</v>
      </c>
      <c r="E128">
        <v>31690.123547862735</v>
      </c>
      <c r="F128">
        <v>43558.646719220698</v>
      </c>
      <c r="G128">
        <v>141495.76135018884</v>
      </c>
      <c r="H128">
        <v>56309.942420639585</v>
      </c>
      <c r="I128">
        <v>0</v>
      </c>
      <c r="J128">
        <v>0</v>
      </c>
      <c r="K128">
        <v>0</v>
      </c>
      <c r="L128">
        <v>56309.942420639585</v>
      </c>
    </row>
    <row r="129" spans="1:12" x14ac:dyDescent="0.25">
      <c r="A129" t="s">
        <v>447</v>
      </c>
      <c r="B129" t="s">
        <v>448</v>
      </c>
      <c r="C129">
        <v>69688.393217292716</v>
      </c>
      <c r="D129">
        <v>18361.743089372536</v>
      </c>
      <c r="E129">
        <v>47625.224370874421</v>
      </c>
      <c r="F129">
        <v>65461.730376701147</v>
      </c>
      <c r="G129">
        <v>201137.09105424082</v>
      </c>
      <c r="H129">
        <v>62719.553895563447</v>
      </c>
      <c r="I129">
        <v>16525.568780435282</v>
      </c>
      <c r="J129">
        <v>42862.701933786979</v>
      </c>
      <c r="K129">
        <v>58915.557339031031</v>
      </c>
      <c r="L129">
        <v>181023.38194881676</v>
      </c>
    </row>
    <row r="130" spans="1:12" x14ac:dyDescent="0.25">
      <c r="A130" t="s">
        <v>449</v>
      </c>
      <c r="B130" t="s">
        <v>450</v>
      </c>
      <c r="C130">
        <v>1164054.2718888524</v>
      </c>
      <c r="D130">
        <v>306709.11604840821</v>
      </c>
      <c r="E130">
        <v>693067.11759221891</v>
      </c>
      <c r="F130">
        <v>952633.26071646321</v>
      </c>
      <c r="G130">
        <v>3116463.7662459426</v>
      </c>
      <c r="H130">
        <v>1189634.5087207954</v>
      </c>
      <c r="I130">
        <v>320337.45004625822</v>
      </c>
      <c r="J130">
        <v>716262.11662392516</v>
      </c>
      <c r="K130">
        <v>974521.58327527484</v>
      </c>
      <c r="L130">
        <v>3200755.6586662536</v>
      </c>
    </row>
    <row r="131" spans="1:12" x14ac:dyDescent="0.25">
      <c r="A131" t="s">
        <v>451</v>
      </c>
      <c r="B131" t="s">
        <v>452</v>
      </c>
      <c r="C131">
        <v>49039.980412168938</v>
      </c>
      <c r="D131">
        <v>12921.226618447352</v>
      </c>
      <c r="E131">
        <v>28981.183879583838</v>
      </c>
      <c r="F131">
        <v>39835.160257704461</v>
      </c>
      <c r="G131">
        <v>130777.5511679046</v>
      </c>
      <c r="H131">
        <v>51269.858301334483</v>
      </c>
      <c r="I131">
        <v>13805.63152135079</v>
      </c>
      <c r="J131">
        <v>31389.946130647113</v>
      </c>
      <c r="K131">
        <v>42708.08031332089</v>
      </c>
      <c r="L131">
        <v>139173.51626665329</v>
      </c>
    </row>
    <row r="132" spans="1:12" x14ac:dyDescent="0.25">
      <c r="A132" t="s">
        <v>453</v>
      </c>
      <c r="B132" t="s">
        <v>454</v>
      </c>
      <c r="C132">
        <v>41446.1971079047</v>
      </c>
      <c r="D132">
        <v>10854.988396996381</v>
      </c>
      <c r="E132">
        <v>23320.887004640317</v>
      </c>
      <c r="F132">
        <v>32157.95613618995</v>
      </c>
      <c r="G132">
        <v>107780.02864573135</v>
      </c>
      <c r="H132">
        <v>41711.071160407722</v>
      </c>
      <c r="I132">
        <v>11231.700220759967</v>
      </c>
      <c r="J132">
        <v>21505.476501585556</v>
      </c>
      <c r="K132">
        <v>29259.611143748622</v>
      </c>
      <c r="L132">
        <v>103707.85902650187</v>
      </c>
    </row>
    <row r="133" spans="1:12" x14ac:dyDescent="0.25">
      <c r="A133" t="s">
        <v>76</v>
      </c>
      <c r="B133" t="s">
        <v>30</v>
      </c>
      <c r="C133">
        <v>0</v>
      </c>
      <c r="D133">
        <v>1985.2836676261206</v>
      </c>
      <c r="E133">
        <v>0</v>
      </c>
      <c r="F133">
        <v>0</v>
      </c>
      <c r="G133">
        <v>1985.2836676261206</v>
      </c>
      <c r="H133">
        <v>0</v>
      </c>
      <c r="I133">
        <v>1876.7063571462231</v>
      </c>
      <c r="J133">
        <v>0</v>
      </c>
      <c r="K133">
        <v>0</v>
      </c>
      <c r="L133">
        <v>1876.7063571462231</v>
      </c>
    </row>
    <row r="134" spans="1:12" x14ac:dyDescent="0.25">
      <c r="A134" t="s">
        <v>455</v>
      </c>
      <c r="B134" t="s">
        <v>456</v>
      </c>
      <c r="C134">
        <v>71623.720276266133</v>
      </c>
      <c r="D134">
        <v>18190.999866069473</v>
      </c>
      <c r="E134">
        <v>43381.81107452741</v>
      </c>
      <c r="F134">
        <v>57163.873176635258</v>
      </c>
      <c r="G134">
        <v>190360.40439349826</v>
      </c>
      <c r="H134">
        <v>78208.258425764507</v>
      </c>
      <c r="I134">
        <v>21059.437913924936</v>
      </c>
      <c r="J134">
        <v>45565.970683472384</v>
      </c>
      <c r="K134">
        <v>61995.491403668944</v>
      </c>
      <c r="L134">
        <v>206829.15842683078</v>
      </c>
    </row>
    <row r="135" spans="1:12" x14ac:dyDescent="0.25">
      <c r="A135" t="s">
        <v>161</v>
      </c>
      <c r="B135" t="s">
        <v>162</v>
      </c>
      <c r="C135">
        <v>288426.75180354732</v>
      </c>
      <c r="D135">
        <v>0</v>
      </c>
      <c r="E135">
        <v>140202.62868930915</v>
      </c>
      <c r="F135">
        <v>193330.12430754534</v>
      </c>
      <c r="G135">
        <v>621959.50480040186</v>
      </c>
      <c r="H135">
        <v>304143.2272113064</v>
      </c>
      <c r="I135">
        <v>0</v>
      </c>
      <c r="J135">
        <v>146775.02389834524</v>
      </c>
      <c r="K135">
        <v>199697.04575313011</v>
      </c>
      <c r="L135">
        <v>650615.29686278175</v>
      </c>
    </row>
    <row r="136" spans="1:12" x14ac:dyDescent="0.25">
      <c r="A136" t="s">
        <v>457</v>
      </c>
      <c r="B136" t="s">
        <v>458</v>
      </c>
      <c r="C136">
        <v>164326.95190744323</v>
      </c>
      <c r="D136">
        <v>43297.443581113053</v>
      </c>
      <c r="E136">
        <v>106939.86526243553</v>
      </c>
      <c r="F136">
        <v>146990.77471667511</v>
      </c>
      <c r="G136">
        <v>461555.03546766692</v>
      </c>
      <c r="H136">
        <v>147894.2567166989</v>
      </c>
      <c r="I136">
        <v>38967.699223001749</v>
      </c>
      <c r="J136">
        <v>96245.878736191982</v>
      </c>
      <c r="K136">
        <v>132291.69724500761</v>
      </c>
      <c r="L136">
        <v>415399.53192090022</v>
      </c>
    </row>
    <row r="137" spans="1:12" x14ac:dyDescent="0.25">
      <c r="A137" t="s">
        <v>459</v>
      </c>
      <c r="B137" t="s">
        <v>460</v>
      </c>
      <c r="C137">
        <v>19632.409156375907</v>
      </c>
      <c r="D137">
        <v>5141.8366091035523</v>
      </c>
      <c r="E137">
        <v>15187.479207103177</v>
      </c>
      <c r="F137">
        <v>20942.526331187182</v>
      </c>
      <c r="G137">
        <v>60904.251303769823</v>
      </c>
      <c r="H137">
        <v>16687.547782919519</v>
      </c>
      <c r="I137">
        <v>4370.5611177380197</v>
      </c>
      <c r="J137">
        <v>12909.3573260377</v>
      </c>
      <c r="K137">
        <v>17801.147381509105</v>
      </c>
      <c r="L137">
        <v>51768.613608204338</v>
      </c>
    </row>
    <row r="138" spans="1:12" x14ac:dyDescent="0.25">
      <c r="A138" t="s">
        <v>284</v>
      </c>
      <c r="B138" t="s">
        <v>285</v>
      </c>
      <c r="C138">
        <v>103242.06402561882</v>
      </c>
      <c r="D138">
        <v>27202.582354626004</v>
      </c>
      <c r="E138">
        <v>57140.317723135166</v>
      </c>
      <c r="F138">
        <v>78540.397905578109</v>
      </c>
      <c r="G138">
        <v>266125.36200895812</v>
      </c>
      <c r="H138">
        <v>92917.857623056945</v>
      </c>
      <c r="I138">
        <v>24482.324119163404</v>
      </c>
      <c r="J138">
        <v>51426.28595082165</v>
      </c>
      <c r="K138">
        <v>70686.358115020295</v>
      </c>
      <c r="L138">
        <v>239512.82580806231</v>
      </c>
    </row>
    <row r="139" spans="1:12" x14ac:dyDescent="0.25">
      <c r="A139" t="s">
        <v>461</v>
      </c>
      <c r="B139" t="s">
        <v>462</v>
      </c>
      <c r="C139">
        <v>41368.872918188186</v>
      </c>
      <c r="D139">
        <v>10506.870612298748</v>
      </c>
      <c r="E139">
        <v>22525.324704684172</v>
      </c>
      <c r="F139">
        <v>29681.44419948291</v>
      </c>
      <c r="G139">
        <v>104082.51243465403</v>
      </c>
      <c r="H139">
        <v>35163.541980459959</v>
      </c>
      <c r="I139">
        <v>8930.8400204539357</v>
      </c>
      <c r="J139">
        <v>19146.525998981546</v>
      </c>
      <c r="K139">
        <v>25229.227569560473</v>
      </c>
      <c r="L139">
        <v>88470.135569455917</v>
      </c>
    </row>
    <row r="140" spans="1:12" x14ac:dyDescent="0.25">
      <c r="A140" t="s">
        <v>463</v>
      </c>
      <c r="B140" t="s">
        <v>464</v>
      </c>
      <c r="C140">
        <v>125611.17789783623</v>
      </c>
      <c r="D140">
        <v>33096.47519812829</v>
      </c>
      <c r="E140">
        <v>75763.265762064344</v>
      </c>
      <c r="F140">
        <v>104137.97606815456</v>
      </c>
      <c r="G140">
        <v>338608.89492618339</v>
      </c>
      <c r="H140">
        <v>113050.06010805261</v>
      </c>
      <c r="I140">
        <v>29786.827678315462</v>
      </c>
      <c r="J140">
        <v>68186.939185857918</v>
      </c>
      <c r="K140">
        <v>93724.178461339106</v>
      </c>
      <c r="L140">
        <v>304748.00543356512</v>
      </c>
    </row>
    <row r="141" spans="1:12" x14ac:dyDescent="0.25">
      <c r="A141" t="s">
        <v>163</v>
      </c>
      <c r="B141" t="s">
        <v>164</v>
      </c>
      <c r="C141">
        <v>1294827.5529879692</v>
      </c>
      <c r="D141">
        <v>0</v>
      </c>
      <c r="E141">
        <v>786902.80809757882</v>
      </c>
      <c r="F141">
        <v>1081612.1107422076</v>
      </c>
      <c r="G141">
        <v>3163342.4718277557</v>
      </c>
      <c r="H141">
        <v>1253939.0767597572</v>
      </c>
      <c r="I141">
        <v>0</v>
      </c>
      <c r="J141">
        <v>762810.76706025715</v>
      </c>
      <c r="K141">
        <v>1037854.0749284106</v>
      </c>
      <c r="L141">
        <v>3054603.9187484253</v>
      </c>
    </row>
    <row r="142" spans="1:12" x14ac:dyDescent="0.25">
      <c r="A142" t="s">
        <v>465</v>
      </c>
      <c r="B142" t="s">
        <v>466</v>
      </c>
      <c r="C142">
        <v>64526.290016011735</v>
      </c>
      <c r="D142">
        <v>0</v>
      </c>
      <c r="E142">
        <v>30867.003455710452</v>
      </c>
      <c r="F142">
        <v>42427.253297942247</v>
      </c>
      <c r="G142">
        <v>137820.54676966445</v>
      </c>
      <c r="H142">
        <v>54847.346513609977</v>
      </c>
      <c r="I142">
        <v>0</v>
      </c>
      <c r="J142">
        <v>26236.952937353883</v>
      </c>
      <c r="K142">
        <v>36063.165303250906</v>
      </c>
      <c r="L142">
        <v>117147.46475421476</v>
      </c>
    </row>
    <row r="143" spans="1:12" x14ac:dyDescent="0.25">
      <c r="A143" t="s">
        <v>165</v>
      </c>
      <c r="B143" t="s">
        <v>166</v>
      </c>
      <c r="C143">
        <v>887881.75062032172</v>
      </c>
      <c r="D143">
        <v>0</v>
      </c>
      <c r="E143">
        <v>494900.95540655777</v>
      </c>
      <c r="F143">
        <v>680250.2945436741</v>
      </c>
      <c r="G143">
        <v>2063033.0005705538</v>
      </c>
      <c r="H143">
        <v>782082.58425764472</v>
      </c>
      <c r="I143">
        <v>0</v>
      </c>
      <c r="J143">
        <v>421244.3185882509</v>
      </c>
      <c r="K143">
        <v>578212.75036212301</v>
      </c>
      <c r="L143">
        <v>1781539.6532080187</v>
      </c>
    </row>
    <row r="144" spans="1:12" x14ac:dyDescent="0.25">
      <c r="A144" t="s">
        <v>167</v>
      </c>
      <c r="B144" t="s">
        <v>168</v>
      </c>
      <c r="C144">
        <v>180673.61204483293</v>
      </c>
      <c r="D144">
        <v>0</v>
      </c>
      <c r="E144">
        <v>86427.609675989283</v>
      </c>
      <c r="F144">
        <v>118796.30923423827</v>
      </c>
      <c r="G144">
        <v>385897.5309550605</v>
      </c>
      <c r="H144">
        <v>153572.57023810799</v>
      </c>
      <c r="I144">
        <v>0</v>
      </c>
      <c r="J144">
        <v>73463.468224590892</v>
      </c>
      <c r="K144">
        <v>100976.86284910253</v>
      </c>
      <c r="L144">
        <v>328012.9013118014</v>
      </c>
    </row>
    <row r="145" spans="1:12" x14ac:dyDescent="0.25">
      <c r="A145" t="s">
        <v>169</v>
      </c>
      <c r="B145" t="s">
        <v>170</v>
      </c>
      <c r="C145">
        <v>126358.38650441123</v>
      </c>
      <c r="D145">
        <v>0</v>
      </c>
      <c r="E145">
        <v>0</v>
      </c>
      <c r="F145">
        <v>0</v>
      </c>
      <c r="G145">
        <v>126358.38650441123</v>
      </c>
      <c r="H145">
        <v>130347.09737627412</v>
      </c>
      <c r="I145">
        <v>0</v>
      </c>
      <c r="J145">
        <v>0</v>
      </c>
      <c r="K145">
        <v>0</v>
      </c>
      <c r="L145">
        <v>130347.09737627412</v>
      </c>
    </row>
    <row r="146" spans="1:12" x14ac:dyDescent="0.25">
      <c r="A146" t="s">
        <v>171</v>
      </c>
      <c r="B146" t="s">
        <v>172</v>
      </c>
      <c r="C146">
        <v>178952.91097773926</v>
      </c>
      <c r="D146">
        <v>0</v>
      </c>
      <c r="E146">
        <v>85604.489583837028</v>
      </c>
      <c r="F146">
        <v>117664.91581295978</v>
      </c>
      <c r="G146">
        <v>382222.31637453608</v>
      </c>
      <c r="H146">
        <v>188568.80087100988</v>
      </c>
      <c r="I146">
        <v>0</v>
      </c>
      <c r="J146">
        <v>91000.514816974086</v>
      </c>
      <c r="K146">
        <v>123812.16836694066</v>
      </c>
      <c r="L146">
        <v>403381.48405492469</v>
      </c>
    </row>
    <row r="147" spans="1:12" x14ac:dyDescent="0.25">
      <c r="A147" t="s">
        <v>467</v>
      </c>
      <c r="B147" t="s">
        <v>468</v>
      </c>
      <c r="C147">
        <v>71150.931113684783</v>
      </c>
      <c r="D147">
        <v>18499.812526317153</v>
      </c>
      <c r="E147">
        <v>34128.880920257703</v>
      </c>
      <c r="F147">
        <v>46491.291797766848</v>
      </c>
      <c r="G147">
        <v>170270.91635802647</v>
      </c>
      <c r="H147">
        <v>112098.50374359573</v>
      </c>
      <c r="I147">
        <v>30185.194343292409</v>
      </c>
      <c r="J147">
        <v>54097.080236818678</v>
      </c>
      <c r="K147">
        <v>73602.625434725094</v>
      </c>
      <c r="L147">
        <v>269983.4037584319</v>
      </c>
    </row>
    <row r="148" spans="1:12" x14ac:dyDescent="0.25">
      <c r="A148" t="s">
        <v>469</v>
      </c>
      <c r="B148" t="s">
        <v>470</v>
      </c>
      <c r="C148">
        <v>15486.309603842823</v>
      </c>
      <c r="D148">
        <v>4080.3873531938998</v>
      </c>
      <c r="E148">
        <v>9911.2096076078942</v>
      </c>
      <c r="F148">
        <v>13623.136470449468</v>
      </c>
      <c r="G148">
        <v>43101.043035094088</v>
      </c>
      <c r="H148">
        <v>13937.678643458541</v>
      </c>
      <c r="I148">
        <v>3672.3486178745097</v>
      </c>
      <c r="J148">
        <v>8920.0886468471053</v>
      </c>
      <c r="K148">
        <v>12260.822823404522</v>
      </c>
      <c r="L148">
        <v>38790.938731584683</v>
      </c>
    </row>
    <row r="149" spans="1:12" x14ac:dyDescent="0.25">
      <c r="A149" t="s">
        <v>173</v>
      </c>
      <c r="B149" t="s">
        <v>174</v>
      </c>
      <c r="C149">
        <v>374252.48209286825</v>
      </c>
      <c r="D149">
        <v>0</v>
      </c>
      <c r="E149">
        <v>179028.6200431207</v>
      </c>
      <c r="F149">
        <v>246078.06912806502</v>
      </c>
      <c r="G149">
        <v>799359.1712640539</v>
      </c>
      <c r="H149">
        <v>397993.13732222375</v>
      </c>
      <c r="I149">
        <v>0</v>
      </c>
      <c r="J149">
        <v>192065.60270126321</v>
      </c>
      <c r="K149">
        <v>261317.84844266743</v>
      </c>
      <c r="L149">
        <v>851376.58846615441</v>
      </c>
    </row>
    <row r="150" spans="1:12" x14ac:dyDescent="0.25">
      <c r="A150" t="s">
        <v>471</v>
      </c>
      <c r="B150" t="s">
        <v>472</v>
      </c>
      <c r="C150">
        <v>183254.6636454734</v>
      </c>
      <c r="D150">
        <v>48284.583679461124</v>
      </c>
      <c r="E150">
        <v>89255.891468629154</v>
      </c>
      <c r="F150">
        <v>122683.83359942214</v>
      </c>
      <c r="G150">
        <v>443478.97239298583</v>
      </c>
      <c r="H150">
        <v>155766.46409865239</v>
      </c>
      <c r="I150">
        <v>41041.896127541957</v>
      </c>
      <c r="J150">
        <v>75867.507748334785</v>
      </c>
      <c r="K150">
        <v>104281.25855950882</v>
      </c>
      <c r="L150">
        <v>376957.12653403799</v>
      </c>
    </row>
    <row r="151" spans="1:12" x14ac:dyDescent="0.25">
      <c r="A151" t="s">
        <v>473</v>
      </c>
      <c r="B151" t="s">
        <v>474</v>
      </c>
      <c r="C151">
        <v>45324.203854843152</v>
      </c>
      <c r="D151">
        <v>11870.659825955108</v>
      </c>
      <c r="E151">
        <v>25605.606656467629</v>
      </c>
      <c r="F151">
        <v>35308.432974070725</v>
      </c>
      <c r="G151">
        <v>118108.90331133662</v>
      </c>
      <c r="H151">
        <v>38525.573276616677</v>
      </c>
      <c r="I151">
        <v>10090.060852061843</v>
      </c>
      <c r="J151">
        <v>21764.765657997483</v>
      </c>
      <c r="K151">
        <v>30012.168027960117</v>
      </c>
      <c r="L151">
        <v>100392.56781463612</v>
      </c>
    </row>
    <row r="152" spans="1:12" x14ac:dyDescent="0.25">
      <c r="A152" t="s">
        <v>475</v>
      </c>
      <c r="B152" t="s">
        <v>476</v>
      </c>
      <c r="C152">
        <v>1185563.0352275227</v>
      </c>
      <c r="D152">
        <v>261034.05197684217</v>
      </c>
      <c r="E152">
        <v>708500.61932007421</v>
      </c>
      <c r="F152">
        <v>973846.88736543432</v>
      </c>
      <c r="G152">
        <v>3128944.5938898735</v>
      </c>
      <c r="H152">
        <v>1405141.7097162353</v>
      </c>
      <c r="I152">
        <v>378367.90118685132</v>
      </c>
      <c r="J152">
        <v>872262.99916730914</v>
      </c>
      <c r="K152">
        <v>1186771.0147614591</v>
      </c>
      <c r="L152">
        <v>3842543.6248318548</v>
      </c>
    </row>
    <row r="153" spans="1:12" x14ac:dyDescent="0.25">
      <c r="A153" t="s">
        <v>477</v>
      </c>
      <c r="B153" t="s">
        <v>478</v>
      </c>
      <c r="C153">
        <v>106683.46615980611</v>
      </c>
      <c r="D153">
        <v>28109.335099780204</v>
      </c>
      <c r="E153">
        <v>55693.066821108448</v>
      </c>
      <c r="F153">
        <v>76551.125422615267</v>
      </c>
      <c r="G153">
        <v>267036.99350331002</v>
      </c>
      <c r="H153">
        <v>90680.946235835188</v>
      </c>
      <c r="I153">
        <v>23892.934834813172</v>
      </c>
      <c r="J153">
        <v>47339.106797942179</v>
      </c>
      <c r="K153">
        <v>65068.456609222972</v>
      </c>
      <c r="L153">
        <v>226981.44447781352</v>
      </c>
    </row>
    <row r="154" spans="1:12" x14ac:dyDescent="0.25">
      <c r="A154" t="s">
        <v>479</v>
      </c>
      <c r="B154" t="s">
        <v>480</v>
      </c>
      <c r="C154">
        <v>228853.24192345503</v>
      </c>
      <c r="D154">
        <v>60299.057552754297</v>
      </c>
      <c r="E154">
        <v>157582.37008810914</v>
      </c>
      <c r="F154">
        <v>216599.81153050347</v>
      </c>
      <c r="G154">
        <v>663334.48109482194</v>
      </c>
      <c r="H154">
        <v>194525.25563493677</v>
      </c>
      <c r="I154">
        <v>51254.198919841154</v>
      </c>
      <c r="J154">
        <v>133945.01457489276</v>
      </c>
      <c r="K154">
        <v>184109.83980092793</v>
      </c>
      <c r="L154">
        <v>563834.30893059855</v>
      </c>
    </row>
    <row r="155" spans="1:12" x14ac:dyDescent="0.25">
      <c r="A155" t="s">
        <v>481</v>
      </c>
      <c r="B155" t="s">
        <v>482</v>
      </c>
      <c r="C155">
        <v>291173.67324929539</v>
      </c>
      <c r="D155">
        <v>76259.99645765101</v>
      </c>
      <c r="E155">
        <v>150916.49630401793</v>
      </c>
      <c r="F155">
        <v>208103.83701985318</v>
      </c>
      <c r="G155">
        <v>726454.00303081749</v>
      </c>
      <c r="H155">
        <v>247497.62226190107</v>
      </c>
      <c r="I155">
        <v>64820.996989003354</v>
      </c>
      <c r="J155">
        <v>128279.02185841523</v>
      </c>
      <c r="K155">
        <v>176888.26146687521</v>
      </c>
      <c r="L155">
        <v>617485.90257619484</v>
      </c>
    </row>
    <row r="156" spans="1:12" x14ac:dyDescent="0.25">
      <c r="A156" t="s">
        <v>175</v>
      </c>
      <c r="B156" t="s">
        <v>176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483</v>
      </c>
      <c r="B157" t="s">
        <v>484</v>
      </c>
      <c r="C157">
        <v>801846.69726563944</v>
      </c>
      <c r="D157">
        <v>155521.93077018767</v>
      </c>
      <c r="E157">
        <v>433166.94849513663</v>
      </c>
      <c r="F157">
        <v>595395.7879477893</v>
      </c>
      <c r="G157">
        <v>1985931.3644787529</v>
      </c>
      <c r="H157">
        <v>787296.4681526958</v>
      </c>
      <c r="I157">
        <v>132193.6411546595</v>
      </c>
      <c r="J157">
        <v>425018.53348849405</v>
      </c>
      <c r="K157">
        <v>578265.58820227813</v>
      </c>
      <c r="L157">
        <v>1922774.2309981275</v>
      </c>
    </row>
    <row r="158" spans="1:12" x14ac:dyDescent="0.25">
      <c r="A158" t="s">
        <v>286</v>
      </c>
      <c r="B158" t="s">
        <v>287</v>
      </c>
      <c r="C158">
        <v>1996873.5883621771</v>
      </c>
      <c r="D158">
        <v>0</v>
      </c>
      <c r="E158">
        <v>1302793.325854019</v>
      </c>
      <c r="F158">
        <v>1790712.9375284822</v>
      </c>
      <c r="G158">
        <v>5090379.8517446779</v>
      </c>
      <c r="H158">
        <v>2136823.4163217209</v>
      </c>
      <c r="I158">
        <v>0</v>
      </c>
      <c r="J158">
        <v>1443217.8421318722</v>
      </c>
      <c r="K158">
        <v>1963592.522741135</v>
      </c>
      <c r="L158">
        <v>5543633.7811947279</v>
      </c>
    </row>
    <row r="159" spans="1:12" x14ac:dyDescent="0.25">
      <c r="A159" t="s">
        <v>485</v>
      </c>
      <c r="B159" t="s">
        <v>486</v>
      </c>
      <c r="C159">
        <v>188416.76684675436</v>
      </c>
      <c r="D159">
        <v>0</v>
      </c>
      <c r="E159">
        <v>90131.65009067455</v>
      </c>
      <c r="F159">
        <v>123887.57962999133</v>
      </c>
      <c r="G159">
        <v>402435.9965674202</v>
      </c>
      <c r="H159">
        <v>160154.25181974118</v>
      </c>
      <c r="I159">
        <v>0</v>
      </c>
      <c r="J159">
        <v>76611.902577073372</v>
      </c>
      <c r="K159">
        <v>105304.44268549263</v>
      </c>
      <c r="L159">
        <v>342070.59708230721</v>
      </c>
    </row>
    <row r="160" spans="1:12" x14ac:dyDescent="0.25">
      <c r="A160" t="s">
        <v>487</v>
      </c>
      <c r="B160" t="s">
        <v>488</v>
      </c>
      <c r="C160">
        <v>65538.829396048022</v>
      </c>
      <c r="D160">
        <v>16645.558652458367</v>
      </c>
      <c r="E160">
        <v>29372.545979747349</v>
      </c>
      <c r="F160">
        <v>39780.615224872839</v>
      </c>
      <c r="G160">
        <v>151337.54925312658</v>
      </c>
      <c r="H160">
        <v>71256.413232363207</v>
      </c>
      <c r="I160">
        <v>14148.724854589611</v>
      </c>
      <c r="J160">
        <v>34387.291313326605</v>
      </c>
      <c r="K160">
        <v>46786.165005019058</v>
      </c>
      <c r="L160">
        <v>166578.59440529847</v>
      </c>
    </row>
    <row r="161" spans="1:12" x14ac:dyDescent="0.25">
      <c r="A161" t="s">
        <v>489</v>
      </c>
      <c r="B161" t="s">
        <v>490</v>
      </c>
      <c r="C161">
        <v>33290.802631173603</v>
      </c>
      <c r="D161">
        <v>0</v>
      </c>
      <c r="E161">
        <v>16023.157564492476</v>
      </c>
      <c r="F161">
        <v>22094.871349433746</v>
      </c>
      <c r="G161">
        <v>71408.83154509982</v>
      </c>
      <c r="H161">
        <v>34759.225967006438</v>
      </c>
      <c r="I161">
        <v>0</v>
      </c>
      <c r="J161">
        <v>16774.288445525166</v>
      </c>
      <c r="K161">
        <v>22822.519514643442</v>
      </c>
      <c r="L161">
        <v>74356.033927175042</v>
      </c>
    </row>
    <row r="162" spans="1:12" x14ac:dyDescent="0.25">
      <c r="A162" t="s">
        <v>491</v>
      </c>
      <c r="B162" t="s">
        <v>492</v>
      </c>
      <c r="C162">
        <v>60008.823143023299</v>
      </c>
      <c r="D162">
        <v>15602.775124573644</v>
      </c>
      <c r="E162">
        <v>40531.760618726796</v>
      </c>
      <c r="F162">
        <v>55711.636435643173</v>
      </c>
      <c r="G162">
        <v>171854.99532196691</v>
      </c>
      <c r="H162">
        <v>60828.645442261259</v>
      </c>
      <c r="I162">
        <v>16379.562821941608</v>
      </c>
      <c r="J162">
        <v>44226.229233188846</v>
      </c>
      <c r="K162">
        <v>60172.685298183758</v>
      </c>
      <c r="L162">
        <v>181607.12279557547</v>
      </c>
    </row>
    <row r="163" spans="1:12" x14ac:dyDescent="0.25">
      <c r="A163" t="s">
        <v>493</v>
      </c>
      <c r="B163" t="s">
        <v>494</v>
      </c>
      <c r="C163">
        <v>234875.69565828278</v>
      </c>
      <c r="D163">
        <v>61885.874856774142</v>
      </c>
      <c r="E163">
        <v>143377.85888625012</v>
      </c>
      <c r="F163">
        <v>197708.55611312875</v>
      </c>
      <c r="G163">
        <v>637847.9855144358</v>
      </c>
      <c r="H163">
        <v>237231.71722481895</v>
      </c>
      <c r="I163">
        <v>63880.295005572312</v>
      </c>
      <c r="J163">
        <v>130275.20474751004</v>
      </c>
      <c r="K163">
        <v>177937.70050181588</v>
      </c>
      <c r="L163">
        <v>609324.91747971717</v>
      </c>
    </row>
    <row r="164" spans="1:12" x14ac:dyDescent="0.25">
      <c r="A164" t="s">
        <v>495</v>
      </c>
      <c r="B164" t="s">
        <v>496</v>
      </c>
      <c r="C164">
        <v>183425.79488940752</v>
      </c>
      <c r="D164">
        <v>47692.177246744221</v>
      </c>
      <c r="E164">
        <v>85401.938378745821</v>
      </c>
      <c r="F164">
        <v>115663.84652000164</v>
      </c>
      <c r="G164">
        <v>432183.7570348992</v>
      </c>
      <c r="H164">
        <v>155911.9256559964</v>
      </c>
      <c r="I164">
        <v>40538.350659732583</v>
      </c>
      <c r="J164">
        <v>72591.647621933953</v>
      </c>
      <c r="K164">
        <v>98314.269542001392</v>
      </c>
      <c r="L164">
        <v>367356.19347966439</v>
      </c>
    </row>
    <row r="165" spans="1:12" x14ac:dyDescent="0.25">
      <c r="A165" t="s">
        <v>177</v>
      </c>
      <c r="B165" t="s">
        <v>178</v>
      </c>
      <c r="C165">
        <v>207392.56915397925</v>
      </c>
      <c r="D165">
        <v>0</v>
      </c>
      <c r="E165">
        <v>100812.36634326512</v>
      </c>
      <c r="F165">
        <v>139013.56557352067</v>
      </c>
      <c r="G165">
        <v>447218.50107076502</v>
      </c>
      <c r="H165">
        <v>217245.1622937902</v>
      </c>
      <c r="I165">
        <v>0</v>
      </c>
      <c r="J165">
        <v>104839.30278453234</v>
      </c>
      <c r="K165">
        <v>142640.74696652149</v>
      </c>
      <c r="L165">
        <v>464725.21204484405</v>
      </c>
    </row>
    <row r="166" spans="1:12" x14ac:dyDescent="0.25">
      <c r="A166" t="s">
        <v>497</v>
      </c>
      <c r="B166" t="s">
        <v>498</v>
      </c>
      <c r="C166">
        <v>137656.08536749179</v>
      </c>
      <c r="D166">
        <v>36270.109806167995</v>
      </c>
      <c r="E166">
        <v>82838.590005181162</v>
      </c>
      <c r="F166">
        <v>113863.13692669111</v>
      </c>
      <c r="G166">
        <v>370627.92210553202</v>
      </c>
      <c r="H166">
        <v>123890.47683074261</v>
      </c>
      <c r="I166">
        <v>32643.098825551195</v>
      </c>
      <c r="J166">
        <v>74554.731004663045</v>
      </c>
      <c r="K166">
        <v>102476.823234022</v>
      </c>
      <c r="L166">
        <v>333565.12989497883</v>
      </c>
    </row>
    <row r="167" spans="1:12" x14ac:dyDescent="0.25">
      <c r="A167" t="s">
        <v>499</v>
      </c>
      <c r="B167" t="s">
        <v>500</v>
      </c>
      <c r="C167">
        <v>356185.12088838493</v>
      </c>
      <c r="D167">
        <v>93848.909123459685</v>
      </c>
      <c r="E167">
        <v>191846.51363214594</v>
      </c>
      <c r="F167">
        <v>263696.49518707505</v>
      </c>
      <c r="G167">
        <v>905577.03883106564</v>
      </c>
      <c r="H167">
        <v>302757.35275512718</v>
      </c>
      <c r="I167">
        <v>79771.572754940731</v>
      </c>
      <c r="J167">
        <v>163069.53658732405</v>
      </c>
      <c r="K167">
        <v>224142.02090901378</v>
      </c>
      <c r="L167">
        <v>769740.48300640576</v>
      </c>
    </row>
    <row r="168" spans="1:12" x14ac:dyDescent="0.25">
      <c r="A168" t="s">
        <v>179</v>
      </c>
      <c r="B168" t="s">
        <v>180</v>
      </c>
      <c r="C168">
        <v>492120.50518878293</v>
      </c>
      <c r="D168">
        <v>0</v>
      </c>
      <c r="E168">
        <v>235412.3463555518</v>
      </c>
      <c r="F168">
        <v>323578.51848563948</v>
      </c>
      <c r="G168">
        <v>1051111.3700299743</v>
      </c>
      <c r="H168">
        <v>433621.34393840539</v>
      </c>
      <c r="I168">
        <v>0</v>
      </c>
      <c r="J168">
        <v>209259.24835792658</v>
      </c>
      <c r="K168">
        <v>284710.93094517692</v>
      </c>
      <c r="L168">
        <v>927591.52324150898</v>
      </c>
    </row>
    <row r="169" spans="1:12" x14ac:dyDescent="0.25">
      <c r="A169" t="s">
        <v>501</v>
      </c>
      <c r="B169" t="s">
        <v>502</v>
      </c>
      <c r="C169">
        <v>295100.23300656042</v>
      </c>
      <c r="D169">
        <v>72303.109848999302</v>
      </c>
      <c r="E169">
        <v>141165.09580411582</v>
      </c>
      <c r="F169">
        <v>194033.97174925587</v>
      </c>
      <c r="G169">
        <v>702602.41040893144</v>
      </c>
      <c r="H169">
        <v>323260.8014931599</v>
      </c>
      <c r="I169">
        <v>87045.676710889747</v>
      </c>
      <c r="J169">
        <v>156000.88254338416</v>
      </c>
      <c r="K169">
        <v>212249.43148618404</v>
      </c>
      <c r="L169">
        <v>778556.79223361774</v>
      </c>
    </row>
    <row r="170" spans="1:12" x14ac:dyDescent="0.25">
      <c r="A170" t="s">
        <v>503</v>
      </c>
      <c r="B170" t="s">
        <v>504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8689.8064917516094</v>
      </c>
      <c r="I170">
        <v>2339.9375459916596</v>
      </c>
      <c r="J170">
        <v>4839.6547987212543</v>
      </c>
      <c r="K170">
        <v>6584.6677459167477</v>
      </c>
      <c r="L170">
        <v>22454.066582381271</v>
      </c>
    </row>
    <row r="171" spans="1:12" x14ac:dyDescent="0.25">
      <c r="A171" t="s">
        <v>181</v>
      </c>
      <c r="B171" t="s">
        <v>182</v>
      </c>
      <c r="C171">
        <v>1296548.2540550628</v>
      </c>
      <c r="D171">
        <v>0</v>
      </c>
      <c r="E171">
        <v>798988.07563776523</v>
      </c>
      <c r="F171">
        <v>1101751.5536431181</v>
      </c>
      <c r="G171">
        <v>3197287.8833359461</v>
      </c>
      <c r="H171">
        <v>1410355.5936112858</v>
      </c>
      <c r="I171">
        <v>0</v>
      </c>
      <c r="J171">
        <v>876037.21406755236</v>
      </c>
      <c r="K171">
        <v>1191906.0816522536</v>
      </c>
      <c r="L171">
        <v>3478298.8893310921</v>
      </c>
    </row>
    <row r="172" spans="1:12" x14ac:dyDescent="0.25">
      <c r="A172" t="s">
        <v>505</v>
      </c>
      <c r="B172" t="s">
        <v>506</v>
      </c>
      <c r="C172">
        <v>60224.537348277634</v>
      </c>
      <c r="D172">
        <v>15868.173040198501</v>
      </c>
      <c r="E172">
        <v>46507.571331747757</v>
      </c>
      <c r="F172">
        <v>63925.496104453719</v>
      </c>
      <c r="G172">
        <v>186525.77782467761</v>
      </c>
      <c r="H172">
        <v>54202.083613449875</v>
      </c>
      <c r="I172">
        <v>14281.355736178652</v>
      </c>
      <c r="J172">
        <v>41856.814198572982</v>
      </c>
      <c r="K172">
        <v>57532.946494008349</v>
      </c>
      <c r="L172">
        <v>167873.20004220985</v>
      </c>
    </row>
    <row r="173" spans="1:12" x14ac:dyDescent="0.25">
      <c r="A173" t="s">
        <v>183</v>
      </c>
      <c r="B173" t="s">
        <v>184</v>
      </c>
      <c r="C173">
        <v>872395.4410164787</v>
      </c>
      <c r="D173">
        <v>0</v>
      </c>
      <c r="E173">
        <v>0</v>
      </c>
      <c r="F173">
        <v>0</v>
      </c>
      <c r="G173">
        <v>872395.4410164787</v>
      </c>
      <c r="H173">
        <v>932416.23656494764</v>
      </c>
      <c r="I173">
        <v>0</v>
      </c>
      <c r="J173">
        <v>0</v>
      </c>
      <c r="K173">
        <v>0</v>
      </c>
      <c r="L173">
        <v>932416.23656494764</v>
      </c>
    </row>
    <row r="174" spans="1:12" x14ac:dyDescent="0.25">
      <c r="A174" t="s">
        <v>185</v>
      </c>
      <c r="B174" t="s">
        <v>186</v>
      </c>
      <c r="C174">
        <v>384569.00240472978</v>
      </c>
      <c r="D174">
        <v>0</v>
      </c>
      <c r="E174">
        <v>186936.83825241221</v>
      </c>
      <c r="F174">
        <v>257773.49907672699</v>
      </c>
      <c r="G174">
        <v>829279.33973386895</v>
      </c>
      <c r="H174">
        <v>498794.89262654225</v>
      </c>
      <c r="I174">
        <v>0</v>
      </c>
      <c r="J174">
        <v>240711.0391932863</v>
      </c>
      <c r="K174">
        <v>327503.15503513347</v>
      </c>
      <c r="L174">
        <v>1067009.0868549622</v>
      </c>
    </row>
    <row r="175" spans="1:12" x14ac:dyDescent="0.25">
      <c r="A175" t="s">
        <v>187</v>
      </c>
      <c r="B175" t="s">
        <v>188</v>
      </c>
      <c r="C175">
        <v>14625.959070295998</v>
      </c>
      <c r="D175">
        <v>0</v>
      </c>
      <c r="E175">
        <v>6996.5207832943697</v>
      </c>
      <c r="F175">
        <v>9616.8440808669056</v>
      </c>
      <c r="G175">
        <v>31239.323934457272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2" x14ac:dyDescent="0.25">
      <c r="A176" t="s">
        <v>507</v>
      </c>
      <c r="B176" t="s">
        <v>508</v>
      </c>
      <c r="C176">
        <v>96359.259757244217</v>
      </c>
      <c r="D176">
        <v>25389.076864317609</v>
      </c>
      <c r="E176">
        <v>62884.831690261322</v>
      </c>
      <c r="F176">
        <v>86436.336023009426</v>
      </c>
      <c r="G176">
        <v>271069.5043348326</v>
      </c>
      <c r="H176">
        <v>81905.370793657581</v>
      </c>
      <c r="I176">
        <v>21580.715334669967</v>
      </c>
      <c r="J176">
        <v>53452.106936722121</v>
      </c>
      <c r="K176">
        <v>73470.885619558016</v>
      </c>
      <c r="L176">
        <v>230409.07868460767</v>
      </c>
    </row>
    <row r="177" spans="1:12" x14ac:dyDescent="0.25">
      <c r="A177" t="s">
        <v>509</v>
      </c>
      <c r="B177" t="s">
        <v>510</v>
      </c>
      <c r="C177">
        <v>166047.6529745369</v>
      </c>
      <c r="D177">
        <v>43750.819953690137</v>
      </c>
      <c r="E177">
        <v>88653.346983171388</v>
      </c>
      <c r="F177">
        <v>121855.62533021074</v>
      </c>
      <c r="G177">
        <v>420307.44524160918</v>
      </c>
      <c r="H177">
        <v>167713.26529080601</v>
      </c>
      <c r="I177">
        <v>45160.794637639017</v>
      </c>
      <c r="J177">
        <v>91508.964467618483</v>
      </c>
      <c r="K177">
        <v>124503.94746157891</v>
      </c>
      <c r="L177">
        <v>428886.97185764241</v>
      </c>
    </row>
    <row r="178" spans="1:12" x14ac:dyDescent="0.25">
      <c r="A178" t="s">
        <v>511</v>
      </c>
      <c r="B178" t="s">
        <v>512</v>
      </c>
      <c r="C178">
        <v>169489.05510872419</v>
      </c>
      <c r="D178">
        <v>44657.572698844357</v>
      </c>
      <c r="E178">
        <v>125910.41691628068</v>
      </c>
      <c r="F178">
        <v>173066.14032105749</v>
      </c>
      <c r="G178">
        <v>513123.18504490668</v>
      </c>
      <c r="H178">
        <v>152540.14959785176</v>
      </c>
      <c r="I178">
        <v>40191.815428959919</v>
      </c>
      <c r="J178">
        <v>113319.37522465261</v>
      </c>
      <c r="K178">
        <v>155759.52628895175</v>
      </c>
      <c r="L178">
        <v>461810.86654041603</v>
      </c>
    </row>
    <row r="179" spans="1:12" x14ac:dyDescent="0.25">
      <c r="A179" t="s">
        <v>288</v>
      </c>
      <c r="B179" t="s">
        <v>289</v>
      </c>
      <c r="C179">
        <v>28155.944818917713</v>
      </c>
      <c r="D179">
        <v>0</v>
      </c>
      <c r="E179">
        <v>13686.447086337319</v>
      </c>
      <c r="F179">
        <v>18872.702610974666</v>
      </c>
      <c r="G179">
        <v>60715.094516229699</v>
      </c>
      <c r="H179">
        <v>39104.129212882253</v>
      </c>
      <c r="I179">
        <v>0</v>
      </c>
      <c r="J179">
        <v>18871.074501215819</v>
      </c>
      <c r="K179">
        <v>25675.334453973872</v>
      </c>
      <c r="L179">
        <v>83650.538168071944</v>
      </c>
    </row>
    <row r="180" spans="1:12" x14ac:dyDescent="0.25">
      <c r="A180" t="s">
        <v>513</v>
      </c>
      <c r="B180" t="s">
        <v>514</v>
      </c>
      <c r="C180">
        <v>189540.06334198822</v>
      </c>
      <c r="D180">
        <v>49281.936064202098</v>
      </c>
      <c r="E180">
        <v>119657.10538548001</v>
      </c>
      <c r="F180">
        <v>162057.22416926097</v>
      </c>
      <c r="G180">
        <v>520536.32896093128</v>
      </c>
      <c r="H180">
        <v>170586.05700778941</v>
      </c>
      <c r="I180">
        <v>44353.742457781889</v>
      </c>
      <c r="J180">
        <v>107691.39484693202</v>
      </c>
      <c r="K180">
        <v>145851.50175233488</v>
      </c>
      <c r="L180">
        <v>468482.69606483821</v>
      </c>
    </row>
    <row r="181" spans="1:12" x14ac:dyDescent="0.25">
      <c r="A181" t="s">
        <v>189</v>
      </c>
      <c r="B181" t="s">
        <v>190</v>
      </c>
      <c r="C181">
        <v>938642.43209958449</v>
      </c>
      <c r="D181">
        <v>0</v>
      </c>
      <c r="E181">
        <v>531324.01948429598</v>
      </c>
      <c r="F181">
        <v>730314.45343524578</v>
      </c>
      <c r="G181">
        <v>2200280.9050191264</v>
      </c>
      <c r="H181">
        <v>797429.69839450764</v>
      </c>
      <c r="I181">
        <v>0</v>
      </c>
      <c r="J181">
        <v>451389.72852461907</v>
      </c>
      <c r="K181">
        <v>620443.32795966254</v>
      </c>
      <c r="L181">
        <v>1869262.7548787892</v>
      </c>
    </row>
    <row r="182" spans="1:12" x14ac:dyDescent="0.25">
      <c r="A182" t="s">
        <v>515</v>
      </c>
      <c r="B182" t="s">
        <v>516</v>
      </c>
      <c r="C182">
        <v>362248.38360727491</v>
      </c>
      <c r="D182">
        <v>94187.483983706727</v>
      </c>
      <c r="E182">
        <v>234856.15125787447</v>
      </c>
      <c r="F182">
        <v>318076.68946457456</v>
      </c>
      <c r="G182">
        <v>1009368.7083134307</v>
      </c>
      <c r="H182">
        <v>344116.33707336371</v>
      </c>
      <c r="I182">
        <v>92661.526821269697</v>
      </c>
      <c r="J182">
        <v>211370.53613208703</v>
      </c>
      <c r="K182">
        <v>286269.02051811712</v>
      </c>
      <c r="L182">
        <v>934417.4205448376</v>
      </c>
    </row>
    <row r="183" spans="1:12" x14ac:dyDescent="0.25">
      <c r="A183" t="s">
        <v>517</v>
      </c>
      <c r="B183" t="s">
        <v>518</v>
      </c>
      <c r="C183">
        <v>110985.21882754021</v>
      </c>
      <c r="D183">
        <v>26259.338402870399</v>
      </c>
      <c r="E183">
        <v>53091.245943821988</v>
      </c>
      <c r="F183">
        <v>72974.875672460665</v>
      </c>
      <c r="G183">
        <v>263310.67884669325</v>
      </c>
      <c r="H183">
        <v>94337.436003409181</v>
      </c>
      <c r="I183">
        <v>22320.43764243984</v>
      </c>
      <c r="J183">
        <v>45127.559052248689</v>
      </c>
      <c r="K183">
        <v>62028.644321591564</v>
      </c>
      <c r="L183">
        <v>223814.07701968928</v>
      </c>
    </row>
    <row r="184" spans="1:12" x14ac:dyDescent="0.25">
      <c r="A184" t="s">
        <v>519</v>
      </c>
      <c r="B184" t="s">
        <v>520</v>
      </c>
      <c r="C184">
        <v>16346.660137389648</v>
      </c>
      <c r="D184">
        <v>4307.0755394824473</v>
      </c>
      <c r="E184">
        <v>12429.010501487892</v>
      </c>
      <c r="F184">
        <v>17083.89923712708</v>
      </c>
      <c r="G184">
        <v>50166.645415487066</v>
      </c>
      <c r="H184">
        <v>20855.535580203861</v>
      </c>
      <c r="I184">
        <v>5615.8501103799836</v>
      </c>
      <c r="J184">
        <v>19265.637217245407</v>
      </c>
      <c r="K184">
        <v>26212.162905182362</v>
      </c>
      <c r="L184">
        <v>71949.185813011602</v>
      </c>
    </row>
    <row r="185" spans="1:12" x14ac:dyDescent="0.25">
      <c r="A185" t="s">
        <v>521</v>
      </c>
      <c r="B185" t="s">
        <v>522</v>
      </c>
      <c r="C185">
        <v>67967.692150199073</v>
      </c>
      <c r="D185">
        <v>0</v>
      </c>
      <c r="E185">
        <v>32513.243640015011</v>
      </c>
      <c r="F185">
        <v>44690.040140499143</v>
      </c>
      <c r="G185">
        <v>145170.97593071323</v>
      </c>
      <c r="H185">
        <v>72994.374530713496</v>
      </c>
      <c r="I185">
        <v>0</v>
      </c>
      <c r="J185">
        <v>35226.00573560287</v>
      </c>
      <c r="K185">
        <v>47927.290980751226</v>
      </c>
      <c r="L185">
        <v>156147.6712470676</v>
      </c>
    </row>
    <row r="186" spans="1:12" x14ac:dyDescent="0.25">
      <c r="A186" t="s">
        <v>290</v>
      </c>
      <c r="B186" t="s">
        <v>291</v>
      </c>
      <c r="C186">
        <v>18927.711738030121</v>
      </c>
      <c r="D186">
        <v>0</v>
      </c>
      <c r="E186">
        <v>9054.3210136750695</v>
      </c>
      <c r="F186">
        <v>12445.327634063058</v>
      </c>
      <c r="G186">
        <v>40427.360385768246</v>
      </c>
      <c r="H186">
        <v>16088.554977325603</v>
      </c>
      <c r="I186">
        <v>0</v>
      </c>
      <c r="J186">
        <v>7696.1728616238088</v>
      </c>
      <c r="K186">
        <v>10578.5284889536</v>
      </c>
      <c r="L186">
        <v>34363.256327903007</v>
      </c>
    </row>
    <row r="187" spans="1:12" x14ac:dyDescent="0.25">
      <c r="A187" t="s">
        <v>523</v>
      </c>
      <c r="B187" t="s">
        <v>524</v>
      </c>
      <c r="C187">
        <v>30972.619207685646</v>
      </c>
      <c r="D187">
        <v>8160.7747063877996</v>
      </c>
      <c r="E187">
        <v>22149.173935707247</v>
      </c>
      <c r="F187">
        <v>30444.439294497824</v>
      </c>
      <c r="G187">
        <v>91727.007144278527</v>
      </c>
      <c r="H187">
        <v>39104.129212882253</v>
      </c>
      <c r="I187">
        <v>10529.718956962468</v>
      </c>
      <c r="J187">
        <v>33588.940022622373</v>
      </c>
      <c r="K187">
        <v>45699.955716868986</v>
      </c>
      <c r="L187">
        <v>128922.74390933607</v>
      </c>
    </row>
    <row r="188" spans="1:12" x14ac:dyDescent="0.25">
      <c r="A188" t="s">
        <v>525</v>
      </c>
      <c r="B188" t="s">
        <v>526</v>
      </c>
      <c r="C188">
        <v>51145.731377996824</v>
      </c>
      <c r="D188">
        <v>13298.300207800568</v>
      </c>
      <c r="E188">
        <v>25741.675201066904</v>
      </c>
      <c r="F188">
        <v>34863.15681055926</v>
      </c>
      <c r="G188">
        <v>125048.86359742355</v>
      </c>
      <c r="H188">
        <v>43473.871671297296</v>
      </c>
      <c r="I188">
        <v>11303.555176630483</v>
      </c>
      <c r="J188">
        <v>21880.423920906869</v>
      </c>
      <c r="K188">
        <v>29633.683288975371</v>
      </c>
      <c r="L188">
        <v>106291.53405781001</v>
      </c>
    </row>
    <row r="189" spans="1:12" x14ac:dyDescent="0.25">
      <c r="A189" t="s">
        <v>527</v>
      </c>
      <c r="B189" t="s">
        <v>528</v>
      </c>
      <c r="C189">
        <v>221699.26327839165</v>
      </c>
      <c r="D189">
        <v>57643.585876897057</v>
      </c>
      <c r="E189">
        <v>195219.57189374111</v>
      </c>
      <c r="F189">
        <v>264395.0129220672</v>
      </c>
      <c r="G189">
        <v>738957.43397109699</v>
      </c>
      <c r="H189">
        <v>199529.33695055248</v>
      </c>
      <c r="I189">
        <v>51879.227289207352</v>
      </c>
      <c r="J189">
        <v>175697.61470436701</v>
      </c>
      <c r="K189">
        <v>237955.51162986047</v>
      </c>
      <c r="L189">
        <v>665061.69057398732</v>
      </c>
    </row>
    <row r="190" spans="1:12" x14ac:dyDescent="0.25">
      <c r="A190" t="s">
        <v>292</v>
      </c>
      <c r="B190" t="s">
        <v>293</v>
      </c>
      <c r="C190">
        <v>148840.64230360044</v>
      </c>
      <c r="D190">
        <v>0</v>
      </c>
      <c r="E190">
        <v>71199.887971172124</v>
      </c>
      <c r="F190">
        <v>97865.530940586759</v>
      </c>
      <c r="G190">
        <v>317906.06121535931</v>
      </c>
      <c r="H190">
        <v>142512.82646472641</v>
      </c>
      <c r="I190">
        <v>0</v>
      </c>
      <c r="J190">
        <v>68774.582626653209</v>
      </c>
      <c r="K190">
        <v>93572.330010038102</v>
      </c>
      <c r="L190">
        <v>304859.73910141771</v>
      </c>
    </row>
    <row r="191" spans="1:12" x14ac:dyDescent="0.25">
      <c r="A191" t="s">
        <v>529</v>
      </c>
      <c r="B191" t="s">
        <v>530</v>
      </c>
      <c r="C191">
        <v>652959.38601576176</v>
      </c>
      <c r="D191">
        <v>171013.67685092546</v>
      </c>
      <c r="E191">
        <v>362946.4858778714</v>
      </c>
      <c r="F191">
        <v>500479.12715852086</v>
      </c>
      <c r="G191">
        <v>1687398.6759030796</v>
      </c>
      <c r="H191">
        <v>786427.48750352056</v>
      </c>
      <c r="I191">
        <v>211764.34791224514</v>
      </c>
      <c r="J191">
        <v>441884.40954893193</v>
      </c>
      <c r="K191">
        <v>601212.71867347159</v>
      </c>
      <c r="L191">
        <v>2041288.9636381692</v>
      </c>
    </row>
    <row r="192" spans="1:12" x14ac:dyDescent="0.25">
      <c r="A192" t="s">
        <v>531</v>
      </c>
      <c r="B192" t="s">
        <v>532</v>
      </c>
      <c r="C192">
        <v>9513.5939129183298</v>
      </c>
      <c r="D192">
        <v>2473.6106904811863</v>
      </c>
      <c r="E192">
        <v>5079.7004827414748</v>
      </c>
      <c r="F192">
        <v>6879.6763651632755</v>
      </c>
      <c r="G192">
        <v>23946.581451304268</v>
      </c>
      <c r="H192">
        <v>0</v>
      </c>
      <c r="I192">
        <v>2102.5690869090085</v>
      </c>
      <c r="J192">
        <v>0</v>
      </c>
      <c r="K192">
        <v>0</v>
      </c>
      <c r="L192">
        <v>2102.5690869090085</v>
      </c>
    </row>
    <row r="193" spans="1:12" x14ac:dyDescent="0.25">
      <c r="A193" t="s">
        <v>533</v>
      </c>
      <c r="B193" t="s">
        <v>534</v>
      </c>
      <c r="C193">
        <v>15794.798313051404</v>
      </c>
      <c r="D193">
        <v>0</v>
      </c>
      <c r="E193">
        <v>0</v>
      </c>
      <c r="F193">
        <v>0</v>
      </c>
      <c r="G193">
        <v>15794.798313051404</v>
      </c>
      <c r="H193">
        <v>13425.578566093693</v>
      </c>
      <c r="I193">
        <v>0</v>
      </c>
      <c r="J193">
        <v>0</v>
      </c>
      <c r="K193">
        <v>0</v>
      </c>
      <c r="L193">
        <v>13425.578566093693</v>
      </c>
    </row>
    <row r="194" spans="1:12" x14ac:dyDescent="0.25">
      <c r="A194" t="s">
        <v>651</v>
      </c>
      <c r="B194" t="s">
        <v>652</v>
      </c>
      <c r="C194">
        <v>866900.40070897446</v>
      </c>
      <c r="D194">
        <v>214313.73646299259</v>
      </c>
      <c r="E194">
        <v>412754.15017507272</v>
      </c>
      <c r="F194">
        <v>548377.30802943988</v>
      </c>
      <c r="G194">
        <v>2042345.5953764794</v>
      </c>
      <c r="H194">
        <v>823555.38067352574</v>
      </c>
      <c r="I194">
        <v>203598.04963984294</v>
      </c>
      <c r="J194">
        <v>392116.44266631908</v>
      </c>
      <c r="K194">
        <v>520958.44262796786</v>
      </c>
      <c r="L194">
        <v>1940228.3156076556</v>
      </c>
    </row>
    <row r="195" spans="1:12" x14ac:dyDescent="0.25">
      <c r="A195" t="s">
        <v>535</v>
      </c>
      <c r="B195" t="s">
        <v>536</v>
      </c>
      <c r="C195">
        <v>2082908.6417168598</v>
      </c>
      <c r="D195">
        <v>431199.23366368335</v>
      </c>
      <c r="E195">
        <v>1385105.3350692478</v>
      </c>
      <c r="F195">
        <v>1903852.279656328</v>
      </c>
      <c r="G195">
        <v>5803065.4901061188</v>
      </c>
      <c r="H195">
        <v>2771179.2902195877</v>
      </c>
      <c r="I195">
        <v>746206.08341674006</v>
      </c>
      <c r="J195">
        <v>2055479.3703935407</v>
      </c>
      <c r="K195">
        <v>2796614.485025621</v>
      </c>
      <c r="L195">
        <v>8369479.2290554894</v>
      </c>
    </row>
    <row r="196" spans="1:12" x14ac:dyDescent="0.25">
      <c r="A196" t="s">
        <v>537</v>
      </c>
      <c r="B196" t="s">
        <v>538</v>
      </c>
      <c r="C196">
        <v>44387.736841564809</v>
      </c>
      <c r="D196">
        <v>11541.167447610704</v>
      </c>
      <c r="E196">
        <v>27961.209980039668</v>
      </c>
      <c r="F196">
        <v>37869.176754537511</v>
      </c>
      <c r="G196">
        <v>121759.29102375268</v>
      </c>
      <c r="H196">
        <v>39973.109862057398</v>
      </c>
      <c r="I196">
        <v>10763.712711561633</v>
      </c>
      <c r="J196">
        <v>25165.088982035701</v>
      </c>
      <c r="K196">
        <v>34082.259079083764</v>
      </c>
      <c r="L196">
        <v>109984.17063473849</v>
      </c>
    </row>
    <row r="197" spans="1:12" x14ac:dyDescent="0.25">
      <c r="A197" t="s">
        <v>191</v>
      </c>
      <c r="B197" t="s">
        <v>192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294</v>
      </c>
      <c r="B198" t="s">
        <v>295</v>
      </c>
      <c r="C198">
        <v>28068.715943930685</v>
      </c>
      <c r="D198">
        <v>0</v>
      </c>
      <c r="E198">
        <v>12757.7724962539</v>
      </c>
      <c r="F198">
        <v>17278.449037065977</v>
      </c>
      <c r="G198">
        <v>58104.937477250562</v>
      </c>
      <c r="H198">
        <v>23858.408552341083</v>
      </c>
      <c r="I198">
        <v>0</v>
      </c>
      <c r="J198">
        <v>10844.106621815814</v>
      </c>
      <c r="K198">
        <v>14686.681681506079</v>
      </c>
      <c r="L198">
        <v>49389.19685566298</v>
      </c>
    </row>
    <row r="199" spans="1:12" x14ac:dyDescent="0.25">
      <c r="A199" t="s">
        <v>193</v>
      </c>
      <c r="B199" t="s">
        <v>194</v>
      </c>
      <c r="C199">
        <v>459427.18491400371</v>
      </c>
      <c r="D199">
        <v>0</v>
      </c>
      <c r="E199">
        <v>0</v>
      </c>
      <c r="F199">
        <v>0</v>
      </c>
      <c r="G199">
        <v>459427.18491400371</v>
      </c>
      <c r="H199">
        <v>452738.9182202589</v>
      </c>
      <c r="I199">
        <v>0</v>
      </c>
      <c r="J199">
        <v>0</v>
      </c>
      <c r="K199">
        <v>0</v>
      </c>
      <c r="L199">
        <v>452738.9182202589</v>
      </c>
    </row>
    <row r="200" spans="1:12" x14ac:dyDescent="0.25">
      <c r="A200" t="s">
        <v>83</v>
      </c>
      <c r="B200" t="s">
        <v>1399</v>
      </c>
      <c r="C200">
        <v>16501.837971525518</v>
      </c>
      <c r="D200">
        <v>0</v>
      </c>
      <c r="E200">
        <v>9506.4184457192769</v>
      </c>
      <c r="F200">
        <v>13108.720407113116</v>
      </c>
      <c r="G200">
        <v>39116.976824357916</v>
      </c>
      <c r="H200">
        <v>20465.935332100711</v>
      </c>
      <c r="I200">
        <v>0</v>
      </c>
      <c r="J200">
        <v>11669.812934574229</v>
      </c>
      <c r="K200">
        <v>15877.545822374846</v>
      </c>
      <c r="L200">
        <v>48013.294089049785</v>
      </c>
    </row>
    <row r="201" spans="1:12" x14ac:dyDescent="0.25">
      <c r="A201" t="s">
        <v>539</v>
      </c>
      <c r="B201" t="s">
        <v>540</v>
      </c>
      <c r="C201">
        <v>170995.85999781726</v>
      </c>
      <c r="D201">
        <v>44784.762070648816</v>
      </c>
      <c r="E201">
        <v>86794.640474281914</v>
      </c>
      <c r="F201">
        <v>119684.0514973964</v>
      </c>
      <c r="G201">
        <v>422259.31404014444</v>
      </c>
      <c r="H201">
        <v>150333.65230730278</v>
      </c>
      <c r="I201">
        <v>38067.047760051493</v>
      </c>
      <c r="J201">
        <v>73775.444403139627</v>
      </c>
      <c r="K201">
        <v>101731.44377278694</v>
      </c>
      <c r="L201">
        <v>363907.58824328083</v>
      </c>
    </row>
    <row r="202" spans="1:12" x14ac:dyDescent="0.25">
      <c r="A202" t="s">
        <v>541</v>
      </c>
      <c r="B202" t="s">
        <v>542</v>
      </c>
      <c r="C202">
        <v>55922.78468054354</v>
      </c>
      <c r="D202">
        <v>14734.732108755747</v>
      </c>
      <c r="E202">
        <v>28684.726889394035</v>
      </c>
      <c r="F202">
        <v>39427.674774613268</v>
      </c>
      <c r="G202">
        <v>138769.9184533066</v>
      </c>
      <c r="H202">
        <v>51269.858301334483</v>
      </c>
      <c r="I202">
        <v>13805.63152135079</v>
      </c>
      <c r="J202">
        <v>25816.25420045463</v>
      </c>
      <c r="K202">
        <v>35484.907297151942</v>
      </c>
      <c r="L202">
        <v>126376.65132029186</v>
      </c>
    </row>
    <row r="203" spans="1:12" x14ac:dyDescent="0.25">
      <c r="A203" t="s">
        <v>543</v>
      </c>
      <c r="B203" t="s">
        <v>544</v>
      </c>
      <c r="C203">
        <v>511908.56746036001</v>
      </c>
      <c r="D203">
        <v>127771.50605062442</v>
      </c>
      <c r="E203">
        <v>244878.22741530291</v>
      </c>
      <c r="F203">
        <v>336589.54283034179</v>
      </c>
      <c r="G203">
        <v>1221147.8437566292</v>
      </c>
      <c r="H203">
        <v>525733.29275097221</v>
      </c>
      <c r="I203">
        <v>108605.78014303076</v>
      </c>
      <c r="J203">
        <v>253711.11273856828</v>
      </c>
      <c r="K203">
        <v>345190.60765898204</v>
      </c>
      <c r="L203">
        <v>1233240.7932915534</v>
      </c>
    </row>
    <row r="204" spans="1:12" x14ac:dyDescent="0.25">
      <c r="A204" t="s">
        <v>545</v>
      </c>
      <c r="B204" t="s">
        <v>546</v>
      </c>
      <c r="C204">
        <v>184730.46722655772</v>
      </c>
      <c r="D204">
        <v>48381.931714877639</v>
      </c>
      <c r="E204">
        <v>103432.00238795746</v>
      </c>
      <c r="F204">
        <v>142625.86989973413</v>
      </c>
      <c r="G204">
        <v>479170.27122912696</v>
      </c>
      <c r="H204">
        <v>196389.62671358636</v>
      </c>
      <c r="I204">
        <v>52882.58853941151</v>
      </c>
      <c r="J204">
        <v>101908.31039658515</v>
      </c>
      <c r="K204">
        <v>138652.93960357847</v>
      </c>
      <c r="L204">
        <v>489833.4652531615</v>
      </c>
    </row>
    <row r="205" spans="1:12" x14ac:dyDescent="0.25">
      <c r="A205" t="s">
        <v>547</v>
      </c>
      <c r="B205" t="s">
        <v>548</v>
      </c>
      <c r="C205">
        <v>39576.124543153885</v>
      </c>
      <c r="D205">
        <v>0</v>
      </c>
      <c r="E205">
        <v>18931.762119502415</v>
      </c>
      <c r="F205">
        <v>26022.048689404583</v>
      </c>
      <c r="G205">
        <v>84529.935352060886</v>
      </c>
      <c r="H205">
        <v>57352.722845560602</v>
      </c>
      <c r="I205">
        <v>15443.587803544951</v>
      </c>
      <c r="J205">
        <v>31481.103904418254</v>
      </c>
      <c r="K205">
        <v>42832.106442808275</v>
      </c>
      <c r="L205">
        <v>147109.52099633208</v>
      </c>
    </row>
    <row r="206" spans="1:12" x14ac:dyDescent="0.25">
      <c r="A206" t="s">
        <v>77</v>
      </c>
      <c r="B206" t="s">
        <v>34</v>
      </c>
      <c r="C206">
        <v>55061.668497709215</v>
      </c>
      <c r="D206">
        <v>14507.842186498488</v>
      </c>
      <c r="E206">
        <v>46405.322580160318</v>
      </c>
      <c r="F206">
        <v>63784.953350142547</v>
      </c>
      <c r="G206">
        <v>179759.78661451058</v>
      </c>
      <c r="H206">
        <v>22639.917766779832</v>
      </c>
      <c r="I206">
        <v>5965.2452066433507</v>
      </c>
      <c r="J206">
        <v>19080.654760751218</v>
      </c>
      <c r="K206">
        <v>26226.704311824378</v>
      </c>
      <c r="L206">
        <v>73912.522045998776</v>
      </c>
    </row>
    <row r="207" spans="1:12" x14ac:dyDescent="0.25">
      <c r="A207" t="s">
        <v>549</v>
      </c>
      <c r="B207" t="s">
        <v>550</v>
      </c>
      <c r="C207">
        <v>308968.76715279772</v>
      </c>
      <c r="D207">
        <v>78471.919361589447</v>
      </c>
      <c r="E207">
        <v>138284.17548158282</v>
      </c>
      <c r="F207">
        <v>190074.09477478123</v>
      </c>
      <c r="G207">
        <v>715798.95677075116</v>
      </c>
      <c r="H207">
        <v>311095.07240470761</v>
      </c>
      <c r="I207">
        <v>66701.131457351032</v>
      </c>
      <c r="J207">
        <v>150129.88158745031</v>
      </c>
      <c r="K207">
        <v>204261.54965605881</v>
      </c>
      <c r="L207">
        <v>732187.63510556775</v>
      </c>
    </row>
    <row r="208" spans="1:12" x14ac:dyDescent="0.25">
      <c r="A208" t="s">
        <v>58</v>
      </c>
      <c r="B208" t="s">
        <v>1426</v>
      </c>
      <c r="C208">
        <v>283055.32553690486</v>
      </c>
      <c r="D208">
        <v>0</v>
      </c>
      <c r="E208">
        <v>135403.25515904985</v>
      </c>
      <c r="F208">
        <v>186114.21780030662</v>
      </c>
      <c r="G208">
        <v>604572.79849626136</v>
      </c>
      <c r="H208">
        <v>363233.91135521716</v>
      </c>
      <c r="I208">
        <v>0</v>
      </c>
      <c r="J208">
        <v>175291.31425573808</v>
      </c>
      <c r="K208">
        <v>238495.32892802396</v>
      </c>
      <c r="L208">
        <v>777020.5545389792</v>
      </c>
    </row>
    <row r="209" spans="1:12" x14ac:dyDescent="0.25">
      <c r="A209" t="s">
        <v>195</v>
      </c>
      <c r="B209" t="s">
        <v>196</v>
      </c>
      <c r="C209">
        <v>1587346.7343938893</v>
      </c>
      <c r="D209">
        <v>0</v>
      </c>
      <c r="E209">
        <v>996798.43159640976</v>
      </c>
      <c r="F209">
        <v>1370117.4331682152</v>
      </c>
      <c r="G209">
        <v>3954262.5991585143</v>
      </c>
      <c r="H209">
        <v>1817038.5374252617</v>
      </c>
      <c r="I209">
        <v>0</v>
      </c>
      <c r="J209">
        <v>1170425.9762865189</v>
      </c>
      <c r="K209">
        <v>1592441.2991342463</v>
      </c>
      <c r="L209">
        <v>4579905.8128460264</v>
      </c>
    </row>
    <row r="210" spans="1:12" x14ac:dyDescent="0.25">
      <c r="A210" t="s">
        <v>551</v>
      </c>
      <c r="B210" t="s">
        <v>552</v>
      </c>
      <c r="C210">
        <v>9463.8558690150603</v>
      </c>
      <c r="D210">
        <v>2620.9095432834765</v>
      </c>
      <c r="E210">
        <v>8011.4278569181315</v>
      </c>
      <c r="F210">
        <v>11011.852169303249</v>
      </c>
      <c r="G210">
        <v>31108.045438519915</v>
      </c>
      <c r="H210">
        <v>0</v>
      </c>
      <c r="I210">
        <v>2358.8185889551291</v>
      </c>
      <c r="J210">
        <v>0</v>
      </c>
      <c r="K210">
        <v>0</v>
      </c>
      <c r="L210">
        <v>2358.8185889551291</v>
      </c>
    </row>
    <row r="211" spans="1:12" x14ac:dyDescent="0.25">
      <c r="A211" t="s">
        <v>553</v>
      </c>
      <c r="B211" t="s">
        <v>554</v>
      </c>
      <c r="C211">
        <v>24950.165472857887</v>
      </c>
      <c r="D211">
        <v>5091.6915210047209</v>
      </c>
      <c r="E211">
        <v>11935.241336208044</v>
      </c>
      <c r="F211">
        <v>16405.204608537671</v>
      </c>
      <c r="G211">
        <v>58382.302938608329</v>
      </c>
      <c r="H211">
        <v>26938.400124429987</v>
      </c>
      <c r="I211">
        <v>7253.8063925741435</v>
      </c>
      <c r="J211">
        <v>13292.763910795871</v>
      </c>
      <c r="K211">
        <v>18085.677061229802</v>
      </c>
      <c r="L211">
        <v>65570.647489029798</v>
      </c>
    </row>
    <row r="212" spans="1:12" x14ac:dyDescent="0.25">
      <c r="A212" t="s">
        <v>555</v>
      </c>
      <c r="B212" t="s">
        <v>556</v>
      </c>
      <c r="C212">
        <v>246621.62681949825</v>
      </c>
      <c r="D212">
        <v>64123.600207089214</v>
      </c>
      <c r="E212">
        <v>159884.36766561729</v>
      </c>
      <c r="F212">
        <v>216538.89026043261</v>
      </c>
      <c r="G212">
        <v>687168.48495263734</v>
      </c>
      <c r="H212">
        <v>221959.46413754844</v>
      </c>
      <c r="I212">
        <v>57711.240186380295</v>
      </c>
      <c r="J212">
        <v>143895.93089905556</v>
      </c>
      <c r="K212">
        <v>194885.00123438935</v>
      </c>
      <c r="L212">
        <v>618451.63645737362</v>
      </c>
    </row>
    <row r="213" spans="1:12" x14ac:dyDescent="0.25">
      <c r="A213" t="s">
        <v>557</v>
      </c>
      <c r="B213" t="s">
        <v>558</v>
      </c>
      <c r="C213">
        <v>402644.04969991342</v>
      </c>
      <c r="D213">
        <v>96516.264455430864</v>
      </c>
      <c r="E213">
        <v>192610.10156363333</v>
      </c>
      <c r="F213">
        <v>264746.0605791597</v>
      </c>
      <c r="G213">
        <v>956516.47629813734</v>
      </c>
      <c r="H213">
        <v>384958.42758459627</v>
      </c>
      <c r="I213">
        <v>82038.824787116231</v>
      </c>
      <c r="J213">
        <v>185775.2445341913</v>
      </c>
      <c r="K213">
        <v>252759.40362467608</v>
      </c>
      <c r="L213">
        <v>905531.90053057985</v>
      </c>
    </row>
    <row r="214" spans="1:12" x14ac:dyDescent="0.25">
      <c r="A214" t="s">
        <v>69</v>
      </c>
      <c r="B214" t="s">
        <v>16</v>
      </c>
      <c r="C214">
        <v>49429.968712509522</v>
      </c>
      <c r="D214">
        <v>13023.982108251608</v>
      </c>
      <c r="E214">
        <v>36072.271866129835</v>
      </c>
      <c r="F214">
        <v>49736.805696874522</v>
      </c>
      <c r="G214">
        <v>148263.02838376549</v>
      </c>
      <c r="H214">
        <v>59717.548911030623</v>
      </c>
      <c r="I214">
        <v>16080.373594527231</v>
      </c>
      <c r="J214">
        <v>45159.322577754327</v>
      </c>
      <c r="K214">
        <v>61442.219987210206</v>
      </c>
      <c r="L214">
        <v>182399.46507052239</v>
      </c>
    </row>
    <row r="215" spans="1:12" x14ac:dyDescent="0.25">
      <c r="A215" t="s">
        <v>197</v>
      </c>
      <c r="B215" t="s">
        <v>198</v>
      </c>
      <c r="C215">
        <v>110563.58819135977</v>
      </c>
      <c r="D215">
        <v>28957.215636042005</v>
      </c>
      <c r="E215">
        <v>53744.340997568514</v>
      </c>
      <c r="F215">
        <v>74109.880984559015</v>
      </c>
      <c r="G215">
        <v>267375.0258095293</v>
      </c>
      <c r="H215">
        <v>93979.049962655801</v>
      </c>
      <c r="I215">
        <v>24613.633290635702</v>
      </c>
      <c r="J215">
        <v>45682.689847933238</v>
      </c>
      <c r="K215">
        <v>62993.39883687516</v>
      </c>
      <c r="L215">
        <v>227268.7719380999</v>
      </c>
    </row>
    <row r="216" spans="1:12" x14ac:dyDescent="0.25">
      <c r="A216" t="s">
        <v>71</v>
      </c>
      <c r="B216" t="s">
        <v>22</v>
      </c>
      <c r="C216">
        <v>47951.391656929336</v>
      </c>
      <c r="D216">
        <v>11519.321880756779</v>
      </c>
      <c r="E216">
        <v>40386.296278302019</v>
      </c>
      <c r="F216">
        <v>55511.693074575538</v>
      </c>
      <c r="G216">
        <v>155368.70289056367</v>
      </c>
      <c r="H216">
        <v>21150.742994744629</v>
      </c>
      <c r="I216">
        <v>5695.3417439157538</v>
      </c>
      <c r="J216">
        <v>18199.096826810281</v>
      </c>
      <c r="K216">
        <v>24761.064758580844</v>
      </c>
      <c r="L216">
        <v>69806.246324051506</v>
      </c>
    </row>
    <row r="217" spans="1:12" x14ac:dyDescent="0.25">
      <c r="A217" t="s">
        <v>559</v>
      </c>
      <c r="B217" t="s">
        <v>560</v>
      </c>
      <c r="C217">
        <v>95498.909223697439</v>
      </c>
      <c r="D217">
        <v>25162.38867802906</v>
      </c>
      <c r="E217">
        <v>49696.431169756048</v>
      </c>
      <c r="F217">
        <v>68308.641500246391</v>
      </c>
      <c r="G217">
        <v>238666.37057172894</v>
      </c>
      <c r="H217">
        <v>105146.65855019445</v>
      </c>
      <c r="I217">
        <v>28313.244306499073</v>
      </c>
      <c r="J217">
        <v>58662.727033782277</v>
      </c>
      <c r="K217">
        <v>79814.487324370115</v>
      </c>
      <c r="L217">
        <v>271937.1172148459</v>
      </c>
    </row>
    <row r="218" spans="1:12" x14ac:dyDescent="0.25">
      <c r="A218" t="s">
        <v>561</v>
      </c>
      <c r="B218" t="s">
        <v>562</v>
      </c>
      <c r="C218">
        <v>110124.86829399341</v>
      </c>
      <c r="D218">
        <v>22403.442692420776</v>
      </c>
      <c r="E218">
        <v>52679.685897745847</v>
      </c>
      <c r="F218">
        <v>72409.17896182141</v>
      </c>
      <c r="G218">
        <v>257617.17584598146</v>
      </c>
      <c r="H218">
        <v>93606.138049894391</v>
      </c>
      <c r="I218">
        <v>19042.926288557661</v>
      </c>
      <c r="J218">
        <v>44777.733013083969</v>
      </c>
      <c r="K218">
        <v>61547.802117548199</v>
      </c>
      <c r="L218">
        <v>218974.59946908423</v>
      </c>
    </row>
    <row r="219" spans="1:12" x14ac:dyDescent="0.25">
      <c r="A219" t="s">
        <v>563</v>
      </c>
      <c r="B219" t="s">
        <v>1427</v>
      </c>
      <c r="C219">
        <v>1970207.8890926982</v>
      </c>
      <c r="D219">
        <v>0</v>
      </c>
      <c r="E219">
        <v>1286170.1336722556</v>
      </c>
      <c r="F219">
        <v>1767864.0598806071</v>
      </c>
      <c r="G219">
        <v>5024242.0826455606</v>
      </c>
      <c r="H219">
        <v>2032588.4813204594</v>
      </c>
      <c r="I219">
        <v>0</v>
      </c>
      <c r="J219">
        <v>1358589.5261074204</v>
      </c>
      <c r="K219">
        <v>1848450.14873035</v>
      </c>
      <c r="L219">
        <v>5239628.1561582293</v>
      </c>
    </row>
    <row r="220" spans="1:12" x14ac:dyDescent="0.25">
      <c r="A220" t="s">
        <v>564</v>
      </c>
      <c r="B220" t="s">
        <v>565</v>
      </c>
      <c r="C220">
        <v>76571.19748566729</v>
      </c>
      <c r="D220">
        <v>20175.248579680941</v>
      </c>
      <c r="E220">
        <v>49806.863019119402</v>
      </c>
      <c r="F220">
        <v>68460.432070128634</v>
      </c>
      <c r="G220">
        <v>215013.74115459627</v>
      </c>
      <c r="H220">
        <v>78208.258425764507</v>
      </c>
      <c r="I220">
        <v>21059.437913924936</v>
      </c>
      <c r="J220">
        <v>49902.197634152566</v>
      </c>
      <c r="K220">
        <v>67895.212546727154</v>
      </c>
      <c r="L220">
        <v>217065.10652056916</v>
      </c>
    </row>
    <row r="221" spans="1:12" x14ac:dyDescent="0.25">
      <c r="A221" t="s">
        <v>199</v>
      </c>
      <c r="B221" t="s">
        <v>200</v>
      </c>
      <c r="C221">
        <v>1156311.1170869307</v>
      </c>
      <c r="D221">
        <v>0</v>
      </c>
      <c r="E221">
        <v>687511.05697019096</v>
      </c>
      <c r="F221">
        <v>944996.35512283375</v>
      </c>
      <c r="G221">
        <v>2788818.5291799554</v>
      </c>
      <c r="H221">
        <v>1303470.9737627415</v>
      </c>
      <c r="I221">
        <v>0</v>
      </c>
      <c r="J221">
        <v>798665.80861256737</v>
      </c>
      <c r="K221">
        <v>1086637.2103909608</v>
      </c>
      <c r="L221">
        <v>3188773.9927662695</v>
      </c>
    </row>
    <row r="222" spans="1:12" x14ac:dyDescent="0.25">
      <c r="A222" t="s">
        <v>201</v>
      </c>
      <c r="B222" t="s">
        <v>202</v>
      </c>
      <c r="C222">
        <v>181983.54578080957</v>
      </c>
      <c r="D222">
        <v>0</v>
      </c>
      <c r="E222">
        <v>0</v>
      </c>
      <c r="F222">
        <v>0</v>
      </c>
      <c r="G222">
        <v>181983.54578080957</v>
      </c>
      <c r="H222">
        <v>154686.01391368813</v>
      </c>
      <c r="I222">
        <v>0</v>
      </c>
      <c r="J222">
        <v>0</v>
      </c>
      <c r="K222">
        <v>0</v>
      </c>
      <c r="L222">
        <v>154686.01391368813</v>
      </c>
    </row>
    <row r="223" spans="1:12" x14ac:dyDescent="0.25">
      <c r="A223" t="s">
        <v>203</v>
      </c>
      <c r="B223" t="s">
        <v>204</v>
      </c>
      <c r="C223">
        <v>50760.681479262581</v>
      </c>
      <c r="D223">
        <v>0</v>
      </c>
      <c r="E223">
        <v>24282.04271849223</v>
      </c>
      <c r="F223">
        <v>33376.105927714569</v>
      </c>
      <c r="G223">
        <v>108418.83012546938</v>
      </c>
      <c r="H223">
        <v>43146.579257373196</v>
      </c>
      <c r="I223">
        <v>0</v>
      </c>
      <c r="J223">
        <v>20639.736310718396</v>
      </c>
      <c r="K223">
        <v>28369.690038557383</v>
      </c>
      <c r="L223">
        <v>92156.005606648978</v>
      </c>
    </row>
    <row r="224" spans="1:12" x14ac:dyDescent="0.25">
      <c r="A224" t="s">
        <v>296</v>
      </c>
      <c r="B224" t="s">
        <v>297</v>
      </c>
      <c r="C224">
        <v>234875.69565828278</v>
      </c>
      <c r="D224">
        <v>0</v>
      </c>
      <c r="E224">
        <v>112355.89257878606</v>
      </c>
      <c r="F224">
        <v>154435.20200450975</v>
      </c>
      <c r="G224">
        <v>501666.79024157859</v>
      </c>
      <c r="H224">
        <v>219852.10424131571</v>
      </c>
      <c r="I224">
        <v>0</v>
      </c>
      <c r="J224">
        <v>106097.37441794672</v>
      </c>
      <c r="K224">
        <v>144352.43593011977</v>
      </c>
      <c r="L224">
        <v>470301.91458938218</v>
      </c>
    </row>
    <row r="225" spans="1:12" x14ac:dyDescent="0.25">
      <c r="A225" t="s">
        <v>205</v>
      </c>
      <c r="B225" t="s">
        <v>206</v>
      </c>
      <c r="C225">
        <v>143526.64554033664</v>
      </c>
      <c r="D225">
        <v>0</v>
      </c>
      <c r="E225">
        <v>0</v>
      </c>
      <c r="F225">
        <v>0</v>
      </c>
      <c r="G225">
        <v>143526.64554033664</v>
      </c>
      <c r="H225">
        <v>121997.64870928614</v>
      </c>
      <c r="I225">
        <v>0</v>
      </c>
      <c r="J225">
        <v>0</v>
      </c>
      <c r="K225">
        <v>0</v>
      </c>
      <c r="L225">
        <v>121997.64870928614</v>
      </c>
    </row>
    <row r="226" spans="1:12" x14ac:dyDescent="0.25">
      <c r="A226" t="s">
        <v>566</v>
      </c>
      <c r="B226" t="s">
        <v>567</v>
      </c>
      <c r="C226">
        <v>249969.85156307442</v>
      </c>
      <c r="D226">
        <v>58523.670500309971</v>
      </c>
      <c r="E226">
        <v>121508.94486406796</v>
      </c>
      <c r="F226">
        <v>167552.77439987258</v>
      </c>
      <c r="G226">
        <v>597555.24132732488</v>
      </c>
      <c r="H226">
        <v>220721.08489049095</v>
      </c>
      <c r="I226">
        <v>49745.119925263476</v>
      </c>
      <c r="J226">
        <v>106516.73162908484</v>
      </c>
      <c r="K226">
        <v>144922.99891798585</v>
      </c>
      <c r="L226">
        <v>521905.93536282517</v>
      </c>
    </row>
    <row r="227" spans="1:12" x14ac:dyDescent="0.25">
      <c r="A227" t="s">
        <v>298</v>
      </c>
      <c r="B227" t="s">
        <v>299</v>
      </c>
      <c r="C227">
        <v>0</v>
      </c>
      <c r="D227">
        <v>1798.5848221144099</v>
      </c>
      <c r="E227">
        <v>0</v>
      </c>
      <c r="F227">
        <v>0</v>
      </c>
      <c r="G227">
        <v>1798.5848221144099</v>
      </c>
      <c r="H227">
        <v>0</v>
      </c>
      <c r="I227">
        <v>1528.7970987972483</v>
      </c>
      <c r="J227">
        <v>0</v>
      </c>
      <c r="K227">
        <v>0</v>
      </c>
      <c r="L227">
        <v>1528.7970987972483</v>
      </c>
    </row>
    <row r="228" spans="1:12" x14ac:dyDescent="0.25">
      <c r="A228" t="s">
        <v>1423</v>
      </c>
      <c r="B228" t="s">
        <v>1428</v>
      </c>
      <c r="C228">
        <v>14809.085181628621</v>
      </c>
      <c r="D228">
        <v>0</v>
      </c>
      <c r="E228">
        <v>10486.544631470559</v>
      </c>
      <c r="F228">
        <v>14413.944843656911</v>
      </c>
      <c r="G228">
        <v>39709.574656756085</v>
      </c>
      <c r="H228">
        <v>14455.730093751299</v>
      </c>
      <c r="I228">
        <v>0</v>
      </c>
      <c r="J228">
        <v>10209.422112319928</v>
      </c>
      <c r="K228">
        <v>13890.588333945803</v>
      </c>
      <c r="L228">
        <v>38555.740540017032</v>
      </c>
    </row>
    <row r="229" spans="1:12" x14ac:dyDescent="0.25">
      <c r="A229" t="s">
        <v>568</v>
      </c>
      <c r="B229" t="s">
        <v>569</v>
      </c>
      <c r="C229">
        <v>28391.56760704517</v>
      </c>
      <c r="D229">
        <v>6834.6223240347581</v>
      </c>
      <c r="E229">
        <v>13581.4815205126</v>
      </c>
      <c r="F229">
        <v>18667.991451094585</v>
      </c>
      <c r="G229">
        <v>67475.662902687109</v>
      </c>
      <c r="H229">
        <v>40842.090511232564</v>
      </c>
      <c r="I229">
        <v>10997.706466160796</v>
      </c>
      <c r="J229">
        <v>22388.663756103011</v>
      </c>
      <c r="K229">
        <v>30461.245324343989</v>
      </c>
      <c r="L229">
        <v>104689.70605784035</v>
      </c>
    </row>
    <row r="230" spans="1:12" x14ac:dyDescent="0.25">
      <c r="A230" t="s">
        <v>570</v>
      </c>
      <c r="B230" t="s">
        <v>571</v>
      </c>
      <c r="C230">
        <v>242587.61963302392</v>
      </c>
      <c r="D230">
        <v>61612.428665154868</v>
      </c>
      <c r="E230">
        <v>123006.16527041039</v>
      </c>
      <c r="F230">
        <v>162084.26198210713</v>
      </c>
      <c r="G230">
        <v>589290.47555069625</v>
      </c>
      <c r="H230">
        <v>206199.47668807034</v>
      </c>
      <c r="I230">
        <v>52370.564365381637</v>
      </c>
      <c r="J230">
        <v>104555.24047984883</v>
      </c>
      <c r="K230">
        <v>137771.62268479104</v>
      </c>
      <c r="L230">
        <v>500896.90421809186</v>
      </c>
    </row>
    <row r="231" spans="1:12" x14ac:dyDescent="0.25">
      <c r="A231" t="s">
        <v>207</v>
      </c>
      <c r="B231" t="s">
        <v>208</v>
      </c>
      <c r="C231">
        <v>82407.643372442079</v>
      </c>
      <c r="D231">
        <v>0</v>
      </c>
      <c r="E231">
        <v>40057.893911231185</v>
      </c>
      <c r="F231">
        <v>55237.178373584364</v>
      </c>
      <c r="G231">
        <v>177702.71565725765</v>
      </c>
      <c r="H231">
        <v>75601.316478239009</v>
      </c>
      <c r="I231">
        <v>0</v>
      </c>
      <c r="J231">
        <v>36484.07736901725</v>
      </c>
      <c r="K231">
        <v>49638.979944349485</v>
      </c>
      <c r="L231">
        <v>161724.37379160576</v>
      </c>
    </row>
    <row r="232" spans="1:12" x14ac:dyDescent="0.25">
      <c r="A232" t="s">
        <v>572</v>
      </c>
      <c r="B232" t="s">
        <v>573</v>
      </c>
      <c r="C232">
        <v>15996.777831121119</v>
      </c>
      <c r="D232">
        <v>4189.6446444547455</v>
      </c>
      <c r="E232">
        <v>8982.2051151823744</v>
      </c>
      <c r="F232">
        <v>12385.864999166692</v>
      </c>
      <c r="G232">
        <v>41554.492589924928</v>
      </c>
      <c r="H232">
        <v>13597.261156452951</v>
      </c>
      <c r="I232">
        <v>3561.1979477865334</v>
      </c>
      <c r="J232">
        <v>7634.8743479050181</v>
      </c>
      <c r="K232">
        <v>10527.985249291687</v>
      </c>
      <c r="L232">
        <v>35321.31870143619</v>
      </c>
    </row>
    <row r="233" spans="1:12" x14ac:dyDescent="0.25">
      <c r="A233" t="s">
        <v>82</v>
      </c>
      <c r="B233" t="s">
        <v>51</v>
      </c>
      <c r="C233">
        <v>18831.618498071577</v>
      </c>
      <c r="D233">
        <v>0</v>
      </c>
      <c r="E233">
        <v>13334.963331012223</v>
      </c>
      <c r="F233">
        <v>18329.14775078238</v>
      </c>
      <c r="G233">
        <v>50495.72957986618</v>
      </c>
      <c r="H233">
        <v>17388.776779439962</v>
      </c>
      <c r="I233">
        <v>0</v>
      </c>
      <c r="J233">
        <v>12280.899062645705</v>
      </c>
      <c r="K233">
        <v>16708.96857561596</v>
      </c>
      <c r="L233">
        <v>46378.644417701624</v>
      </c>
    </row>
    <row r="234" spans="1:12" x14ac:dyDescent="0.25">
      <c r="A234" t="s">
        <v>81</v>
      </c>
      <c r="B234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</row>
    <row r="235" spans="1:12" x14ac:dyDescent="0.25">
      <c r="A235" t="s">
        <v>59</v>
      </c>
      <c r="B235" t="s">
        <v>23</v>
      </c>
      <c r="C235">
        <v>5126158.996638692</v>
      </c>
      <c r="D235">
        <v>1231452.7994660432</v>
      </c>
      <c r="E235">
        <v>4317425.8108944101</v>
      </c>
      <c r="F235">
        <v>5934379.6924350541</v>
      </c>
      <c r="G235">
        <v>16609417.299434198</v>
      </c>
      <c r="H235">
        <v>5772511.8316432768</v>
      </c>
      <c r="I235">
        <v>1554386.4161261104</v>
      </c>
      <c r="J235">
        <v>4966941.4348274702</v>
      </c>
      <c r="K235">
        <v>6757849.5619992306</v>
      </c>
      <c r="L235">
        <v>19051689.24459609</v>
      </c>
    </row>
    <row r="236" spans="1:12" x14ac:dyDescent="0.25">
      <c r="A236" t="s">
        <v>300</v>
      </c>
      <c r="B236" t="s">
        <v>301</v>
      </c>
      <c r="C236">
        <v>529115.57813129621</v>
      </c>
      <c r="D236">
        <v>0</v>
      </c>
      <c r="E236">
        <v>253109.42833682575</v>
      </c>
      <c r="F236">
        <v>347903.4770431263</v>
      </c>
      <c r="G236">
        <v>1130128.4835112481</v>
      </c>
      <c r="H236">
        <v>490974.06678396597</v>
      </c>
      <c r="I236">
        <v>0</v>
      </c>
      <c r="J236">
        <v>236936.82429304303</v>
      </c>
      <c r="K236">
        <v>322368.08814433863</v>
      </c>
      <c r="L236">
        <v>1050278.9792213477</v>
      </c>
    </row>
    <row r="237" spans="1:12" x14ac:dyDescent="0.25">
      <c r="A237" t="s">
        <v>574</v>
      </c>
      <c r="B237" t="s">
        <v>575</v>
      </c>
      <c r="C237">
        <v>402644.04969991342</v>
      </c>
      <c r="D237">
        <v>0</v>
      </c>
      <c r="E237">
        <v>192610.10156363324</v>
      </c>
      <c r="F237">
        <v>264746.06057915959</v>
      </c>
      <c r="G237">
        <v>860000.21184270619</v>
      </c>
      <c r="H237">
        <v>441442.1697809819</v>
      </c>
      <c r="I237">
        <v>0</v>
      </c>
      <c r="J237">
        <v>213033.46325816968</v>
      </c>
      <c r="K237">
        <v>289845.99783597171</v>
      </c>
      <c r="L237">
        <v>944321.6308751232</v>
      </c>
    </row>
    <row r="238" spans="1:12" x14ac:dyDescent="0.25">
      <c r="A238" t="s">
        <v>576</v>
      </c>
      <c r="B238" t="s">
        <v>577</v>
      </c>
      <c r="C238">
        <v>73990.145885026795</v>
      </c>
      <c r="D238">
        <v>19495.184020815301</v>
      </c>
      <c r="E238">
        <v>52188.036266703297</v>
      </c>
      <c r="F238">
        <v>71733.397671291808</v>
      </c>
      <c r="G238">
        <v>217406.76384383719</v>
      </c>
      <c r="H238">
        <v>72125.39388153833</v>
      </c>
      <c r="I238">
        <v>19421.481631730767</v>
      </c>
      <c r="J238">
        <v>49083.245420451218</v>
      </c>
      <c r="K238">
        <v>66780.97435179817</v>
      </c>
      <c r="L238">
        <v>207411.0952855185</v>
      </c>
    </row>
    <row r="239" spans="1:12" x14ac:dyDescent="0.25">
      <c r="A239" t="s">
        <v>578</v>
      </c>
      <c r="B239" t="s">
        <v>579</v>
      </c>
      <c r="C239">
        <v>364788.62622385321</v>
      </c>
      <c r="D239">
        <v>89749.382623509067</v>
      </c>
      <c r="E239">
        <v>174501.45953628313</v>
      </c>
      <c r="F239">
        <v>239855.40531103345</v>
      </c>
      <c r="G239">
        <v>868894.87369467888</v>
      </c>
      <c r="H239">
        <v>401469.05991892447</v>
      </c>
      <c r="I239">
        <v>76286.975229982709</v>
      </c>
      <c r="J239">
        <v>193743.03154581573</v>
      </c>
      <c r="K239">
        <v>263600.10039413173</v>
      </c>
      <c r="L239">
        <v>935099.16708885459</v>
      </c>
    </row>
    <row r="240" spans="1:12" x14ac:dyDescent="0.25">
      <c r="A240" t="s">
        <v>209</v>
      </c>
      <c r="B240" t="s">
        <v>210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</row>
    <row r="241" spans="1:12" x14ac:dyDescent="0.25">
      <c r="A241" t="s">
        <v>580</v>
      </c>
      <c r="B241" t="s">
        <v>581</v>
      </c>
      <c r="C241">
        <v>634116.90279073548</v>
      </c>
      <c r="D241">
        <v>161053.07640045992</v>
      </c>
      <c r="E241">
        <v>357509.21125617286</v>
      </c>
      <c r="F241">
        <v>477210.91253994376</v>
      </c>
      <c r="G241">
        <v>1629890.102987312</v>
      </c>
      <c r="H241">
        <v>653473.44817972102</v>
      </c>
      <c r="I241">
        <v>175963.30345857274</v>
      </c>
      <c r="J241">
        <v>347144.19293019129</v>
      </c>
      <c r="K241">
        <v>472312.44074963755</v>
      </c>
      <c r="L241">
        <v>1648893.3853181226</v>
      </c>
    </row>
    <row r="242" spans="1:12" x14ac:dyDescent="0.25">
      <c r="A242" t="s">
        <v>211</v>
      </c>
      <c r="B242" t="s">
        <v>212</v>
      </c>
      <c r="C242">
        <v>556251.59276398411</v>
      </c>
      <c r="D242">
        <v>0</v>
      </c>
      <c r="E242">
        <v>290252.82296512934</v>
      </c>
      <c r="F242">
        <v>400239.38829859684</v>
      </c>
      <c r="G242">
        <v>1246743.8040277101</v>
      </c>
      <c r="H242">
        <v>590906.8414391093</v>
      </c>
      <c r="I242">
        <v>0</v>
      </c>
      <c r="J242">
        <v>285162.90357392782</v>
      </c>
      <c r="K242">
        <v>387982.83174893854</v>
      </c>
      <c r="L242">
        <v>1264052.5767619757</v>
      </c>
    </row>
    <row r="243" spans="1:12" x14ac:dyDescent="0.25">
      <c r="A243" t="s">
        <v>302</v>
      </c>
      <c r="B243" t="s">
        <v>303</v>
      </c>
      <c r="C243">
        <v>11184.556936108704</v>
      </c>
      <c r="D243">
        <v>0</v>
      </c>
      <c r="E243">
        <v>5350.2805989898143</v>
      </c>
      <c r="F243">
        <v>7354.0572383099861</v>
      </c>
      <c r="G243">
        <v>23888.894773408505</v>
      </c>
      <c r="H243">
        <v>13903.690386802573</v>
      </c>
      <c r="I243">
        <v>0</v>
      </c>
      <c r="J243">
        <v>6709.7153782100695</v>
      </c>
      <c r="K243">
        <v>9129.0078058573763</v>
      </c>
      <c r="L243">
        <v>29742.41357087002</v>
      </c>
    </row>
    <row r="244" spans="1:12" x14ac:dyDescent="0.25">
      <c r="A244" t="s">
        <v>213</v>
      </c>
      <c r="B244" t="s">
        <v>214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</row>
    <row r="245" spans="1:12" x14ac:dyDescent="0.25">
      <c r="A245" t="s">
        <v>215</v>
      </c>
      <c r="B245" t="s">
        <v>216</v>
      </c>
      <c r="C245">
        <v>477494.54611848691</v>
      </c>
      <c r="D245">
        <v>0</v>
      </c>
      <c r="E245">
        <v>228415.82557225734</v>
      </c>
      <c r="F245">
        <v>313961.67440477258</v>
      </c>
      <c r="G245">
        <v>1019872.0460955169</v>
      </c>
      <c r="H245">
        <v>494449.98938066658</v>
      </c>
      <c r="I245">
        <v>0</v>
      </c>
      <c r="J245">
        <v>238614.25313759563</v>
      </c>
      <c r="K245">
        <v>324650.34009580291</v>
      </c>
      <c r="L245">
        <v>1057714.5826140651</v>
      </c>
    </row>
    <row r="246" spans="1:12" x14ac:dyDescent="0.25">
      <c r="A246" t="s">
        <v>217</v>
      </c>
      <c r="B246" t="s">
        <v>218</v>
      </c>
      <c r="C246">
        <v>271945.22312905901</v>
      </c>
      <c r="D246">
        <v>0</v>
      </c>
      <c r="E246">
        <v>0</v>
      </c>
      <c r="F246">
        <v>0</v>
      </c>
      <c r="G246">
        <v>271945.22312905901</v>
      </c>
      <c r="H246">
        <v>231121.09241093724</v>
      </c>
      <c r="I246">
        <v>0</v>
      </c>
      <c r="J246">
        <v>0</v>
      </c>
      <c r="K246">
        <v>0</v>
      </c>
      <c r="L246">
        <v>231121.09241093724</v>
      </c>
    </row>
    <row r="247" spans="1:12" x14ac:dyDescent="0.25">
      <c r="A247" t="s">
        <v>582</v>
      </c>
      <c r="B247" t="s">
        <v>583</v>
      </c>
      <c r="C247">
        <v>134214.68323330447</v>
      </c>
      <c r="D247">
        <v>35363.357061013798</v>
      </c>
      <c r="E247">
        <v>89658.736730729623</v>
      </c>
      <c r="F247">
        <v>123237.55168221358</v>
      </c>
      <c r="G247">
        <v>382474.32870726148</v>
      </c>
      <c r="H247">
        <v>177272.05243173282</v>
      </c>
      <c r="I247">
        <v>47734.725938229873</v>
      </c>
      <c r="J247">
        <v>147859.58648565132</v>
      </c>
      <c r="K247">
        <v>201172.6642804989</v>
      </c>
      <c r="L247">
        <v>574039.02913611289</v>
      </c>
    </row>
    <row r="248" spans="1:12" x14ac:dyDescent="0.25">
      <c r="A248" t="s">
        <v>584</v>
      </c>
      <c r="B248" t="s">
        <v>585</v>
      </c>
      <c r="C248">
        <v>79152.249086307769</v>
      </c>
      <c r="D248">
        <v>20855.313138546597</v>
      </c>
      <c r="E248">
        <v>49985.119964076155</v>
      </c>
      <c r="F248">
        <v>68705.449457924275</v>
      </c>
      <c r="G248">
        <v>218698.1316468548</v>
      </c>
      <c r="H248">
        <v>71237.024177676998</v>
      </c>
      <c r="I248">
        <v>18769.781824691938</v>
      </c>
      <c r="J248">
        <v>44986.60796766854</v>
      </c>
      <c r="K248">
        <v>61834.904512131849</v>
      </c>
      <c r="L248">
        <v>196828.31848216933</v>
      </c>
    </row>
    <row r="249" spans="1:12" x14ac:dyDescent="0.25">
      <c r="A249" t="s">
        <v>219</v>
      </c>
      <c r="B249" t="s">
        <v>220</v>
      </c>
      <c r="C249">
        <v>990263.46411239367</v>
      </c>
      <c r="D249">
        <v>0</v>
      </c>
      <c r="E249">
        <v>568364.42363114853</v>
      </c>
      <c r="F249">
        <v>781227.15739277622</v>
      </c>
      <c r="G249">
        <v>2339855.0451363185</v>
      </c>
      <c r="H249">
        <v>865504.72657846019</v>
      </c>
      <c r="I249">
        <v>0</v>
      </c>
      <c r="J249">
        <v>483109.76008647622</v>
      </c>
      <c r="K249">
        <v>664043.08378385974</v>
      </c>
      <c r="L249">
        <v>2012657.5704487963</v>
      </c>
    </row>
    <row r="250" spans="1:12" x14ac:dyDescent="0.25">
      <c r="A250" t="s">
        <v>221</v>
      </c>
      <c r="B250" t="s">
        <v>222</v>
      </c>
      <c r="C250">
        <v>122924.73469722614</v>
      </c>
      <c r="D250">
        <v>0</v>
      </c>
      <c r="E250">
        <v>59753.025084253168</v>
      </c>
      <c r="F250">
        <v>82395.457740596685</v>
      </c>
      <c r="G250">
        <v>265073.21752207598</v>
      </c>
      <c r="H250">
        <v>128609.1360779238</v>
      </c>
      <c r="I250">
        <v>0</v>
      </c>
      <c r="J250">
        <v>62064.867248443123</v>
      </c>
      <c r="K250">
        <v>84443.322204180731</v>
      </c>
      <c r="L250">
        <v>275117.32553054765</v>
      </c>
    </row>
    <row r="251" spans="1:12" x14ac:dyDescent="0.25">
      <c r="A251" t="s">
        <v>586</v>
      </c>
      <c r="B251" t="s">
        <v>587</v>
      </c>
      <c r="C251">
        <v>51621.03201280941</v>
      </c>
      <c r="D251">
        <v>13601.291177313002</v>
      </c>
      <c r="E251">
        <v>26285.846270827726</v>
      </c>
      <c r="F251">
        <v>36130.370072474849</v>
      </c>
      <c r="G251">
        <v>127638.53953342499</v>
      </c>
      <c r="H251">
        <v>59959.664793086093</v>
      </c>
      <c r="I251">
        <v>16145.569067342451</v>
      </c>
      <c r="J251">
        <v>33143.708471557053</v>
      </c>
      <c r="K251">
        <v>45094.18899265158</v>
      </c>
      <c r="L251">
        <v>154343.13132463719</v>
      </c>
    </row>
    <row r="252" spans="1:12" x14ac:dyDescent="0.25">
      <c r="A252" t="s">
        <v>61</v>
      </c>
      <c r="B252" t="s">
        <v>31</v>
      </c>
      <c r="C252">
        <v>5171315.7327713957</v>
      </c>
      <c r="D252">
        <v>1362556.4679487601</v>
      </c>
      <c r="E252">
        <v>4358323.6994189294</v>
      </c>
      <c r="F252">
        <v>5990594.5782846157</v>
      </c>
      <c r="G252">
        <v>16882790.4784237</v>
      </c>
      <c r="H252">
        <v>4416555.0896253018</v>
      </c>
      <c r="I252">
        <v>1163689.4775705228</v>
      </c>
      <c r="J252">
        <v>3722220.3616230367</v>
      </c>
      <c r="K252">
        <v>5116259.0609074021</v>
      </c>
      <c r="L252">
        <v>14418723.989726264</v>
      </c>
    </row>
    <row r="253" spans="1:12" x14ac:dyDescent="0.25">
      <c r="A253" t="s">
        <v>78</v>
      </c>
      <c r="B253" t="s">
        <v>36</v>
      </c>
      <c r="C253">
        <v>99400.801551128025</v>
      </c>
      <c r="D253">
        <v>0</v>
      </c>
      <c r="E253">
        <v>83773.819184184438</v>
      </c>
      <c r="F253">
        <v>115148.62631104719</v>
      </c>
      <c r="G253">
        <v>298323.24704635964</v>
      </c>
      <c r="H253">
        <v>86998.335688075138</v>
      </c>
      <c r="I253">
        <v>0</v>
      </c>
      <c r="J253">
        <v>73321.167732324757</v>
      </c>
      <c r="K253">
        <v>100781.26825442606</v>
      </c>
      <c r="L253">
        <v>261100.77167482598</v>
      </c>
    </row>
    <row r="254" spans="1:12" x14ac:dyDescent="0.25">
      <c r="A254" t="s">
        <v>588</v>
      </c>
      <c r="B254" t="s">
        <v>589</v>
      </c>
      <c r="C254">
        <v>18927.711738030121</v>
      </c>
      <c r="D254">
        <v>4987.140098348098</v>
      </c>
      <c r="E254">
        <v>9641.3496853957658</v>
      </c>
      <c r="F254">
        <v>13252.209137283318</v>
      </c>
      <c r="G254">
        <v>46808.410659057299</v>
      </c>
      <c r="H254">
        <v>17379.612983503219</v>
      </c>
      <c r="I254">
        <v>4679.8750919833192</v>
      </c>
      <c r="J254">
        <v>8677.2147168561896</v>
      </c>
      <c r="K254">
        <v>11926.988223554987</v>
      </c>
      <c r="L254">
        <v>42663.691015897712</v>
      </c>
    </row>
    <row r="255" spans="1:12" x14ac:dyDescent="0.25">
      <c r="A255" t="s">
        <v>590</v>
      </c>
      <c r="B255" t="s">
        <v>591</v>
      </c>
      <c r="C255">
        <v>15486.309603842823</v>
      </c>
      <c r="D255">
        <v>0</v>
      </c>
      <c r="E255">
        <v>7408.0808293705113</v>
      </c>
      <c r="F255">
        <v>10182.540791506133</v>
      </c>
      <c r="G255">
        <v>33076.931224719468</v>
      </c>
      <c r="H255">
        <v>14772.671035977735</v>
      </c>
      <c r="I255">
        <v>0</v>
      </c>
      <c r="J255">
        <v>7129.0725893481995</v>
      </c>
      <c r="K255">
        <v>9699.570793723462</v>
      </c>
      <c r="L255">
        <v>31601.314419049399</v>
      </c>
    </row>
    <row r="256" spans="1:12" x14ac:dyDescent="0.25">
      <c r="A256" t="s">
        <v>223</v>
      </c>
      <c r="B256" t="s">
        <v>224</v>
      </c>
      <c r="C256">
        <v>351883.36822065077</v>
      </c>
      <c r="D256">
        <v>0</v>
      </c>
      <c r="E256">
        <v>168328.05884514103</v>
      </c>
      <c r="F256">
        <v>231369.95465144503</v>
      </c>
      <c r="G256">
        <v>751581.38171723683</v>
      </c>
      <c r="H256">
        <v>373661.67914531915</v>
      </c>
      <c r="I256">
        <v>0</v>
      </c>
      <c r="J256">
        <v>180323.6007893956</v>
      </c>
      <c r="K256">
        <v>245342.08478241699</v>
      </c>
      <c r="L256">
        <v>799327.36471713171</v>
      </c>
    </row>
    <row r="257" spans="1:12" x14ac:dyDescent="0.25">
      <c r="A257" t="s">
        <v>225</v>
      </c>
      <c r="B257" t="s">
        <v>226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x14ac:dyDescent="0.25">
      <c r="A258" t="s">
        <v>592</v>
      </c>
      <c r="B258" t="s">
        <v>593</v>
      </c>
      <c r="C258">
        <v>12905.258003202352</v>
      </c>
      <c r="D258">
        <v>3400.3227943282504</v>
      </c>
      <c r="E258">
        <v>19781.58216964388</v>
      </c>
      <c r="F258">
        <v>27190.141684785751</v>
      </c>
      <c r="G258">
        <v>63277.304651960236</v>
      </c>
      <c r="H258">
        <v>0</v>
      </c>
      <c r="I258">
        <v>2890.2743751790126</v>
      </c>
      <c r="J258">
        <v>0</v>
      </c>
      <c r="K258">
        <v>0</v>
      </c>
      <c r="L258">
        <v>2890.2743751790126</v>
      </c>
    </row>
    <row r="259" spans="1:12" x14ac:dyDescent="0.25">
      <c r="A259" t="s">
        <v>227</v>
      </c>
      <c r="B259" t="s">
        <v>228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x14ac:dyDescent="0.25">
      <c r="A260" t="s">
        <v>229</v>
      </c>
      <c r="B260" t="s">
        <v>230</v>
      </c>
      <c r="C260">
        <v>231434.29352409556</v>
      </c>
      <c r="D260">
        <v>0</v>
      </c>
      <c r="E260">
        <v>110709.6523944815</v>
      </c>
      <c r="F260">
        <v>152172.41516195281</v>
      </c>
      <c r="G260">
        <v>494316.36108052987</v>
      </c>
      <c r="H260">
        <v>219852.10424131571</v>
      </c>
      <c r="I260">
        <v>0</v>
      </c>
      <c r="J260">
        <v>106097.37441794672</v>
      </c>
      <c r="K260">
        <v>144352.43593011977</v>
      </c>
      <c r="L260">
        <v>470301.91458938218</v>
      </c>
    </row>
    <row r="261" spans="1:12" x14ac:dyDescent="0.25">
      <c r="A261" t="s">
        <v>594</v>
      </c>
      <c r="B261" t="s">
        <v>595</v>
      </c>
      <c r="C261">
        <v>0</v>
      </c>
      <c r="D261">
        <v>1797.067595648725</v>
      </c>
      <c r="E261">
        <v>0</v>
      </c>
      <c r="F261">
        <v>0</v>
      </c>
      <c r="G261">
        <v>1797.067595648725</v>
      </c>
      <c r="H261">
        <v>0</v>
      </c>
      <c r="I261">
        <v>1617.3608360838525</v>
      </c>
      <c r="J261">
        <v>0</v>
      </c>
      <c r="K261">
        <v>0</v>
      </c>
      <c r="L261">
        <v>1617.3608360838525</v>
      </c>
    </row>
    <row r="262" spans="1:12" x14ac:dyDescent="0.25">
      <c r="A262" t="s">
        <v>596</v>
      </c>
      <c r="B262" t="s">
        <v>597</v>
      </c>
      <c r="C262">
        <v>109264.51776044659</v>
      </c>
      <c r="D262">
        <v>20873.00211974937</v>
      </c>
      <c r="E262">
        <v>52268.125851669705</v>
      </c>
      <c r="F262">
        <v>71843.482251182199</v>
      </c>
      <c r="G262">
        <v>254249.12798304786</v>
      </c>
      <c r="H262">
        <v>120788.31023534735</v>
      </c>
      <c r="I262">
        <v>32525.131889284072</v>
      </c>
      <c r="J262">
        <v>58290.652348200005</v>
      </c>
      <c r="K262">
        <v>79308.255313385947</v>
      </c>
      <c r="L262">
        <v>290912.34978621738</v>
      </c>
    </row>
    <row r="263" spans="1:12" x14ac:dyDescent="0.25">
      <c r="A263" t="s">
        <v>231</v>
      </c>
      <c r="B263" t="s">
        <v>232</v>
      </c>
      <c r="C263">
        <v>187556.41631320748</v>
      </c>
      <c r="D263">
        <v>0</v>
      </c>
      <c r="E263">
        <v>89720.090044598444</v>
      </c>
      <c r="F263">
        <v>123321.88291935209</v>
      </c>
      <c r="G263">
        <v>400598.38927715801</v>
      </c>
      <c r="H263">
        <v>185961.8589234844</v>
      </c>
      <c r="I263">
        <v>0</v>
      </c>
      <c r="J263">
        <v>89742.443183559692</v>
      </c>
      <c r="K263">
        <v>122100.47940334241</v>
      </c>
      <c r="L263">
        <v>397804.7815103865</v>
      </c>
    </row>
    <row r="264" spans="1:12" x14ac:dyDescent="0.25">
      <c r="A264" t="s">
        <v>598</v>
      </c>
      <c r="B264" t="s">
        <v>599</v>
      </c>
      <c r="C264">
        <v>19632.409156375907</v>
      </c>
      <c r="D264">
        <v>5141.8366091035523</v>
      </c>
      <c r="E264">
        <v>12368.125106929569</v>
      </c>
      <c r="F264">
        <v>17054.824055209006</v>
      </c>
      <c r="G264">
        <v>54197.194927618031</v>
      </c>
      <c r="H264">
        <v>22593.496878554175</v>
      </c>
      <c r="I264">
        <v>6083.8376195783148</v>
      </c>
      <c r="J264">
        <v>13744.453562912742</v>
      </c>
      <c r="K264">
        <v>18700.230455460358</v>
      </c>
      <c r="L264">
        <v>61122.018516505588</v>
      </c>
    </row>
    <row r="265" spans="1:12" x14ac:dyDescent="0.25">
      <c r="A265" t="s">
        <v>72</v>
      </c>
      <c r="B265" t="s">
        <v>26</v>
      </c>
      <c r="C265">
        <v>96338.705056194289</v>
      </c>
      <c r="D265">
        <v>23143.36486952041</v>
      </c>
      <c r="E265">
        <v>81139.740704588505</v>
      </c>
      <c r="F265">
        <v>111528.03790437436</v>
      </c>
      <c r="G265">
        <v>312149.84853467753</v>
      </c>
      <c r="H265">
        <v>87884.983822990704</v>
      </c>
      <c r="I265">
        <v>23665.126901443073</v>
      </c>
      <c r="J265">
        <v>75620.385090711759</v>
      </c>
      <c r="K265">
        <v>102886.49322099982</v>
      </c>
      <c r="L265">
        <v>290056.98903614539</v>
      </c>
    </row>
    <row r="266" spans="1:12" x14ac:dyDescent="0.25">
      <c r="A266" t="s">
        <v>73</v>
      </c>
      <c r="B266" t="s">
        <v>28</v>
      </c>
      <c r="C266">
        <v>37053.348098536313</v>
      </c>
      <c r="D266">
        <v>0</v>
      </c>
      <c r="E266">
        <v>31207.592578687927</v>
      </c>
      <c r="F266">
        <v>42895.399193990197</v>
      </c>
      <c r="G266">
        <v>111156.33987121444</v>
      </c>
      <c r="H266">
        <v>30996.778526780916</v>
      </c>
      <c r="I266">
        <v>0</v>
      </c>
      <c r="J266">
        <v>26671.090177221959</v>
      </c>
      <c r="K266">
        <v>36287.767318609855</v>
      </c>
      <c r="L266">
        <v>93955.636022612729</v>
      </c>
    </row>
    <row r="267" spans="1:12" x14ac:dyDescent="0.25">
      <c r="A267" t="s">
        <v>233</v>
      </c>
      <c r="B267" t="s">
        <v>234</v>
      </c>
      <c r="C267">
        <v>468891.04078301886</v>
      </c>
      <c r="D267">
        <v>0</v>
      </c>
      <c r="E267">
        <v>224300.22511149602</v>
      </c>
      <c r="F267">
        <v>308304.70729838032</v>
      </c>
      <c r="G267">
        <v>1001495.9731928952</v>
      </c>
      <c r="H267">
        <v>494449.98938066658</v>
      </c>
      <c r="I267">
        <v>0</v>
      </c>
      <c r="J267">
        <v>238614.25313759563</v>
      </c>
      <c r="K267">
        <v>324650.34009580291</v>
      </c>
      <c r="L267">
        <v>1057714.5826140651</v>
      </c>
    </row>
    <row r="268" spans="1:12" x14ac:dyDescent="0.25">
      <c r="A268" t="s">
        <v>600</v>
      </c>
      <c r="B268" t="s">
        <v>601</v>
      </c>
      <c r="C268">
        <v>1025537.8359878135</v>
      </c>
      <c r="D268">
        <v>270212.3180559515</v>
      </c>
      <c r="E268">
        <v>593675.36646483105</v>
      </c>
      <c r="F268">
        <v>816017.50509708899</v>
      </c>
      <c r="G268">
        <v>2705443.0256056851</v>
      </c>
      <c r="H268">
        <v>1137495.669770285</v>
      </c>
      <c r="I268">
        <v>306297.82477030816</v>
      </c>
      <c r="J268">
        <v>678519.9676214935</v>
      </c>
      <c r="K268">
        <v>923170.91436732735</v>
      </c>
      <c r="L268">
        <v>3045484.3765294142</v>
      </c>
    </row>
    <row r="269" spans="1:12" x14ac:dyDescent="0.25">
      <c r="A269" t="s">
        <v>67</v>
      </c>
      <c r="B269" t="s">
        <v>12</v>
      </c>
      <c r="C269">
        <v>15682.877607164477</v>
      </c>
      <c r="D269">
        <v>4132.1797824629894</v>
      </c>
      <c r="E269">
        <v>8770.4285132681543</v>
      </c>
      <c r="F269">
        <v>12055.112268926216</v>
      </c>
      <c r="G269">
        <v>40640.598171821839</v>
      </c>
      <c r="H269">
        <v>14787.200586224169</v>
      </c>
      <c r="I269">
        <v>3895.628971059678</v>
      </c>
      <c r="J269">
        <v>8269.4684697669309</v>
      </c>
      <c r="K269">
        <v>11366.533648449778</v>
      </c>
      <c r="L269">
        <v>38318.831675500551</v>
      </c>
    </row>
    <row r="270" spans="1:12" x14ac:dyDescent="0.25">
      <c r="A270" t="s">
        <v>62</v>
      </c>
      <c r="B270" t="s">
        <v>38</v>
      </c>
      <c r="C270">
        <v>3739361.4569145353</v>
      </c>
      <c r="D270">
        <v>0</v>
      </c>
      <c r="E270">
        <v>2979465.4738897323</v>
      </c>
      <c r="F270">
        <v>4095329.0634309025</v>
      </c>
      <c r="G270">
        <v>10814155.994235169</v>
      </c>
      <c r="H270">
        <v>3821031.0973591688</v>
      </c>
      <c r="I270">
        <v>0</v>
      </c>
      <c r="J270">
        <v>3075018.1821693182</v>
      </c>
      <c r="K270">
        <v>4183763.9014228508</v>
      </c>
      <c r="L270">
        <v>11079813.180951338</v>
      </c>
    </row>
    <row r="271" spans="1:12" x14ac:dyDescent="0.25">
      <c r="A271" t="s">
        <v>602</v>
      </c>
      <c r="B271" t="s">
        <v>603</v>
      </c>
      <c r="C271">
        <v>74850.496418573661</v>
      </c>
      <c r="D271">
        <v>19721.872207103839</v>
      </c>
      <c r="E271">
        <v>49261.45335705817</v>
      </c>
      <c r="F271">
        <v>67710.75664677177</v>
      </c>
      <c r="G271">
        <v>211544.57862950742</v>
      </c>
      <c r="H271">
        <v>67365.446776716301</v>
      </c>
      <c r="I271">
        <v>17749.684986393455</v>
      </c>
      <c r="J271">
        <v>44335.308021352357</v>
      </c>
      <c r="K271">
        <v>60939.680982094593</v>
      </c>
      <c r="L271">
        <v>190390.12076655671</v>
      </c>
    </row>
    <row r="272" spans="1:12" x14ac:dyDescent="0.25">
      <c r="A272" t="s">
        <v>235</v>
      </c>
      <c r="B272" t="s">
        <v>236</v>
      </c>
      <c r="C272">
        <v>332095.30594907381</v>
      </c>
      <c r="D272">
        <v>0</v>
      </c>
      <c r="E272">
        <v>0</v>
      </c>
      <c r="F272">
        <v>0</v>
      </c>
      <c r="G272">
        <v>332095.30594907381</v>
      </c>
      <c r="H272">
        <v>359757.98875851656</v>
      </c>
      <c r="I272">
        <v>0</v>
      </c>
      <c r="J272">
        <v>0</v>
      </c>
      <c r="K272">
        <v>0</v>
      </c>
      <c r="L272">
        <v>359757.98875851656</v>
      </c>
    </row>
    <row r="273" spans="1:12" x14ac:dyDescent="0.25">
      <c r="A273" t="s">
        <v>237</v>
      </c>
      <c r="B273" t="s">
        <v>238</v>
      </c>
      <c r="C273">
        <v>24089.814939311054</v>
      </c>
      <c r="D273">
        <v>6347.2692160794022</v>
      </c>
      <c r="E273">
        <v>12327.64326213934</v>
      </c>
      <c r="F273">
        <v>16944.568137296643</v>
      </c>
      <c r="G273">
        <v>59709.295554826436</v>
      </c>
      <c r="H273">
        <v>20476.342698414395</v>
      </c>
      <c r="I273">
        <v>5395.1788336674917</v>
      </c>
      <c r="J273">
        <v>10478.496772818438</v>
      </c>
      <c r="K273">
        <v>14402.882916702147</v>
      </c>
      <c r="L273">
        <v>50752.901221602471</v>
      </c>
    </row>
    <row r="274" spans="1:12" x14ac:dyDescent="0.25">
      <c r="A274" t="s">
        <v>304</v>
      </c>
      <c r="B274" t="s">
        <v>305</v>
      </c>
      <c r="C274">
        <v>167768.35404163055</v>
      </c>
      <c r="D274">
        <v>0</v>
      </c>
      <c r="E274">
        <v>80254.208984847195</v>
      </c>
      <c r="F274">
        <v>110310.85857464984</v>
      </c>
      <c r="G274">
        <v>358333.4216011276</v>
      </c>
      <c r="H274">
        <v>142603.10093538597</v>
      </c>
      <c r="I274">
        <v>0</v>
      </c>
      <c r="J274">
        <v>68216.077637120121</v>
      </c>
      <c r="K274">
        <v>93764.229788452358</v>
      </c>
      <c r="L274">
        <v>304583.40836095845</v>
      </c>
    </row>
    <row r="275" spans="1:12" x14ac:dyDescent="0.25">
      <c r="A275" t="s">
        <v>239</v>
      </c>
      <c r="B275" t="s">
        <v>240</v>
      </c>
      <c r="C275">
        <v>21508.763338670593</v>
      </c>
      <c r="D275">
        <v>5575.6129485546735</v>
      </c>
      <c r="E275">
        <v>10348.289260401387</v>
      </c>
      <c r="F275">
        <v>14269.604413175957</v>
      </c>
      <c r="G275">
        <v>51702.269960802609</v>
      </c>
      <c r="H275">
        <v>27807.380773605146</v>
      </c>
      <c r="I275">
        <v>7487.8001471733114</v>
      </c>
      <c r="J275">
        <v>13419.430756420139</v>
      </c>
      <c r="K275">
        <v>18258.015611714753</v>
      </c>
      <c r="L275">
        <v>66972.62728891334</v>
      </c>
    </row>
    <row r="276" spans="1:12" x14ac:dyDescent="0.25">
      <c r="A276" t="s">
        <v>241</v>
      </c>
      <c r="B276" t="s">
        <v>242</v>
      </c>
      <c r="C276">
        <v>75710.846952120482</v>
      </c>
      <c r="D276">
        <v>0</v>
      </c>
      <c r="E276">
        <v>36217.284054700278</v>
      </c>
      <c r="F276">
        <v>49781.310536252233</v>
      </c>
      <c r="G276">
        <v>161709.44154307299</v>
      </c>
      <c r="H276">
        <v>64354.21990930241</v>
      </c>
      <c r="I276">
        <v>0</v>
      </c>
      <c r="J276">
        <v>30784.691446495235</v>
      </c>
      <c r="K276">
        <v>42314.113955814399</v>
      </c>
      <c r="L276">
        <v>137453.02531161203</v>
      </c>
    </row>
    <row r="277" spans="1:12" x14ac:dyDescent="0.25">
      <c r="A277" t="s">
        <v>604</v>
      </c>
      <c r="B277" t="s">
        <v>605</v>
      </c>
      <c r="C277">
        <v>252476.14615052482</v>
      </c>
      <c r="D277">
        <v>65645.822170462285</v>
      </c>
      <c r="E277">
        <v>190657.2837303144</v>
      </c>
      <c r="F277">
        <v>258216.09230349341</v>
      </c>
      <c r="G277">
        <v>766995.34435479483</v>
      </c>
      <c r="H277">
        <v>234624.77527729337</v>
      </c>
      <c r="I277">
        <v>63178.313741774786</v>
      </c>
      <c r="J277">
        <v>171591.55535728298</v>
      </c>
      <c r="K277">
        <v>232394.48307314407</v>
      </c>
      <c r="L277">
        <v>701789.12744949525</v>
      </c>
    </row>
    <row r="278" spans="1:12" x14ac:dyDescent="0.25">
      <c r="A278" t="s">
        <v>606</v>
      </c>
      <c r="B278" t="s">
        <v>607</v>
      </c>
      <c r="C278">
        <v>621173.0852208063</v>
      </c>
      <c r="D278">
        <v>163668.87050033311</v>
      </c>
      <c r="E278">
        <v>353131.07211473311</v>
      </c>
      <c r="F278">
        <v>485385.03147813358</v>
      </c>
      <c r="G278">
        <v>1623358.059314006</v>
      </c>
      <c r="H278">
        <v>583954.99624570797</v>
      </c>
      <c r="I278">
        <v>157243.8030906395</v>
      </c>
      <c r="J278">
        <v>323029.51779662538</v>
      </c>
      <c r="K278">
        <v>439502.84375168482</v>
      </c>
      <c r="L278">
        <v>1503731.1608846576</v>
      </c>
    </row>
    <row r="279" spans="1:12" x14ac:dyDescent="0.25">
      <c r="A279" t="s">
        <v>243</v>
      </c>
      <c r="B279" t="s">
        <v>244</v>
      </c>
      <c r="C279">
        <v>24089.814939311054</v>
      </c>
      <c r="D279">
        <v>0</v>
      </c>
      <c r="E279">
        <v>11523.681290131903</v>
      </c>
      <c r="F279">
        <v>15839.507897898438</v>
      </c>
      <c r="G279">
        <v>51453.004127341395</v>
      </c>
      <c r="H279">
        <v>20855.535580203861</v>
      </c>
      <c r="I279">
        <v>0</v>
      </c>
      <c r="J279">
        <v>10064.573067315107</v>
      </c>
      <c r="K279">
        <v>13693.511708786062</v>
      </c>
      <c r="L279">
        <v>44613.620356305029</v>
      </c>
    </row>
    <row r="280" spans="1:12" x14ac:dyDescent="0.25">
      <c r="A280" t="s">
        <v>245</v>
      </c>
      <c r="B280" t="s">
        <v>246</v>
      </c>
      <c r="C280">
        <v>64526.290016011735</v>
      </c>
      <c r="D280">
        <v>0</v>
      </c>
      <c r="E280">
        <v>30867.003455710452</v>
      </c>
      <c r="F280">
        <v>42427.253297942247</v>
      </c>
      <c r="G280">
        <v>137820.54676966445</v>
      </c>
      <c r="H280">
        <v>61697.626091436417</v>
      </c>
      <c r="I280">
        <v>0</v>
      </c>
      <c r="J280">
        <v>29774.361990807181</v>
      </c>
      <c r="K280">
        <v>40509.972138492099</v>
      </c>
      <c r="L280">
        <v>131981.96022073569</v>
      </c>
    </row>
    <row r="281" spans="1:12" x14ac:dyDescent="0.25">
      <c r="A281" t="s">
        <v>608</v>
      </c>
      <c r="B281" t="s">
        <v>609</v>
      </c>
      <c r="C281">
        <v>34902.060722446069</v>
      </c>
      <c r="D281">
        <v>9141.0428606285368</v>
      </c>
      <c r="E281">
        <v>22232.007412531515</v>
      </c>
      <c r="F281">
        <v>30656.463411935518</v>
      </c>
      <c r="G281">
        <v>96931.57440754163</v>
      </c>
      <c r="H281">
        <v>35628.206616181604</v>
      </c>
      <c r="I281">
        <v>9593.7439385658035</v>
      </c>
      <c r="J281">
        <v>20190.498094619725</v>
      </c>
      <c r="K281">
        <v>27590.817070741967</v>
      </c>
      <c r="L281">
        <v>93003.265720109106</v>
      </c>
    </row>
    <row r="282" spans="1:12" x14ac:dyDescent="0.25">
      <c r="A282" t="s">
        <v>60</v>
      </c>
      <c r="B282" t="s">
        <v>42</v>
      </c>
      <c r="C282">
        <v>394644.16849933227</v>
      </c>
      <c r="D282">
        <v>103359.49179727057</v>
      </c>
      <c r="E282">
        <v>243411.91773993953</v>
      </c>
      <c r="F282">
        <v>335648.88728929288</v>
      </c>
      <c r="G282">
        <v>1077064.4653258352</v>
      </c>
      <c r="H282">
        <v>437868.56471221219</v>
      </c>
      <c r="I282">
        <v>117906.54898381492</v>
      </c>
      <c r="J282">
        <v>255735.96782630272</v>
      </c>
      <c r="K282">
        <v>347945.55579906079</v>
      </c>
      <c r="L282">
        <v>1159456.6373213907</v>
      </c>
    </row>
    <row r="283" spans="1:12" x14ac:dyDescent="0.25">
      <c r="A283" t="s">
        <v>247</v>
      </c>
      <c r="B283" t="s">
        <v>248</v>
      </c>
      <c r="C283">
        <v>565250.30054026283</v>
      </c>
      <c r="D283">
        <v>0</v>
      </c>
      <c r="E283">
        <v>270394.95027202356</v>
      </c>
      <c r="F283">
        <v>371662.73888997402</v>
      </c>
      <c r="G283">
        <v>1207307.9897022604</v>
      </c>
      <c r="H283">
        <v>550933.73157705215</v>
      </c>
      <c r="I283">
        <v>0</v>
      </c>
      <c r="J283">
        <v>265872.47186157398</v>
      </c>
      <c r="K283">
        <v>361736.93430709845</v>
      </c>
      <c r="L283">
        <v>1178543.1377457245</v>
      </c>
    </row>
    <row r="284" spans="1:12" x14ac:dyDescent="0.25">
      <c r="A284" t="s">
        <v>610</v>
      </c>
      <c r="B284" t="s">
        <v>611</v>
      </c>
      <c r="C284">
        <v>173790.80777645842</v>
      </c>
      <c r="D284">
        <v>45791.013630287074</v>
      </c>
      <c r="E284">
        <v>113604.25708854655</v>
      </c>
      <c r="F284">
        <v>156151.10155205624</v>
      </c>
      <c r="G284">
        <v>489337.18004734826</v>
      </c>
      <c r="H284">
        <v>218983.12359214059</v>
      </c>
      <c r="I284">
        <v>58966.426158989823</v>
      </c>
      <c r="J284">
        <v>170599.23125961638</v>
      </c>
      <c r="K284">
        <v>232111.44229753732</v>
      </c>
      <c r="L284">
        <v>680660.22330828407</v>
      </c>
    </row>
    <row r="285" spans="1:12" x14ac:dyDescent="0.25">
      <c r="A285" t="s">
        <v>249</v>
      </c>
      <c r="B285" t="s">
        <v>250</v>
      </c>
      <c r="C285">
        <v>397481.94649863243</v>
      </c>
      <c r="D285">
        <v>0</v>
      </c>
      <c r="E285">
        <v>190140.7412871765</v>
      </c>
      <c r="F285">
        <v>261351.88031532418</v>
      </c>
      <c r="G285">
        <v>848974.5681011331</v>
      </c>
      <c r="H285">
        <v>411896.8277090264</v>
      </c>
      <c r="I285">
        <v>0</v>
      </c>
      <c r="J285">
        <v>198775.31807947331</v>
      </c>
      <c r="K285">
        <v>270446.85624852474</v>
      </c>
      <c r="L285">
        <v>881119.00203702447</v>
      </c>
    </row>
    <row r="286" spans="1:12" x14ac:dyDescent="0.25">
      <c r="A286" t="s">
        <v>612</v>
      </c>
      <c r="B286" t="s">
        <v>613</v>
      </c>
      <c r="C286">
        <v>56783.13521409034</v>
      </c>
      <c r="D286">
        <v>14961.4202950443</v>
      </c>
      <c r="E286">
        <v>34546.955665293921</v>
      </c>
      <c r="F286">
        <v>47637.960112853594</v>
      </c>
      <c r="G286">
        <v>153929.47128728215</v>
      </c>
      <c r="H286">
        <v>66042.52933731224</v>
      </c>
      <c r="I286">
        <v>17783.525349536612</v>
      </c>
      <c r="J286">
        <v>45300.748215288077</v>
      </c>
      <c r="K286">
        <v>61634.638841993044</v>
      </c>
      <c r="L286">
        <v>190761.44174412999</v>
      </c>
    </row>
    <row r="287" spans="1:12" x14ac:dyDescent="0.25">
      <c r="A287" t="s">
        <v>63</v>
      </c>
      <c r="B287" t="s">
        <v>48</v>
      </c>
      <c r="C287">
        <v>2412367.6584831234</v>
      </c>
      <c r="D287">
        <v>0</v>
      </c>
      <c r="E287">
        <v>1708235.2358660235</v>
      </c>
      <c r="F287">
        <v>2348000.1597352899</v>
      </c>
      <c r="G287">
        <v>6468603.054084437</v>
      </c>
      <c r="H287">
        <v>2356238.1863017795</v>
      </c>
      <c r="I287">
        <v>0</v>
      </c>
      <c r="J287">
        <v>1664103.444454907</v>
      </c>
      <c r="K287">
        <v>2264121.8707306203</v>
      </c>
      <c r="L287">
        <v>6284463.5014873073</v>
      </c>
    </row>
    <row r="288" spans="1:12" x14ac:dyDescent="0.25">
      <c r="A288" t="s">
        <v>251</v>
      </c>
      <c r="B288" t="s">
        <v>252</v>
      </c>
      <c r="C288">
        <v>103696.28457698962</v>
      </c>
      <c r="D288">
        <v>0</v>
      </c>
      <c r="E288">
        <v>50406.183171632561</v>
      </c>
      <c r="F288">
        <v>69506.782786760334</v>
      </c>
      <c r="G288">
        <v>223609.25053538251</v>
      </c>
      <c r="H288">
        <v>96456.852058442862</v>
      </c>
      <c r="I288">
        <v>0</v>
      </c>
      <c r="J288">
        <v>46548.650436332347</v>
      </c>
      <c r="K288">
        <v>63332.491653135541</v>
      </c>
      <c r="L288">
        <v>206337.99414791077</v>
      </c>
    </row>
    <row r="289" spans="1:12" x14ac:dyDescent="0.25">
      <c r="A289" t="s">
        <v>614</v>
      </c>
      <c r="B289" t="s">
        <v>615</v>
      </c>
      <c r="C289">
        <v>94638.558690150574</v>
      </c>
      <c r="D289">
        <v>24935.700491740503</v>
      </c>
      <c r="E289">
        <v>55591.833338774835</v>
      </c>
      <c r="F289">
        <v>76411.978174215765</v>
      </c>
      <c r="G289">
        <v>251578.07069488167</v>
      </c>
      <c r="H289">
        <v>85174.702821135521</v>
      </c>
      <c r="I289">
        <v>22442.130442566453</v>
      </c>
      <c r="J289">
        <v>50032.650004897354</v>
      </c>
      <c r="K289">
        <v>68770.780356794188</v>
      </c>
      <c r="L289">
        <v>226420.26362539351</v>
      </c>
    </row>
    <row r="290" spans="1:12" x14ac:dyDescent="0.25">
      <c r="A290" t="s">
        <v>616</v>
      </c>
      <c r="B290" t="s">
        <v>617</v>
      </c>
      <c r="C290">
        <v>301983.03727493499</v>
      </c>
      <c r="D290">
        <v>79567.553387281034</v>
      </c>
      <c r="E290">
        <v>156042.08603766694</v>
      </c>
      <c r="F290">
        <v>214482.66330610073</v>
      </c>
      <c r="G290">
        <v>752075.34000598371</v>
      </c>
      <c r="H290">
        <v>260694.19475254824</v>
      </c>
      <c r="I290">
        <v>67632.420379188872</v>
      </c>
      <c r="J290">
        <v>132635.77313201691</v>
      </c>
      <c r="K290">
        <v>182310.26381018563</v>
      </c>
      <c r="L290">
        <v>643272.65207393956</v>
      </c>
    </row>
    <row r="291" spans="1:12" x14ac:dyDescent="0.25">
      <c r="A291" t="s">
        <v>618</v>
      </c>
      <c r="B291" t="s">
        <v>619</v>
      </c>
      <c r="C291">
        <v>26095.753734606653</v>
      </c>
      <c r="D291">
        <v>0</v>
      </c>
      <c r="E291">
        <v>12684.999738556538</v>
      </c>
      <c r="F291">
        <v>17491.773151635054</v>
      </c>
      <c r="G291">
        <v>56272.526624798244</v>
      </c>
      <c r="H291">
        <v>32152.284019480951</v>
      </c>
      <c r="I291">
        <v>0</v>
      </c>
      <c r="J291">
        <v>15516.216812110781</v>
      </c>
      <c r="K291">
        <v>21110.830551045183</v>
      </c>
      <c r="L291">
        <v>68779.331382636912</v>
      </c>
    </row>
    <row r="292" spans="1:12" x14ac:dyDescent="0.25">
      <c r="A292" t="s">
        <v>620</v>
      </c>
      <c r="B292" t="s">
        <v>1400</v>
      </c>
      <c r="C292">
        <v>708068.48910903581</v>
      </c>
      <c r="D292">
        <v>0</v>
      </c>
      <c r="E292">
        <v>365876.88096168806</v>
      </c>
      <c r="F292">
        <v>502904.37575827533</v>
      </c>
      <c r="G292">
        <v>1576849.7458289992</v>
      </c>
      <c r="H292">
        <v>925464.39137154631</v>
      </c>
      <c r="I292">
        <v>249203.34864811169</v>
      </c>
      <c r="J292">
        <v>525035.2283449379</v>
      </c>
      <c r="K292">
        <v>714344.86080833978</v>
      </c>
      <c r="L292">
        <v>2414047.8291729358</v>
      </c>
    </row>
    <row r="293" spans="1:12" x14ac:dyDescent="0.25">
      <c r="A293" t="s">
        <v>621</v>
      </c>
      <c r="B293" t="s">
        <v>622</v>
      </c>
      <c r="C293">
        <v>734739.35564898723</v>
      </c>
      <c r="D293">
        <v>193591.71109042165</v>
      </c>
      <c r="E293">
        <v>472661.99964679894</v>
      </c>
      <c r="F293">
        <v>649682.44851175009</v>
      </c>
      <c r="G293">
        <v>2050675.5148979579</v>
      </c>
      <c r="H293">
        <v>661265.42008408858</v>
      </c>
      <c r="I293">
        <v>177601.25974076692</v>
      </c>
      <c r="J293">
        <v>425395.79968211905</v>
      </c>
      <c r="K293">
        <v>584714.20366057509</v>
      </c>
      <c r="L293">
        <v>1848976.6831675498</v>
      </c>
    </row>
    <row r="294" spans="1:12" x14ac:dyDescent="0.25">
      <c r="A294" t="s">
        <v>623</v>
      </c>
      <c r="B294" t="s">
        <v>624</v>
      </c>
      <c r="C294">
        <v>150561.34337069414</v>
      </c>
      <c r="D294">
        <v>39670.432600496242</v>
      </c>
      <c r="E294">
        <v>84441.72956366041</v>
      </c>
      <c r="F294">
        <v>116066.68118122635</v>
      </c>
      <c r="G294">
        <v>390740.18671607715</v>
      </c>
      <c r="H294">
        <v>174665.11048420737</v>
      </c>
      <c r="I294">
        <v>47032.744674432353</v>
      </c>
      <c r="J294">
        <v>107951.25829301591</v>
      </c>
      <c r="K294">
        <v>146874.76652280343</v>
      </c>
      <c r="L294">
        <v>476523.87997445907</v>
      </c>
    </row>
    <row r="295" spans="1:12" x14ac:dyDescent="0.25">
      <c r="A295" t="s">
        <v>253</v>
      </c>
      <c r="B295" t="s">
        <v>254</v>
      </c>
      <c r="C295">
        <v>239177.44832601695</v>
      </c>
      <c r="D295">
        <v>0</v>
      </c>
      <c r="E295">
        <v>114413.69280916675</v>
      </c>
      <c r="F295">
        <v>157263.68555770593</v>
      </c>
      <c r="G295">
        <v>510854.82669288962</v>
      </c>
      <c r="H295">
        <v>219852.10424131571</v>
      </c>
      <c r="I295">
        <v>0</v>
      </c>
      <c r="J295">
        <v>106097.37441794672</v>
      </c>
      <c r="K295">
        <v>144352.43593011977</v>
      </c>
      <c r="L295">
        <v>470301.91458938218</v>
      </c>
    </row>
    <row r="296" spans="1:12" x14ac:dyDescent="0.25">
      <c r="A296" t="s">
        <v>625</v>
      </c>
      <c r="B296" t="s">
        <v>626</v>
      </c>
      <c r="C296">
        <v>0</v>
      </c>
      <c r="D296">
        <v>1818.4223737979735</v>
      </c>
      <c r="E296">
        <v>0</v>
      </c>
      <c r="F296">
        <v>0</v>
      </c>
      <c r="G296">
        <v>1818.4223737979735</v>
      </c>
      <c r="H296">
        <v>0</v>
      </c>
      <c r="I296">
        <v>1545.6590177282774</v>
      </c>
      <c r="J296">
        <v>0</v>
      </c>
      <c r="K296">
        <v>0</v>
      </c>
      <c r="L296">
        <v>1545.6590177282774</v>
      </c>
    </row>
    <row r="297" spans="1:12" x14ac:dyDescent="0.25">
      <c r="A297" t="s">
        <v>627</v>
      </c>
      <c r="B297" t="s">
        <v>628</v>
      </c>
      <c r="C297">
        <v>36134.722408966583</v>
      </c>
      <c r="D297">
        <v>9352.6410749949355</v>
      </c>
      <c r="E297">
        <v>17358.420694866847</v>
      </c>
      <c r="F297">
        <v>23936.110628553233</v>
      </c>
      <c r="G297">
        <v>86781.894807381599</v>
      </c>
      <c r="H297">
        <v>33890.245317831272</v>
      </c>
      <c r="I297">
        <v>7949.7449137456952</v>
      </c>
      <c r="J297">
        <v>16354.931234387044</v>
      </c>
      <c r="K297">
        <v>22251.956526777347</v>
      </c>
      <c r="L297">
        <v>80446.877992741356</v>
      </c>
    </row>
    <row r="298" spans="1:12" x14ac:dyDescent="0.25">
      <c r="A298" t="s">
        <v>629</v>
      </c>
      <c r="B298" t="s">
        <v>630</v>
      </c>
      <c r="C298">
        <v>58897.227469127742</v>
      </c>
      <c r="D298">
        <v>15425.509827310645</v>
      </c>
      <c r="E298">
        <v>40171.721489471565</v>
      </c>
      <c r="F298">
        <v>54884.318404265228</v>
      </c>
      <c r="G298">
        <v>169378.7771901752</v>
      </c>
      <c r="H298">
        <v>63435.58738978675</v>
      </c>
      <c r="I298">
        <v>17081.544085739108</v>
      </c>
      <c r="J298">
        <v>38954.940540973403</v>
      </c>
      <c r="K298">
        <v>53000.75133293117</v>
      </c>
      <c r="L298">
        <v>172472.82334943043</v>
      </c>
    </row>
    <row r="299" spans="1:12" x14ac:dyDescent="0.25">
      <c r="A299" t="s">
        <v>64</v>
      </c>
      <c r="B299" t="s">
        <v>1391</v>
      </c>
      <c r="C299">
        <v>773299.95182445808</v>
      </c>
      <c r="D299">
        <v>175350.9872106596</v>
      </c>
      <c r="E299">
        <v>445484.49322934798</v>
      </c>
      <c r="F299">
        <v>614293.56395284913</v>
      </c>
      <c r="G299">
        <v>2008428.9962173146</v>
      </c>
      <c r="H299">
        <v>922378.06902294874</v>
      </c>
      <c r="I299">
        <v>148924.58416689432</v>
      </c>
      <c r="J299">
        <v>525946.13174450735</v>
      </c>
      <c r="K299">
        <v>715584.20462194737</v>
      </c>
      <c r="L299">
        <v>2312832.9895562977</v>
      </c>
    </row>
    <row r="300" spans="1:12" x14ac:dyDescent="0.25">
      <c r="A300" t="s">
        <v>306</v>
      </c>
      <c r="B300" t="s">
        <v>1387</v>
      </c>
      <c r="C300">
        <v>374252.48209286825</v>
      </c>
      <c r="D300">
        <v>0</v>
      </c>
      <c r="E300">
        <v>179028.6200431207</v>
      </c>
      <c r="F300">
        <v>246078.06912806502</v>
      </c>
      <c r="G300">
        <v>799359.1712640539</v>
      </c>
      <c r="H300">
        <v>318114.609778938</v>
      </c>
      <c r="I300">
        <v>0</v>
      </c>
      <c r="J300">
        <v>152174.3270366526</v>
      </c>
      <c r="K300">
        <v>209166.35875885526</v>
      </c>
      <c r="L300">
        <v>679455.29557444586</v>
      </c>
    </row>
    <row r="301" spans="1:12" x14ac:dyDescent="0.25">
      <c r="A301" t="s">
        <v>255</v>
      </c>
      <c r="B301" t="s">
        <v>1386</v>
      </c>
      <c r="C301">
        <v>634938.69375755556</v>
      </c>
      <c r="D301">
        <v>0</v>
      </c>
      <c r="E301">
        <v>313402.97508698015</v>
      </c>
      <c r="F301">
        <v>430778.04515177343</v>
      </c>
      <c r="G301">
        <v>1379119.7139963091</v>
      </c>
      <c r="H301">
        <v>640438.73844209348</v>
      </c>
      <c r="I301">
        <v>0</v>
      </c>
      <c r="J301">
        <v>318711.48046497826</v>
      </c>
      <c r="K301">
        <v>433627.87077822542</v>
      </c>
      <c r="L301">
        <v>1392778.0896852971</v>
      </c>
    </row>
    <row r="302" spans="1:12" x14ac:dyDescent="0.25">
      <c r="A302" t="s">
        <v>68</v>
      </c>
      <c r="B302" t="s">
        <v>1384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</row>
    <row r="303" spans="1:12" x14ac:dyDescent="0.25">
      <c r="A303" t="s">
        <v>631</v>
      </c>
      <c r="B303" t="s">
        <v>632</v>
      </c>
      <c r="C303">
        <v>76913.800480945938</v>
      </c>
      <c r="D303">
        <v>20144.150007681394</v>
      </c>
      <c r="E303">
        <v>49307.294996912722</v>
      </c>
      <c r="F303">
        <v>67991.488891026995</v>
      </c>
      <c r="G303">
        <v>214356.73437656707</v>
      </c>
      <c r="H303">
        <v>81684.181022465127</v>
      </c>
      <c r="I303">
        <v>21995.412932321593</v>
      </c>
      <c r="J303">
        <v>45708.363424514333</v>
      </c>
      <c r="K303">
        <v>62189.226066198869</v>
      </c>
      <c r="L303">
        <v>211577.18344549992</v>
      </c>
    </row>
    <row r="304" spans="1:12" x14ac:dyDescent="0.25">
      <c r="A304" t="s">
        <v>256</v>
      </c>
      <c r="B304" t="s">
        <v>257</v>
      </c>
      <c r="C304">
        <v>197778.34409386094</v>
      </c>
      <c r="D304">
        <v>0</v>
      </c>
      <c r="E304">
        <v>0</v>
      </c>
      <c r="F304">
        <v>0</v>
      </c>
      <c r="G304">
        <v>197778.34409386094</v>
      </c>
      <c r="H304">
        <v>168111.5924797818</v>
      </c>
      <c r="I304">
        <v>0</v>
      </c>
      <c r="J304">
        <v>0</v>
      </c>
      <c r="K304">
        <v>0</v>
      </c>
      <c r="L304">
        <v>168111.5924797818</v>
      </c>
    </row>
    <row r="305" spans="1:12" x14ac:dyDescent="0.25">
      <c r="A305" t="s">
        <v>307</v>
      </c>
      <c r="B305" t="s">
        <v>308</v>
      </c>
      <c r="C305">
        <v>127331.87896492989</v>
      </c>
      <c r="D305">
        <v>0</v>
      </c>
      <c r="E305">
        <v>60910.886819268635</v>
      </c>
      <c r="F305">
        <v>83723.113174606042</v>
      </c>
      <c r="G305">
        <v>271965.87895880459</v>
      </c>
      <c r="H305">
        <v>130347.09737627412</v>
      </c>
      <c r="I305">
        <v>0</v>
      </c>
      <c r="J305">
        <v>62903.581670719403</v>
      </c>
      <c r="K305">
        <v>85584.448179912899</v>
      </c>
      <c r="L305">
        <v>278835.12722690642</v>
      </c>
    </row>
    <row r="306" spans="1:12" x14ac:dyDescent="0.25">
      <c r="A306" t="s">
        <v>70</v>
      </c>
      <c r="B306" t="s">
        <v>1397</v>
      </c>
      <c r="C306">
        <v>31042.97551993349</v>
      </c>
      <c r="D306">
        <v>8179.312435133852</v>
      </c>
      <c r="E306">
        <v>22654.083780661225</v>
      </c>
      <c r="F306">
        <v>31235.675075331794</v>
      </c>
      <c r="G306">
        <v>93112.046811060354</v>
      </c>
      <c r="H306">
        <v>23525.095025557534</v>
      </c>
      <c r="I306">
        <v>6334.6926281470951</v>
      </c>
      <c r="J306">
        <v>17790.036166994141</v>
      </c>
      <c r="K306">
        <v>24204.510904052524</v>
      </c>
      <c r="L306">
        <v>71854.334724751301</v>
      </c>
    </row>
    <row r="307" spans="1:12" x14ac:dyDescent="0.25">
      <c r="A307" t="s">
        <v>258</v>
      </c>
      <c r="B307" t="s">
        <v>259</v>
      </c>
      <c r="C307">
        <v>28391.56760704517</v>
      </c>
      <c r="D307">
        <v>0</v>
      </c>
      <c r="E307">
        <v>13581.4815205126</v>
      </c>
      <c r="F307">
        <v>18667.991451094585</v>
      </c>
      <c r="G307">
        <v>60641.040578652348</v>
      </c>
      <c r="H307">
        <v>25200.43882607967</v>
      </c>
      <c r="I307">
        <v>0</v>
      </c>
      <c r="J307">
        <v>12161.359123005754</v>
      </c>
      <c r="K307">
        <v>16546.326648116494</v>
      </c>
      <c r="L307">
        <v>53908.12459720191</v>
      </c>
    </row>
    <row r="308" spans="1:12" x14ac:dyDescent="0.25">
      <c r="A308" t="s">
        <v>633</v>
      </c>
      <c r="B308" t="s">
        <v>634</v>
      </c>
      <c r="C308">
        <v>43542.987524510827</v>
      </c>
      <c r="D308">
        <v>11321.525852586967</v>
      </c>
      <c r="E308">
        <v>23242.358577955023</v>
      </c>
      <c r="F308">
        <v>29333.116174164265</v>
      </c>
      <c r="G308">
        <v>107439.98812921709</v>
      </c>
      <c r="H308">
        <v>37011.539395834203</v>
      </c>
      <c r="I308">
        <v>9623.296974698922</v>
      </c>
      <c r="J308">
        <v>19756.00479126177</v>
      </c>
      <c r="K308">
        <v>24933.148748039624</v>
      </c>
      <c r="L308">
        <v>91323.989909834519</v>
      </c>
    </row>
    <row r="309" spans="1:12" x14ac:dyDescent="0.25">
      <c r="A309" t="s">
        <v>635</v>
      </c>
      <c r="B309" t="s">
        <v>636</v>
      </c>
      <c r="C309">
        <v>12905.258003202352</v>
      </c>
      <c r="D309">
        <v>2510.0445587040394</v>
      </c>
      <c r="E309">
        <v>6173.4006911420902</v>
      </c>
      <c r="F309">
        <v>8485.4506595884504</v>
      </c>
      <c r="G309">
        <v>30074.153912636932</v>
      </c>
      <c r="H309">
        <v>13903.690386802573</v>
      </c>
      <c r="I309">
        <v>2133.5378748984335</v>
      </c>
      <c r="J309">
        <v>6709.7153782100695</v>
      </c>
      <c r="K309">
        <v>9129.0078058573763</v>
      </c>
      <c r="L309">
        <v>31875.951445768449</v>
      </c>
    </row>
    <row r="310" spans="1:12" x14ac:dyDescent="0.25">
      <c r="A310" t="s">
        <v>637</v>
      </c>
      <c r="B310" t="s">
        <v>638</v>
      </c>
      <c r="C310">
        <v>88616.104955322837</v>
      </c>
      <c r="D310">
        <v>22063.996591020456</v>
      </c>
      <c r="E310">
        <v>42390.684745842365</v>
      </c>
      <c r="F310">
        <v>58266.761195840678</v>
      </c>
      <c r="G310">
        <v>211337.54748802632</v>
      </c>
      <c r="H310">
        <v>84291.122969990553</v>
      </c>
      <c r="I310">
        <v>18754.397102367388</v>
      </c>
      <c r="J310">
        <v>40677.649480398548</v>
      </c>
      <c r="K310">
        <v>55344.609823010338</v>
      </c>
      <c r="L310">
        <v>199067.77937576681</v>
      </c>
    </row>
    <row r="311" spans="1:12" x14ac:dyDescent="0.25">
      <c r="A311" t="s">
        <v>639</v>
      </c>
      <c r="B311" t="s">
        <v>640</v>
      </c>
      <c r="C311">
        <v>18067.361204483292</v>
      </c>
      <c r="D311">
        <v>0</v>
      </c>
      <c r="E311">
        <v>8642.7609675989261</v>
      </c>
      <c r="F311">
        <v>11879.630923423827</v>
      </c>
      <c r="G311">
        <v>38589.753095506043</v>
      </c>
      <c r="H311">
        <v>24331.4581769045</v>
      </c>
      <c r="I311">
        <v>6551.8251287766461</v>
      </c>
      <c r="J311">
        <v>13345.225497909249</v>
      </c>
      <c r="K311">
        <v>18157.054491011848</v>
      </c>
      <c r="L311">
        <v>62385.563294602245</v>
      </c>
    </row>
    <row r="312" spans="1:12" x14ac:dyDescent="0.25">
      <c r="A312" t="s">
        <v>641</v>
      </c>
      <c r="B312" t="s">
        <v>642</v>
      </c>
      <c r="C312">
        <v>13765.608536749176</v>
      </c>
      <c r="D312">
        <v>3627.0109806168002</v>
      </c>
      <c r="E312">
        <v>12395.519802738447</v>
      </c>
      <c r="F312">
        <v>17037.865667298818</v>
      </c>
      <c r="G312">
        <v>46826.004987403241</v>
      </c>
      <c r="H312">
        <v>26938.400124429987</v>
      </c>
      <c r="I312">
        <v>7253.8063925741435</v>
      </c>
      <c r="J312">
        <v>37318.724026345481</v>
      </c>
      <c r="K312">
        <v>50774.571459099359</v>
      </c>
      <c r="L312">
        <v>122285.50200244898</v>
      </c>
    </row>
    <row r="313" spans="1:12" x14ac:dyDescent="0.25">
      <c r="A313" t="s">
        <v>643</v>
      </c>
      <c r="B313" t="s">
        <v>644</v>
      </c>
      <c r="C313">
        <v>212506.58178606542</v>
      </c>
      <c r="D313">
        <v>0</v>
      </c>
      <c r="E313">
        <v>101655.33138080647</v>
      </c>
      <c r="F313">
        <v>139727.08752788982</v>
      </c>
      <c r="G313">
        <v>453889.00069476169</v>
      </c>
      <c r="H313">
        <v>228541.91073306731</v>
      </c>
      <c r="I313">
        <v>0</v>
      </c>
      <c r="J313">
        <v>110290.94652932802</v>
      </c>
      <c r="K313">
        <v>150058.06580878064</v>
      </c>
      <c r="L313">
        <v>488890.92307117593</v>
      </c>
    </row>
    <row r="314" spans="1:12" x14ac:dyDescent="0.25">
      <c r="A314" t="s">
        <v>645</v>
      </c>
      <c r="B314" t="s">
        <v>646</v>
      </c>
      <c r="C314">
        <v>3688322.7373152324</v>
      </c>
      <c r="D314">
        <v>971812.25461901387</v>
      </c>
      <c r="E314">
        <v>2921047.4270254001</v>
      </c>
      <c r="F314">
        <v>4015032.403761934</v>
      </c>
      <c r="G314">
        <v>11596214.82272158</v>
      </c>
      <c r="H314">
        <v>3848715.2951967875</v>
      </c>
      <c r="I314">
        <v>1036358.339119706</v>
      </c>
      <c r="J314">
        <v>3095485.2540161018</v>
      </c>
      <c r="K314">
        <v>4211610.6949335141</v>
      </c>
      <c r="L314">
        <v>12192169.583266109</v>
      </c>
    </row>
    <row r="315" spans="1:12" x14ac:dyDescent="0.25">
      <c r="A315" t="s">
        <v>647</v>
      </c>
      <c r="B315" t="s">
        <v>648</v>
      </c>
      <c r="C315">
        <v>530836.27919839008</v>
      </c>
      <c r="D315">
        <v>0</v>
      </c>
      <c r="E315">
        <v>256704.33681447321</v>
      </c>
      <c r="F315">
        <v>353978.25141071988</v>
      </c>
      <c r="G315">
        <v>1141518.8674235833</v>
      </c>
      <c r="H315">
        <v>476201.39574798814</v>
      </c>
      <c r="I315">
        <v>0</v>
      </c>
      <c r="J315">
        <v>229807.7517036949</v>
      </c>
      <c r="K315">
        <v>312668.51735061512</v>
      </c>
      <c r="L315">
        <v>1018677.6648022982</v>
      </c>
    </row>
    <row r="316" spans="1:12" x14ac:dyDescent="0.25">
      <c r="A316" t="s">
        <v>649</v>
      </c>
      <c r="B316" t="s">
        <v>650</v>
      </c>
      <c r="C316">
        <v>118728.37362946161</v>
      </c>
      <c r="D316">
        <v>28667.351012567196</v>
      </c>
      <c r="E316">
        <v>57416.314606098022</v>
      </c>
      <c r="F316">
        <v>79173.289002137608</v>
      </c>
      <c r="G316">
        <v>283985.3282502644</v>
      </c>
      <c r="H316">
        <v>130347.09737627412</v>
      </c>
      <c r="I316">
        <v>24367.248360682115</v>
      </c>
      <c r="J316">
        <v>62903.581670719403</v>
      </c>
      <c r="K316">
        <v>85584.448179912899</v>
      </c>
      <c r="L316">
        <v>303202.37558758853</v>
      </c>
    </row>
  </sheetData>
  <sheetProtection algorithmName="SHA-512" hashValue="xusECJK6NBwU48PYuxcwrXfd66O1rkBs1HPF6Hp0D9W/TDyMbCUwoYfANAJw2pvzZIn3Wuk4GScjdTMpQ1rNBA==" saltValue="gAlt5ynJKfzQJOBbPaGs2A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01FD-8A5A-4690-AAC1-9C9831E8E4DF}">
  <sheetPr>
    <tabColor theme="4" tint="0.79998168889431442"/>
  </sheetPr>
  <dimension ref="A1:L316"/>
  <sheetViews>
    <sheetView workbookViewId="0">
      <selection activeCell="B17" sqref="B17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50.5703125" bestFit="1" customWidth="1"/>
    <col min="4" max="4" width="42.140625" bestFit="1" customWidth="1"/>
    <col min="5" max="5" width="54.85546875" bestFit="1" customWidth="1"/>
    <col min="6" max="6" width="49.5703125" bestFit="1" customWidth="1"/>
    <col min="7" max="7" width="25.85546875" bestFit="1" customWidth="1"/>
    <col min="8" max="8" width="20.85546875" bestFit="1" customWidth="1"/>
    <col min="9" max="9" width="21.28515625" bestFit="1" customWidth="1"/>
    <col min="10" max="10" width="24.140625" bestFit="1" customWidth="1"/>
    <col min="11" max="11" width="20.42578125" bestFit="1" customWidth="1"/>
    <col min="12" max="12" width="26.42578125" bestFit="1" customWidth="1"/>
    <col min="13" max="13" width="20.42578125" bestFit="1" customWidth="1"/>
    <col min="14" max="15" width="26.42578125" customWidth="1"/>
    <col min="16" max="16" width="26.42578125" bestFit="1" customWidth="1"/>
  </cols>
  <sheetData>
    <row r="1" spans="1:12" x14ac:dyDescent="0.25">
      <c r="A1" t="s">
        <v>4</v>
      </c>
      <c r="B1" t="s">
        <v>1279</v>
      </c>
      <c r="C1" t="s">
        <v>1327</v>
      </c>
      <c r="D1" t="s">
        <v>1361</v>
      </c>
      <c r="E1" t="s">
        <v>1328</v>
      </c>
      <c r="F1" t="s">
        <v>1329</v>
      </c>
      <c r="G1" t="s">
        <v>1362</v>
      </c>
      <c r="H1" t="s">
        <v>1330</v>
      </c>
      <c r="I1" t="s">
        <v>1331</v>
      </c>
      <c r="J1" t="s">
        <v>1332</v>
      </c>
      <c r="K1" t="s">
        <v>1333</v>
      </c>
      <c r="L1" t="s">
        <v>1334</v>
      </c>
    </row>
    <row r="2" spans="1:12" x14ac:dyDescent="0.25">
      <c r="A2" t="s">
        <v>309</v>
      </c>
      <c r="B2" t="s">
        <v>1383</v>
      </c>
      <c r="C2">
        <v>705487.43750839541</v>
      </c>
      <c r="D2">
        <v>185884.31275661089</v>
      </c>
      <c r="E2">
        <v>436283.3428980321</v>
      </c>
      <c r="F2">
        <v>599679.32829525613</v>
      </c>
      <c r="G2">
        <v>1927334.4214582946</v>
      </c>
      <c r="H2">
        <v>634755.13241215039</v>
      </c>
      <c r="I2">
        <v>167247.51609168094</v>
      </c>
      <c r="J2">
        <v>392541.4916933378</v>
      </c>
      <c r="K2">
        <v>539555.3644176051</v>
      </c>
      <c r="L2">
        <v>1734099.5046147741</v>
      </c>
    </row>
    <row r="3" spans="1:12" x14ac:dyDescent="0.25">
      <c r="A3" t="s">
        <v>260</v>
      </c>
      <c r="B3" t="s">
        <v>261</v>
      </c>
      <c r="C3">
        <v>32693.320274779297</v>
      </c>
      <c r="D3">
        <v>0</v>
      </c>
      <c r="E3">
        <v>15639.281750893295</v>
      </c>
      <c r="F3">
        <v>21496.475004290744</v>
      </c>
      <c r="G3">
        <v>69829.07702996333</v>
      </c>
      <c r="H3">
        <v>57352.722845560602</v>
      </c>
      <c r="I3">
        <v>0</v>
      </c>
      <c r="J3">
        <v>27677.575935116536</v>
      </c>
      <c r="K3">
        <v>37657.157199161673</v>
      </c>
      <c r="L3">
        <v>122687.45597983882</v>
      </c>
    </row>
    <row r="4" spans="1:12" x14ac:dyDescent="0.25">
      <c r="A4" t="s">
        <v>262</v>
      </c>
      <c r="B4" t="s">
        <v>263</v>
      </c>
      <c r="C4">
        <v>0</v>
      </c>
      <c r="D4">
        <v>0</v>
      </c>
      <c r="E4">
        <v>0</v>
      </c>
      <c r="F4">
        <v>0</v>
      </c>
      <c r="G4">
        <v>0</v>
      </c>
      <c r="H4">
        <v>15641.651685152894</v>
      </c>
      <c r="I4">
        <v>4211.8875827849861</v>
      </c>
      <c r="J4">
        <v>8358.5650288235192</v>
      </c>
      <c r="K4">
        <v>11372.375889698647</v>
      </c>
      <c r="L4">
        <v>39584.480186460045</v>
      </c>
    </row>
    <row r="5" spans="1:12" x14ac:dyDescent="0.25">
      <c r="A5" t="s">
        <v>89</v>
      </c>
      <c r="B5" t="s">
        <v>90</v>
      </c>
      <c r="C5">
        <v>229713.59245700185</v>
      </c>
      <c r="D5">
        <v>0</v>
      </c>
      <c r="E5">
        <v>109886.53230232923</v>
      </c>
      <c r="F5">
        <v>151041.02174067439</v>
      </c>
      <c r="G5">
        <v>490641.1465000055</v>
      </c>
      <c r="H5">
        <v>205948.4138545132</v>
      </c>
      <c r="I5">
        <v>0</v>
      </c>
      <c r="J5">
        <v>99387.659039736653</v>
      </c>
      <c r="K5">
        <v>135223.42812426237</v>
      </c>
      <c r="L5">
        <v>440559.50101851224</v>
      </c>
    </row>
    <row r="6" spans="1:12" x14ac:dyDescent="0.25">
      <c r="A6" t="s">
        <v>91</v>
      </c>
      <c r="B6" t="s">
        <v>92</v>
      </c>
      <c r="C6">
        <v>484377.35038686154</v>
      </c>
      <c r="D6">
        <v>0</v>
      </c>
      <c r="E6">
        <v>231708.3059408665</v>
      </c>
      <c r="F6">
        <v>318487.24808988639</v>
      </c>
      <c r="G6">
        <v>1034572.9044176145</v>
      </c>
      <c r="H6">
        <v>470987.51185293705</v>
      </c>
      <c r="I6">
        <v>0</v>
      </c>
      <c r="J6">
        <v>227291.60843686611</v>
      </c>
      <c r="K6">
        <v>309245.13942341856</v>
      </c>
      <c r="L6">
        <v>1007524.2597132217</v>
      </c>
    </row>
    <row r="7" spans="1:12" x14ac:dyDescent="0.25">
      <c r="A7" t="s">
        <v>310</v>
      </c>
      <c r="B7" t="s">
        <v>311</v>
      </c>
      <c r="C7">
        <v>43950.743131969139</v>
      </c>
      <c r="D7">
        <v>0</v>
      </c>
      <c r="E7">
        <v>21364.210085989966</v>
      </c>
      <c r="F7">
        <v>29459.828465911669</v>
      </c>
      <c r="G7">
        <v>94774.781683870766</v>
      </c>
      <c r="H7">
        <v>37227.280062656522</v>
      </c>
      <c r="I7">
        <v>0</v>
      </c>
      <c r="J7">
        <v>18095.972343413392</v>
      </c>
      <c r="K7">
        <v>24953.145424760383</v>
      </c>
      <c r="L7">
        <v>80276.397830830305</v>
      </c>
    </row>
    <row r="8" spans="1:12" x14ac:dyDescent="0.25">
      <c r="A8" t="s">
        <v>312</v>
      </c>
      <c r="B8" t="s">
        <v>313</v>
      </c>
      <c r="C8">
        <v>2598258.6113114059</v>
      </c>
      <c r="D8">
        <v>684598.32259142061</v>
      </c>
      <c r="E8">
        <v>1878154.2702684619</v>
      </c>
      <c r="F8">
        <v>2581556.9390021251</v>
      </c>
      <c r="G8">
        <v>7742568.1431734134</v>
      </c>
      <c r="H8">
        <v>2494843.4437818867</v>
      </c>
      <c r="I8">
        <v>671796.06945420557</v>
      </c>
      <c r="J8">
        <v>1788768.1841096915</v>
      </c>
      <c r="K8">
        <v>2433736.4247427899</v>
      </c>
      <c r="L8">
        <v>7389144.1220885739</v>
      </c>
    </row>
    <row r="9" spans="1:12" x14ac:dyDescent="0.25">
      <c r="A9" t="s">
        <v>93</v>
      </c>
      <c r="B9" t="s">
        <v>94</v>
      </c>
      <c r="C9">
        <v>122169.77576364891</v>
      </c>
      <c r="D9">
        <v>0</v>
      </c>
      <c r="E9">
        <v>0</v>
      </c>
      <c r="F9">
        <v>0</v>
      </c>
      <c r="G9">
        <v>122169.77576364891</v>
      </c>
      <c r="H9">
        <v>131216.0780254493</v>
      </c>
      <c r="I9">
        <v>0</v>
      </c>
      <c r="J9">
        <v>0</v>
      </c>
      <c r="K9">
        <v>0</v>
      </c>
      <c r="L9">
        <v>131216.0780254493</v>
      </c>
    </row>
    <row r="10" spans="1:12" x14ac:dyDescent="0.25">
      <c r="A10" t="s">
        <v>95</v>
      </c>
      <c r="B10" t="s">
        <v>96</v>
      </c>
      <c r="C10">
        <v>774631.84770095581</v>
      </c>
      <c r="D10">
        <v>0</v>
      </c>
      <c r="E10">
        <v>449482.95126227324</v>
      </c>
      <c r="F10">
        <v>619807.17233359464</v>
      </c>
      <c r="G10">
        <v>1843921.9712968238</v>
      </c>
      <c r="H10">
        <v>775130.73906424362</v>
      </c>
      <c r="I10">
        <v>0</v>
      </c>
      <c r="J10">
        <v>416212.03205459338</v>
      </c>
      <c r="K10">
        <v>566283.76545709034</v>
      </c>
      <c r="L10">
        <v>1757626.5365759274</v>
      </c>
    </row>
    <row r="11" spans="1:12" x14ac:dyDescent="0.25">
      <c r="A11" t="s">
        <v>97</v>
      </c>
      <c r="B11" t="s">
        <v>98</v>
      </c>
      <c r="C11">
        <v>1159752.519221118</v>
      </c>
      <c r="D11">
        <v>0</v>
      </c>
      <c r="E11">
        <v>690331.03840355063</v>
      </c>
      <c r="F11">
        <v>951920.70730477036</v>
      </c>
      <c r="G11">
        <v>2802004.2649294389</v>
      </c>
      <c r="H11">
        <v>1270449.7090940855</v>
      </c>
      <c r="I11">
        <v>0</v>
      </c>
      <c r="J11">
        <v>774762.44757769397</v>
      </c>
      <c r="K11">
        <v>1054115.120082594</v>
      </c>
      <c r="L11">
        <v>3099327.2767543737</v>
      </c>
    </row>
    <row r="12" spans="1:12" x14ac:dyDescent="0.25">
      <c r="A12" t="s">
        <v>56</v>
      </c>
      <c r="B12" t="s">
        <v>1385</v>
      </c>
      <c r="C12">
        <v>1235715.3716398529</v>
      </c>
      <c r="D12">
        <v>0</v>
      </c>
      <c r="E12">
        <v>786352.3782197634</v>
      </c>
      <c r="F12">
        <v>1084327.7651209484</v>
      </c>
      <c r="G12">
        <v>3106395.5149805648</v>
      </c>
      <c r="H12">
        <v>1167679.7789691328</v>
      </c>
      <c r="I12">
        <v>0</v>
      </c>
      <c r="J12">
        <v>701255.29039980122</v>
      </c>
      <c r="K12">
        <v>954103.8120258305</v>
      </c>
      <c r="L12">
        <v>2823038.8813947644</v>
      </c>
    </row>
    <row r="13" spans="1:12" x14ac:dyDescent="0.25">
      <c r="A13" t="s">
        <v>99</v>
      </c>
      <c r="B13" t="s">
        <v>100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264</v>
      </c>
      <c r="B14" t="s">
        <v>265</v>
      </c>
      <c r="C14">
        <v>1977085.5260905998</v>
      </c>
      <c r="D14">
        <v>0</v>
      </c>
      <c r="E14">
        <v>1283861.563734517</v>
      </c>
      <c r="F14">
        <v>1764690.8888390777</v>
      </c>
      <c r="G14">
        <v>5025637.9786641952</v>
      </c>
      <c r="H14">
        <v>2181141.4294296536</v>
      </c>
      <c r="I14">
        <v>0</v>
      </c>
      <c r="J14">
        <v>1485992.2776679611</v>
      </c>
      <c r="K14">
        <v>2021789.9475034762</v>
      </c>
      <c r="L14">
        <v>5688923.6546010906</v>
      </c>
    </row>
    <row r="15" spans="1:12" x14ac:dyDescent="0.25">
      <c r="A15" t="s">
        <v>314</v>
      </c>
      <c r="B15" t="s">
        <v>315</v>
      </c>
      <c r="C15">
        <v>10906.893975764393</v>
      </c>
      <c r="D15">
        <v>2856.5758939464172</v>
      </c>
      <c r="E15">
        <v>6015.3466569807933</v>
      </c>
      <c r="F15">
        <v>8294.7639984994967</v>
      </c>
      <c r="G15">
        <v>28073.580525191101</v>
      </c>
      <c r="H15">
        <v>0</v>
      </c>
      <c r="I15">
        <v>2428.0895098544547</v>
      </c>
      <c r="J15">
        <v>0</v>
      </c>
      <c r="K15">
        <v>0</v>
      </c>
      <c r="L15">
        <v>2428.0895098544547</v>
      </c>
    </row>
    <row r="16" spans="1:12" x14ac:dyDescent="0.25">
      <c r="A16" t="s">
        <v>316</v>
      </c>
      <c r="B16" t="s">
        <v>317</v>
      </c>
      <c r="C16">
        <v>267138.11059899989</v>
      </c>
      <c r="D16">
        <v>69964.94958025057</v>
      </c>
      <c r="E16">
        <v>129854.33942890776</v>
      </c>
      <c r="F16">
        <v>179060.51989436932</v>
      </c>
      <c r="G16">
        <v>646017.91950252745</v>
      </c>
      <c r="H16">
        <v>267646.03994594951</v>
      </c>
      <c r="I16">
        <v>59470.207143212981</v>
      </c>
      <c r="J16">
        <v>129162.02103054385</v>
      </c>
      <c r="K16">
        <v>175733.4002627545</v>
      </c>
      <c r="L16">
        <v>632011.66838246083</v>
      </c>
    </row>
    <row r="17" spans="1:12" x14ac:dyDescent="0.25">
      <c r="A17" t="s">
        <v>318</v>
      </c>
      <c r="B17" t="s">
        <v>319</v>
      </c>
      <c r="C17">
        <v>24089.814939311054</v>
      </c>
      <c r="D17">
        <v>3831.1206422324799</v>
      </c>
      <c r="E17">
        <v>11523.681290131903</v>
      </c>
      <c r="F17">
        <v>15839.507897898438</v>
      </c>
      <c r="G17">
        <v>55284.124769573871</v>
      </c>
      <c r="H17">
        <v>20476.342698414395</v>
      </c>
      <c r="I17">
        <v>3256.4525458976077</v>
      </c>
      <c r="J17">
        <v>9795.1290966121178</v>
      </c>
      <c r="K17">
        <v>13463.581713213673</v>
      </c>
      <c r="L17">
        <v>46991.50605413779</v>
      </c>
    </row>
    <row r="18" spans="1:12" x14ac:dyDescent="0.25">
      <c r="A18" t="s">
        <v>55</v>
      </c>
      <c r="B18" t="s">
        <v>9</v>
      </c>
      <c r="C18">
        <v>819124.2124931392</v>
      </c>
      <c r="D18">
        <v>215825.73013537956</v>
      </c>
      <c r="E18">
        <v>458083.68394561857</v>
      </c>
      <c r="F18">
        <v>629644.29048974381</v>
      </c>
      <c r="G18">
        <v>2122677.9170638812</v>
      </c>
      <c r="H18">
        <v>732359.48458403081</v>
      </c>
      <c r="I18">
        <v>192937.18298741101</v>
      </c>
      <c r="J18">
        <v>409558.4983099784</v>
      </c>
      <c r="K18">
        <v>562945.54711327609</v>
      </c>
      <c r="L18">
        <v>1897800.7129946963</v>
      </c>
    </row>
    <row r="19" spans="1:12" x14ac:dyDescent="0.25">
      <c r="A19" t="s">
        <v>320</v>
      </c>
      <c r="B19" t="s">
        <v>321</v>
      </c>
      <c r="C19">
        <v>208567.25116782496</v>
      </c>
      <c r="D19">
        <v>54229.157445164499</v>
      </c>
      <c r="E19">
        <v>136576.44027378573</v>
      </c>
      <c r="F19">
        <v>184971.87213735111</v>
      </c>
      <c r="G19">
        <v>584344.72102412628</v>
      </c>
      <c r="H19">
        <v>210293.3171003889</v>
      </c>
      <c r="I19">
        <v>56626.488612998146</v>
      </c>
      <c r="J19">
        <v>141214.94486267949</v>
      </c>
      <c r="K19">
        <v>192132.19358628348</v>
      </c>
      <c r="L19">
        <v>600266.94416235003</v>
      </c>
    </row>
    <row r="20" spans="1:12" x14ac:dyDescent="0.25">
      <c r="A20" t="s">
        <v>322</v>
      </c>
      <c r="B20" t="s">
        <v>323</v>
      </c>
      <c r="C20">
        <v>152217.50260669328</v>
      </c>
      <c r="D20">
        <v>39577.771047698981</v>
      </c>
      <c r="E20">
        <v>110322.09072156889</v>
      </c>
      <c r="F20">
        <v>152126.84464236131</v>
      </c>
      <c r="G20">
        <v>454244.20901832241</v>
      </c>
      <c r="H20">
        <v>136995.75234602395</v>
      </c>
      <c r="I20">
        <v>36269.031962870722</v>
      </c>
      <c r="J20">
        <v>99289.881649412011</v>
      </c>
      <c r="K20">
        <v>136914.16017812517</v>
      </c>
      <c r="L20">
        <v>409468.82613643177</v>
      </c>
    </row>
    <row r="21" spans="1:12" x14ac:dyDescent="0.25">
      <c r="A21" t="s">
        <v>324</v>
      </c>
      <c r="B21" t="s">
        <v>325</v>
      </c>
      <c r="C21">
        <v>23268.04048163072</v>
      </c>
      <c r="D21">
        <v>6120.5810297908465</v>
      </c>
      <c r="E21">
        <v>16486.539034044137</v>
      </c>
      <c r="F21">
        <v>22733.843656499121</v>
      </c>
      <c r="G21">
        <v>68609.004201964824</v>
      </c>
      <c r="H21">
        <v>21724.51622937902</v>
      </c>
      <c r="I21">
        <v>5849.8438649791478</v>
      </c>
      <c r="J21">
        <v>14837.885130639725</v>
      </c>
      <c r="K21">
        <v>20460.459290849209</v>
      </c>
      <c r="L21">
        <v>62872.704515847101</v>
      </c>
    </row>
    <row r="22" spans="1:12" x14ac:dyDescent="0.25">
      <c r="A22" t="s">
        <v>326</v>
      </c>
      <c r="B22" t="s">
        <v>327</v>
      </c>
      <c r="C22">
        <v>383870.28646256687</v>
      </c>
      <c r="D22">
        <v>97495.414964399009</v>
      </c>
      <c r="E22">
        <v>172892.90837407191</v>
      </c>
      <c r="F22">
        <v>232916.76880861406</v>
      </c>
      <c r="G22">
        <v>887175.37860965193</v>
      </c>
      <c r="H22">
        <v>344985.31772253884</v>
      </c>
      <c r="I22">
        <v>82871.102719739152</v>
      </c>
      <c r="J22">
        <v>166484.81282183737</v>
      </c>
      <c r="K22">
        <v>226513.50618283611</v>
      </c>
      <c r="L22">
        <v>820854.73944695154</v>
      </c>
    </row>
    <row r="23" spans="1:12" x14ac:dyDescent="0.25">
      <c r="A23" t="s">
        <v>101</v>
      </c>
      <c r="B23" t="s">
        <v>102</v>
      </c>
      <c r="C23">
        <v>226621.01927421574</v>
      </c>
      <c r="D23">
        <v>0</v>
      </c>
      <c r="E23">
        <v>0</v>
      </c>
      <c r="F23">
        <v>0</v>
      </c>
      <c r="G23">
        <v>226621.01927421574</v>
      </c>
      <c r="H23">
        <v>236362.73657564376</v>
      </c>
      <c r="I23">
        <v>0</v>
      </c>
      <c r="J23">
        <v>0</v>
      </c>
      <c r="K23">
        <v>0</v>
      </c>
      <c r="L23">
        <v>236362.73657564376</v>
      </c>
    </row>
    <row r="24" spans="1:12" x14ac:dyDescent="0.25">
      <c r="A24" t="s">
        <v>328</v>
      </c>
      <c r="B24" t="s">
        <v>329</v>
      </c>
      <c r="C24">
        <v>96359.259757244217</v>
      </c>
      <c r="D24">
        <v>25389.076864317609</v>
      </c>
      <c r="E24">
        <v>59789.207769652916</v>
      </c>
      <c r="F24">
        <v>82445.351263503588</v>
      </c>
      <c r="G24">
        <v>263982.89565471833</v>
      </c>
      <c r="H24">
        <v>81905.370793657581</v>
      </c>
      <c r="I24">
        <v>21580.715334669967</v>
      </c>
      <c r="J24">
        <v>50820.82660420498</v>
      </c>
      <c r="K24">
        <v>70078.548573978042</v>
      </c>
      <c r="L24">
        <v>224385.46130651058</v>
      </c>
    </row>
    <row r="25" spans="1:12" x14ac:dyDescent="0.25">
      <c r="A25" t="s">
        <v>103</v>
      </c>
      <c r="B25" t="s">
        <v>104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</row>
    <row r="26" spans="1:12" x14ac:dyDescent="0.25">
      <c r="A26" t="s">
        <v>330</v>
      </c>
      <c r="B26" t="s">
        <v>331</v>
      </c>
      <c r="C26">
        <v>151421.69390424096</v>
      </c>
      <c r="D26">
        <v>0</v>
      </c>
      <c r="E26">
        <v>72434.568109400556</v>
      </c>
      <c r="F26">
        <v>99562.621072504466</v>
      </c>
      <c r="G26">
        <v>323418.88308614597</v>
      </c>
      <c r="H26">
        <v>132954.0393237996</v>
      </c>
      <c r="I26">
        <v>0</v>
      </c>
      <c r="J26">
        <v>64161.653304133797</v>
      </c>
      <c r="K26">
        <v>87296.13714351115</v>
      </c>
      <c r="L26">
        <v>284411.82977144455</v>
      </c>
    </row>
    <row r="27" spans="1:12" x14ac:dyDescent="0.25">
      <c r="A27" t="s">
        <v>332</v>
      </c>
      <c r="B27" t="s">
        <v>333</v>
      </c>
      <c r="C27">
        <v>142818.18856877266</v>
      </c>
      <c r="D27">
        <v>31177.395571271216</v>
      </c>
      <c r="E27">
        <v>68318.967648639169</v>
      </c>
      <c r="F27">
        <v>93905.653966112164</v>
      </c>
      <c r="G27">
        <v>336220.20575479523</v>
      </c>
      <c r="H27">
        <v>142512.82646472641</v>
      </c>
      <c r="I27">
        <v>26500.786235580534</v>
      </c>
      <c r="J27">
        <v>68774.582626653209</v>
      </c>
      <c r="K27">
        <v>93572.330010038102</v>
      </c>
      <c r="L27">
        <v>331360.52533699828</v>
      </c>
    </row>
    <row r="28" spans="1:12" x14ac:dyDescent="0.25">
      <c r="A28" t="s">
        <v>105</v>
      </c>
      <c r="B28" t="s">
        <v>106</v>
      </c>
      <c r="C28">
        <v>160025.19923970915</v>
      </c>
      <c r="D28">
        <v>0</v>
      </c>
      <c r="E28">
        <v>76550.168570161957</v>
      </c>
      <c r="F28">
        <v>105219.58817889677</v>
      </c>
      <c r="G28">
        <v>341794.95598876785</v>
      </c>
      <c r="H28">
        <v>167713.26529080601</v>
      </c>
      <c r="I28">
        <v>0</v>
      </c>
      <c r="J28">
        <v>80935.941749658974</v>
      </c>
      <c r="K28">
        <v>110118.65665815459</v>
      </c>
      <c r="L28">
        <v>358767.86369861953</v>
      </c>
    </row>
    <row r="29" spans="1:12" x14ac:dyDescent="0.25">
      <c r="A29" t="s">
        <v>66</v>
      </c>
      <c r="B29" t="s">
        <v>1396</v>
      </c>
      <c r="C29">
        <v>63398.866922579939</v>
      </c>
      <c r="D29">
        <v>0</v>
      </c>
      <c r="E29">
        <v>35454.923777041549</v>
      </c>
      <c r="F29">
        <v>48733.432576510335</v>
      </c>
      <c r="G29">
        <v>147587.22327613182</v>
      </c>
      <c r="H29">
        <v>60923.266415243648</v>
      </c>
      <c r="I29">
        <v>0</v>
      </c>
      <c r="J29">
        <v>34070.21009543979</v>
      </c>
      <c r="K29">
        <v>46830.118631613135</v>
      </c>
      <c r="L29">
        <v>141823.59514229657</v>
      </c>
    </row>
    <row r="30" spans="1:12" x14ac:dyDescent="0.25">
      <c r="A30" t="s">
        <v>334</v>
      </c>
      <c r="B30" t="s">
        <v>335</v>
      </c>
      <c r="C30">
        <v>23229.464405764236</v>
      </c>
      <c r="D30">
        <v>6120.5810297908465</v>
      </c>
      <c r="E30">
        <v>16960.893659854155</v>
      </c>
      <c r="F30">
        <v>23313.054423913203</v>
      </c>
      <c r="G30">
        <v>69623.993519322437</v>
      </c>
      <c r="H30">
        <v>20906.517965187813</v>
      </c>
      <c r="I30">
        <v>5615.8501103799836</v>
      </c>
      <c r="J30">
        <v>15264.804293868739</v>
      </c>
      <c r="K30">
        <v>20981.748981521883</v>
      </c>
      <c r="L30">
        <v>62768.921350958422</v>
      </c>
    </row>
    <row r="31" spans="1:12" x14ac:dyDescent="0.25">
      <c r="A31" t="s">
        <v>107</v>
      </c>
      <c r="B31" t="s">
        <v>108</v>
      </c>
      <c r="C31">
        <v>751086.0157863769</v>
      </c>
      <c r="D31">
        <v>0</v>
      </c>
      <c r="E31">
        <v>396743.88441739831</v>
      </c>
      <c r="F31">
        <v>545331.6290562175</v>
      </c>
      <c r="G31">
        <v>1693161.5292599928</v>
      </c>
      <c r="H31">
        <v>680411.84830415098</v>
      </c>
      <c r="I31">
        <v>0</v>
      </c>
      <c r="J31">
        <v>347647.12803350919</v>
      </c>
      <c r="K31">
        <v>472996.71694098524</v>
      </c>
      <c r="L31">
        <v>1501055.6932786454</v>
      </c>
    </row>
    <row r="32" spans="1:12" x14ac:dyDescent="0.25">
      <c r="A32" t="s">
        <v>266</v>
      </c>
      <c r="B32" t="s">
        <v>267</v>
      </c>
      <c r="C32">
        <v>1594229.5386622641</v>
      </c>
      <c r="D32">
        <v>0</v>
      </c>
      <c r="E32">
        <v>1001737.1521493235</v>
      </c>
      <c r="F32">
        <v>1376905.7936958857</v>
      </c>
      <c r="G32">
        <v>3972872.4845074732</v>
      </c>
      <c r="H32">
        <v>1355095.1078629245</v>
      </c>
      <c r="I32">
        <v>0</v>
      </c>
      <c r="J32">
        <v>851476.57932692498</v>
      </c>
      <c r="K32">
        <v>1170369.9246415028</v>
      </c>
      <c r="L32">
        <v>3376941.6118313521</v>
      </c>
    </row>
    <row r="33" spans="1:12" x14ac:dyDescent="0.25">
      <c r="A33" t="s">
        <v>336</v>
      </c>
      <c r="B33" t="s">
        <v>337</v>
      </c>
      <c r="C33">
        <v>662469.91083105397</v>
      </c>
      <c r="D33">
        <v>174549.90344218345</v>
      </c>
      <c r="E33">
        <v>349037.1197123953</v>
      </c>
      <c r="F33">
        <v>479757.8200187211</v>
      </c>
      <c r="G33">
        <v>1665814.7540043539</v>
      </c>
      <c r="H33">
        <v>749061.31958898879</v>
      </c>
      <c r="I33">
        <v>201702.61646448108</v>
      </c>
      <c r="J33">
        <v>420226.16121532873</v>
      </c>
      <c r="K33">
        <v>571745.25143324328</v>
      </c>
      <c r="L33">
        <v>1942735.3487020419</v>
      </c>
    </row>
    <row r="34" spans="1:12" x14ac:dyDescent="0.25">
      <c r="A34" t="s">
        <v>338</v>
      </c>
      <c r="B34" t="s">
        <v>339</v>
      </c>
      <c r="C34">
        <v>247222.93011732632</v>
      </c>
      <c r="D34">
        <v>0</v>
      </c>
      <c r="E34">
        <v>120173.68173369349</v>
      </c>
      <c r="F34">
        <v>165711.53512075311</v>
      </c>
      <c r="G34">
        <v>533108.14697177289</v>
      </c>
      <c r="H34">
        <v>355413.08551264077</v>
      </c>
      <c r="I34">
        <v>0</v>
      </c>
      <c r="J34">
        <v>171517.09935549489</v>
      </c>
      <c r="K34">
        <v>233360.26203722917</v>
      </c>
      <c r="L34">
        <v>760290.44690536486</v>
      </c>
    </row>
    <row r="35" spans="1:12" x14ac:dyDescent="0.25">
      <c r="A35" t="s">
        <v>268</v>
      </c>
      <c r="B35" t="s">
        <v>269</v>
      </c>
      <c r="C35">
        <v>753667.06738701742</v>
      </c>
      <c r="D35">
        <v>0</v>
      </c>
      <c r="E35">
        <v>398595.904624741</v>
      </c>
      <c r="F35">
        <v>547877.26425409422</v>
      </c>
      <c r="G35">
        <v>1700140.2362658526</v>
      </c>
      <c r="H35">
        <v>640617.00727896474</v>
      </c>
      <c r="I35">
        <v>0</v>
      </c>
      <c r="J35">
        <v>338806.51893102983</v>
      </c>
      <c r="K35">
        <v>465695.67461598007</v>
      </c>
      <c r="L35">
        <v>1445119.2008259746</v>
      </c>
    </row>
    <row r="36" spans="1:12" x14ac:dyDescent="0.25">
      <c r="A36" t="s">
        <v>340</v>
      </c>
      <c r="B36" t="s">
        <v>341</v>
      </c>
      <c r="C36">
        <v>155596.35784154371</v>
      </c>
      <c r="D36">
        <v>39518.379019392305</v>
      </c>
      <c r="E36">
        <v>87445.243673026634</v>
      </c>
      <c r="F36">
        <v>115225.9137046486</v>
      </c>
      <c r="G36">
        <v>397785.89423861128</v>
      </c>
      <c r="H36">
        <v>140036.72205738933</v>
      </c>
      <c r="I36">
        <v>35801.044453672388</v>
      </c>
      <c r="J36">
        <v>78700.719305723978</v>
      </c>
      <c r="K36">
        <v>103703.32233418374</v>
      </c>
      <c r="L36">
        <v>358241.80815096945</v>
      </c>
    </row>
    <row r="37" spans="1:12" x14ac:dyDescent="0.25">
      <c r="A37" t="s">
        <v>109</v>
      </c>
      <c r="B37" t="s">
        <v>110</v>
      </c>
      <c r="C37">
        <v>151969.38939565056</v>
      </c>
      <c r="D37">
        <v>39801.624122320078</v>
      </c>
      <c r="E37">
        <v>80540.048045916323</v>
      </c>
      <c r="F37">
        <v>111059.38345106077</v>
      </c>
      <c r="G37">
        <v>383370.44501494768</v>
      </c>
      <c r="H37">
        <v>132085.05867462448</v>
      </c>
      <c r="I37">
        <v>33831.380503972068</v>
      </c>
      <c r="J37">
        <v>68459.040839028879</v>
      </c>
      <c r="K37">
        <v>94400.475933401656</v>
      </c>
      <c r="L37">
        <v>328775.95595102711</v>
      </c>
    </row>
    <row r="38" spans="1:12" x14ac:dyDescent="0.25">
      <c r="A38" t="s">
        <v>342</v>
      </c>
      <c r="B38" t="s">
        <v>343</v>
      </c>
      <c r="C38">
        <v>521372.42332937499</v>
      </c>
      <c r="D38">
        <v>137373.04089086127</v>
      </c>
      <c r="E38">
        <v>302045.66694547463</v>
      </c>
      <c r="F38">
        <v>415167.22014915117</v>
      </c>
      <c r="G38">
        <v>1375958.3513148623</v>
      </c>
      <c r="H38">
        <v>469373.72974886751</v>
      </c>
      <c r="I38">
        <v>123782.6961829588</v>
      </c>
      <c r="J38">
        <v>271908.44802352751</v>
      </c>
      <c r="K38">
        <v>373743.36624498677</v>
      </c>
      <c r="L38">
        <v>1238808.2402003407</v>
      </c>
    </row>
    <row r="39" spans="1:12" x14ac:dyDescent="0.25">
      <c r="A39" t="s">
        <v>344</v>
      </c>
      <c r="B39" t="s">
        <v>345</v>
      </c>
      <c r="C39">
        <v>128192.22949847669</v>
      </c>
      <c r="D39">
        <v>23118.831461747723</v>
      </c>
      <c r="E39">
        <v>61322.446865344777</v>
      </c>
      <c r="F39">
        <v>84288.809885245253</v>
      </c>
      <c r="G39">
        <v>296922.31771081442</v>
      </c>
      <c r="H39">
        <v>132954.0393237996</v>
      </c>
      <c r="I39">
        <v>19651.006742485562</v>
      </c>
      <c r="J39">
        <v>64161.653304133797</v>
      </c>
      <c r="K39">
        <v>87296.13714351115</v>
      </c>
      <c r="L39">
        <v>304062.83651393012</v>
      </c>
    </row>
    <row r="40" spans="1:12" x14ac:dyDescent="0.25">
      <c r="A40" t="s">
        <v>346</v>
      </c>
      <c r="B40" t="s">
        <v>347</v>
      </c>
      <c r="C40">
        <v>1713818.262825272</v>
      </c>
      <c r="D40">
        <v>319964.62743058853</v>
      </c>
      <c r="E40">
        <v>1087547.4217561984</v>
      </c>
      <c r="F40">
        <v>1494853.5578641649</v>
      </c>
      <c r="G40">
        <v>4616183.8698762236</v>
      </c>
      <c r="H40">
        <v>1807479.7502843342</v>
      </c>
      <c r="I40">
        <v>486707.00956626522</v>
      </c>
      <c r="J40">
        <v>1163506.5823027398</v>
      </c>
      <c r="K40">
        <v>1583027.0098344553</v>
      </c>
      <c r="L40">
        <v>5040720.351987794</v>
      </c>
    </row>
    <row r="41" spans="1:12" x14ac:dyDescent="0.25">
      <c r="A41" t="s">
        <v>270</v>
      </c>
      <c r="B41" t="s">
        <v>271</v>
      </c>
      <c r="C41">
        <v>38715.774009607056</v>
      </c>
      <c r="D41">
        <v>0</v>
      </c>
      <c r="E41">
        <v>18520.202073426277</v>
      </c>
      <c r="F41">
        <v>25456.351978765349</v>
      </c>
      <c r="G41">
        <v>82692.328061798675</v>
      </c>
      <c r="H41">
        <v>53007.819599684815</v>
      </c>
      <c r="I41">
        <v>0</v>
      </c>
      <c r="J41">
        <v>25580.789879425887</v>
      </c>
      <c r="K41">
        <v>34804.342259831254</v>
      </c>
      <c r="L41">
        <v>113392.95173894195</v>
      </c>
    </row>
    <row r="42" spans="1:12" x14ac:dyDescent="0.25">
      <c r="A42" t="s">
        <v>348</v>
      </c>
      <c r="B42" t="s">
        <v>349</v>
      </c>
      <c r="C42">
        <v>186696.06577966068</v>
      </c>
      <c r="D42">
        <v>0</v>
      </c>
      <c r="E42">
        <v>89308.529998522266</v>
      </c>
      <c r="F42">
        <v>122756.18620871288</v>
      </c>
      <c r="G42">
        <v>398760.78198689583</v>
      </c>
      <c r="H42">
        <v>248528.46566409603</v>
      </c>
      <c r="I42">
        <v>0</v>
      </c>
      <c r="J42">
        <v>119936.16238550498</v>
      </c>
      <c r="K42">
        <v>163181.01452970059</v>
      </c>
      <c r="L42">
        <v>531645.64257930161</v>
      </c>
    </row>
    <row r="43" spans="1:12" x14ac:dyDescent="0.25">
      <c r="A43" t="s">
        <v>350</v>
      </c>
      <c r="B43" t="s">
        <v>351</v>
      </c>
      <c r="C43">
        <v>14625.959070295998</v>
      </c>
      <c r="D43">
        <v>0</v>
      </c>
      <c r="E43">
        <v>6996.5207832943697</v>
      </c>
      <c r="F43">
        <v>9616.8440808669056</v>
      </c>
      <c r="G43">
        <v>31239.323934457272</v>
      </c>
      <c r="H43">
        <v>0</v>
      </c>
      <c r="I43">
        <v>0</v>
      </c>
      <c r="J43">
        <v>0</v>
      </c>
      <c r="K43">
        <v>0</v>
      </c>
      <c r="L43">
        <v>0</v>
      </c>
    </row>
    <row r="44" spans="1:12" x14ac:dyDescent="0.25">
      <c r="A44" t="s">
        <v>352</v>
      </c>
      <c r="B44" t="s">
        <v>1388</v>
      </c>
      <c r="C44">
        <v>36995.072942513398</v>
      </c>
      <c r="D44">
        <v>9747.5920104076504</v>
      </c>
      <c r="E44">
        <v>21111.281233510137</v>
      </c>
      <c r="F44">
        <v>29017.837044772285</v>
      </c>
      <c r="G44">
        <v>96871.783231203473</v>
      </c>
      <c r="H44">
        <v>33295.565648262062</v>
      </c>
      <c r="I44">
        <v>8891.7626747683062</v>
      </c>
      <c r="J44">
        <v>19000.153110159124</v>
      </c>
      <c r="K44">
        <v>26116.053340295057</v>
      </c>
      <c r="L44">
        <v>87303.534773484542</v>
      </c>
    </row>
    <row r="45" spans="1:12" x14ac:dyDescent="0.25">
      <c r="A45" t="s">
        <v>353</v>
      </c>
      <c r="B45" t="s">
        <v>1389</v>
      </c>
      <c r="C45">
        <v>88119.434482081328</v>
      </c>
      <c r="D45">
        <v>22573.165743120931</v>
      </c>
      <c r="E45">
        <v>42048.386874260774</v>
      </c>
      <c r="F45">
        <v>56948.100454925217</v>
      </c>
      <c r="G45">
        <v>209689.08755438824</v>
      </c>
      <c r="H45">
        <v>92980.929461742198</v>
      </c>
      <c r="I45">
        <v>19187.19088165279</v>
      </c>
      <c r="J45">
        <v>44871.221591779846</v>
      </c>
      <c r="K45">
        <v>61050.239701671206</v>
      </c>
      <c r="L45">
        <v>218089.58163684604</v>
      </c>
    </row>
    <row r="46" spans="1:12" x14ac:dyDescent="0.25">
      <c r="A46" t="s">
        <v>354</v>
      </c>
      <c r="B46" t="s">
        <v>355</v>
      </c>
      <c r="C46">
        <v>275312.17073498358</v>
      </c>
      <c r="D46">
        <v>72540.21961233599</v>
      </c>
      <c r="E46">
        <v>139412.21575203945</v>
      </c>
      <c r="F46">
        <v>192240.19730086092</v>
      </c>
      <c r="G46">
        <v>679504.80340021988</v>
      </c>
      <c r="H46">
        <v>297191.38201790513</v>
      </c>
      <c r="I46">
        <v>80025.864072914745</v>
      </c>
      <c r="J46">
        <v>152393.48794173173</v>
      </c>
      <c r="K46">
        <v>207341.33455196244</v>
      </c>
      <c r="L46">
        <v>736952.06858451408</v>
      </c>
    </row>
    <row r="47" spans="1:12" x14ac:dyDescent="0.25">
      <c r="A47" t="s">
        <v>356</v>
      </c>
      <c r="B47" t="s">
        <v>357</v>
      </c>
      <c r="C47">
        <v>121309.42523010213</v>
      </c>
      <c r="D47">
        <v>31963.034266685547</v>
      </c>
      <c r="E47">
        <v>67119.434738345633</v>
      </c>
      <c r="F47">
        <v>92256.874333283035</v>
      </c>
      <c r="G47">
        <v>312648.76856841636</v>
      </c>
      <c r="H47">
        <v>103113.01144558682</v>
      </c>
      <c r="I47">
        <v>27168.579126682715</v>
      </c>
      <c r="J47">
        <v>57051.519527593788</v>
      </c>
      <c r="K47">
        <v>78418.343183290577</v>
      </c>
      <c r="L47">
        <v>265751.45328315388</v>
      </c>
    </row>
    <row r="48" spans="1:12" x14ac:dyDescent="0.25">
      <c r="A48" t="s">
        <v>111</v>
      </c>
      <c r="B48" t="s">
        <v>112</v>
      </c>
      <c r="C48">
        <v>50760.681479262581</v>
      </c>
      <c r="D48">
        <v>0</v>
      </c>
      <c r="E48">
        <v>24282.04271849223</v>
      </c>
      <c r="F48">
        <v>33376.105927714569</v>
      </c>
      <c r="G48">
        <v>108418.83012546938</v>
      </c>
      <c r="H48">
        <v>43146.579257373196</v>
      </c>
      <c r="I48">
        <v>0</v>
      </c>
      <c r="J48">
        <v>20639.736310718396</v>
      </c>
      <c r="K48">
        <v>28369.690038557383</v>
      </c>
      <c r="L48">
        <v>92156.005606648978</v>
      </c>
    </row>
    <row r="49" spans="1:12" x14ac:dyDescent="0.25">
      <c r="A49" t="s">
        <v>113</v>
      </c>
      <c r="B49" t="s">
        <v>114</v>
      </c>
      <c r="C49">
        <v>41296.825610247528</v>
      </c>
      <c r="D49">
        <v>10881.032941850397</v>
      </c>
      <c r="E49">
        <v>19754.882211654698</v>
      </c>
      <c r="F49">
        <v>27153.442110683045</v>
      </c>
      <c r="G49">
        <v>99086.182874435661</v>
      </c>
      <c r="H49">
        <v>35275.665261593349</v>
      </c>
      <c r="I49">
        <v>9294.5564237711951</v>
      </c>
      <c r="J49">
        <v>16898.860299525844</v>
      </c>
      <c r="K49">
        <v>23227.788450643457</v>
      </c>
      <c r="L49">
        <v>84696.870435533841</v>
      </c>
    </row>
    <row r="50" spans="1:12" x14ac:dyDescent="0.25">
      <c r="A50" t="s">
        <v>358</v>
      </c>
      <c r="B50" t="s">
        <v>359</v>
      </c>
      <c r="C50">
        <v>34414.021341872947</v>
      </c>
      <c r="D50">
        <v>9067.5274515419987</v>
      </c>
      <c r="E50">
        <v>16930.777753482525</v>
      </c>
      <c r="F50">
        <v>23271.659567112169</v>
      </c>
      <c r="G50">
        <v>83683.986114009633</v>
      </c>
      <c r="H50">
        <v>42580.051809582874</v>
      </c>
      <c r="I50">
        <v>11465.693975359132</v>
      </c>
      <c r="J50">
        <v>23807.412104964962</v>
      </c>
      <c r="K50">
        <v>32391.545496743132</v>
      </c>
      <c r="L50">
        <v>110244.70338665009</v>
      </c>
    </row>
    <row r="51" spans="1:12" x14ac:dyDescent="0.25">
      <c r="A51" t="s">
        <v>360</v>
      </c>
      <c r="B51" t="s">
        <v>361</v>
      </c>
      <c r="C51">
        <v>84467.834456753146</v>
      </c>
      <c r="D51">
        <v>0</v>
      </c>
      <c r="E51">
        <v>41059.341259011955</v>
      </c>
      <c r="F51">
        <v>56618.107832923997</v>
      </c>
      <c r="G51">
        <v>182145.2835486891</v>
      </c>
      <c r="H51">
        <v>95587.871409267682</v>
      </c>
      <c r="I51">
        <v>0</v>
      </c>
      <c r="J51">
        <v>46129.293225194218</v>
      </c>
      <c r="K51">
        <v>62761.92866526945</v>
      </c>
      <c r="L51">
        <v>204479.09329973135</v>
      </c>
    </row>
    <row r="52" spans="1:12" x14ac:dyDescent="0.25">
      <c r="A52" t="s">
        <v>362</v>
      </c>
      <c r="B52" t="s">
        <v>363</v>
      </c>
      <c r="C52">
        <v>57643.485747637176</v>
      </c>
      <c r="D52">
        <v>15188.108481332847</v>
      </c>
      <c r="E52">
        <v>31664.092374948425</v>
      </c>
      <c r="F52">
        <v>43522.866402272775</v>
      </c>
      <c r="G52">
        <v>148018.55300619121</v>
      </c>
      <c r="H52">
        <v>53007.819599684815</v>
      </c>
      <c r="I52">
        <v>14273.619030549122</v>
      </c>
      <c r="J52">
        <v>28497.683137453583</v>
      </c>
      <c r="K52">
        <v>39170.579762045498</v>
      </c>
      <c r="L52">
        <v>134949.70152973302</v>
      </c>
    </row>
    <row r="53" spans="1:12" x14ac:dyDescent="0.25">
      <c r="A53" t="s">
        <v>364</v>
      </c>
      <c r="B53" t="s">
        <v>365</v>
      </c>
      <c r="C53">
        <v>13047.876867303326</v>
      </c>
      <c r="D53">
        <v>3417.311162017379</v>
      </c>
      <c r="E53">
        <v>6808.6736096702216</v>
      </c>
      <c r="F53">
        <v>9388.7092391401129</v>
      </c>
      <c r="G53">
        <v>32662.570878131042</v>
      </c>
      <c r="H53">
        <v>12165.72908845225</v>
      </c>
      <c r="I53">
        <v>2904.7144877147721</v>
      </c>
      <c r="J53">
        <v>5871.0009559338096</v>
      </c>
      <c r="K53">
        <v>7987.8818301252049</v>
      </c>
      <c r="L53">
        <v>28929.326362226035</v>
      </c>
    </row>
    <row r="54" spans="1:12" x14ac:dyDescent="0.25">
      <c r="A54" t="s">
        <v>366</v>
      </c>
      <c r="B54" t="s">
        <v>367</v>
      </c>
      <c r="C54">
        <v>41986.318782638773</v>
      </c>
      <c r="D54">
        <v>10663.68957666142</v>
      </c>
      <c r="E54">
        <v>31701.278752995968</v>
      </c>
      <c r="F54">
        <v>41772.52708652999</v>
      </c>
      <c r="G54">
        <v>126123.81419882615</v>
      </c>
      <c r="H54">
        <v>47793.935704633841</v>
      </c>
      <c r="I54">
        <v>12869.656502954125</v>
      </c>
      <c r="J54">
        <v>39749.035355984532</v>
      </c>
      <c r="K54">
        <v>54081.16940675435</v>
      </c>
      <c r="L54">
        <v>154493.79697032683</v>
      </c>
    </row>
    <row r="55" spans="1:12" x14ac:dyDescent="0.25">
      <c r="A55" t="s">
        <v>368</v>
      </c>
      <c r="B55" t="s">
        <v>369</v>
      </c>
      <c r="C55">
        <v>73476.057869617842</v>
      </c>
      <c r="D55">
        <v>18661.456759157481</v>
      </c>
      <c r="E55">
        <v>56546.755740877394</v>
      </c>
      <c r="F55">
        <v>74511.21780435952</v>
      </c>
      <c r="G55">
        <v>223195.48817401222</v>
      </c>
      <c r="H55">
        <v>67780.490635662543</v>
      </c>
      <c r="I55">
        <v>18251.512858734946</v>
      </c>
      <c r="J55">
        <v>50892.080166789652</v>
      </c>
      <c r="K55">
        <v>67060.096023923572</v>
      </c>
      <c r="L55">
        <v>203984.17968511072</v>
      </c>
    </row>
    <row r="56" spans="1:12" x14ac:dyDescent="0.25">
      <c r="A56" t="s">
        <v>115</v>
      </c>
      <c r="B56" t="s">
        <v>116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272</v>
      </c>
      <c r="B57" t="s">
        <v>273</v>
      </c>
      <c r="C57">
        <v>56998.619999272443</v>
      </c>
      <c r="D57">
        <v>14928.254023549607</v>
      </c>
      <c r="E57">
        <v>28593.491581728107</v>
      </c>
      <c r="F57">
        <v>39428.528077974399</v>
      </c>
      <c r="G57">
        <v>139948.89368252456</v>
      </c>
      <c r="H57">
        <v>48448.826999381577</v>
      </c>
      <c r="I57">
        <v>12689.015920017166</v>
      </c>
      <c r="J57">
        <v>24304.467844468891</v>
      </c>
      <c r="K57">
        <v>33514.248866278242</v>
      </c>
      <c r="L57">
        <v>118956.55963014587</v>
      </c>
    </row>
    <row r="58" spans="1:12" x14ac:dyDescent="0.25">
      <c r="A58" t="s">
        <v>370</v>
      </c>
      <c r="B58" t="s">
        <v>371</v>
      </c>
      <c r="C58">
        <v>69688.393217292716</v>
      </c>
      <c r="D58">
        <v>16123.689816514952</v>
      </c>
      <c r="E58">
        <v>33336.363732167294</v>
      </c>
      <c r="F58">
        <v>45821.433561777616</v>
      </c>
      <c r="G58">
        <v>164969.88032775256</v>
      </c>
      <c r="H58">
        <v>71256.413232363207</v>
      </c>
      <c r="I58">
        <v>13705.13634403771</v>
      </c>
      <c r="J58">
        <v>34387.291313326605</v>
      </c>
      <c r="K58">
        <v>46786.165005019051</v>
      </c>
      <c r="L58">
        <v>166135.00589474657</v>
      </c>
    </row>
    <row r="59" spans="1:12" x14ac:dyDescent="0.25">
      <c r="A59" t="s">
        <v>372</v>
      </c>
      <c r="B59" t="s">
        <v>373</v>
      </c>
      <c r="C59">
        <v>69359.766505138759</v>
      </c>
      <c r="D59">
        <v>18165.70670335554</v>
      </c>
      <c r="E59">
        <v>38523.59312048537</v>
      </c>
      <c r="F59">
        <v>53121.479364421146</v>
      </c>
      <c r="G59">
        <v>179170.54569340081</v>
      </c>
      <c r="H59">
        <v>79077.239074939673</v>
      </c>
      <c r="I59">
        <v>21293.431668524096</v>
      </c>
      <c r="J59">
        <v>41448.65868093654</v>
      </c>
      <c r="K59">
        <v>56393.618404351524</v>
      </c>
      <c r="L59">
        <v>198212.94782875181</v>
      </c>
    </row>
    <row r="60" spans="1:12" x14ac:dyDescent="0.25">
      <c r="A60" t="s">
        <v>374</v>
      </c>
      <c r="B60" t="s">
        <v>375</v>
      </c>
      <c r="C60">
        <v>290798.48033882648</v>
      </c>
      <c r="D60">
        <v>0</v>
      </c>
      <c r="E60">
        <v>139107.29557373511</v>
      </c>
      <c r="F60">
        <v>191205.48819605962</v>
      </c>
      <c r="G60">
        <v>621111.26410862117</v>
      </c>
      <c r="H60">
        <v>247178.7082880025</v>
      </c>
      <c r="I60">
        <v>0</v>
      </c>
      <c r="J60">
        <v>118241.20123767485</v>
      </c>
      <c r="K60">
        <v>162524.66496665069</v>
      </c>
      <c r="L60">
        <v>527944.57449232799</v>
      </c>
    </row>
    <row r="61" spans="1:12" x14ac:dyDescent="0.25">
      <c r="A61" t="s">
        <v>274</v>
      </c>
      <c r="B61" t="s">
        <v>275</v>
      </c>
      <c r="C61">
        <v>76571.19748566729</v>
      </c>
      <c r="D61">
        <v>0</v>
      </c>
      <c r="E61">
        <v>0</v>
      </c>
      <c r="F61">
        <v>0</v>
      </c>
      <c r="G61">
        <v>76571.19748566729</v>
      </c>
      <c r="H61">
        <v>88636.026215866412</v>
      </c>
      <c r="I61">
        <v>0</v>
      </c>
      <c r="J61">
        <v>0</v>
      </c>
      <c r="K61">
        <v>0</v>
      </c>
      <c r="L61">
        <v>88636.026215866412</v>
      </c>
    </row>
    <row r="62" spans="1:12" x14ac:dyDescent="0.25">
      <c r="A62" t="s">
        <v>376</v>
      </c>
      <c r="B62" t="s">
        <v>377</v>
      </c>
      <c r="C62">
        <v>0</v>
      </c>
      <c r="D62">
        <v>1453.183691881286</v>
      </c>
      <c r="E62">
        <v>0</v>
      </c>
      <c r="F62">
        <v>0</v>
      </c>
      <c r="G62">
        <v>1453.183691881286</v>
      </c>
      <c r="H62">
        <v>0</v>
      </c>
      <c r="I62">
        <v>1235.2061380990931</v>
      </c>
      <c r="J62">
        <v>0</v>
      </c>
      <c r="K62">
        <v>0</v>
      </c>
      <c r="L62">
        <v>1235.2061380990931</v>
      </c>
    </row>
    <row r="63" spans="1:12" x14ac:dyDescent="0.25">
      <c r="A63" t="s">
        <v>378</v>
      </c>
      <c r="B63" t="s">
        <v>379</v>
      </c>
      <c r="C63">
        <v>696883.93217292696</v>
      </c>
      <c r="D63">
        <v>183617.43089372537</v>
      </c>
      <c r="E63">
        <v>358369.55242720636</v>
      </c>
      <c r="F63">
        <v>492585.41720499872</v>
      </c>
      <c r="G63">
        <v>1731456.3326988574</v>
      </c>
      <c r="H63">
        <v>592351.34234698792</v>
      </c>
      <c r="I63">
        <v>156074.81625966655</v>
      </c>
      <c r="J63">
        <v>304614.11956312542</v>
      </c>
      <c r="K63">
        <v>418697.60462424892</v>
      </c>
      <c r="L63">
        <v>1471737.8827940291</v>
      </c>
    </row>
    <row r="64" spans="1:12" x14ac:dyDescent="0.25">
      <c r="A64" t="s">
        <v>380</v>
      </c>
      <c r="B64" t="s">
        <v>381</v>
      </c>
      <c r="C64">
        <v>361347.22408966586</v>
      </c>
      <c r="D64">
        <v>0</v>
      </c>
      <c r="E64">
        <v>172855.21935197857</v>
      </c>
      <c r="F64">
        <v>237592.61846847655</v>
      </c>
      <c r="G64">
        <v>771795.061910121</v>
      </c>
      <c r="H64">
        <v>425800.51809582871</v>
      </c>
      <c r="I64">
        <v>0</v>
      </c>
      <c r="J64">
        <v>205485.0334576834</v>
      </c>
      <c r="K64">
        <v>279575.86405438214</v>
      </c>
      <c r="L64">
        <v>910861.41560789431</v>
      </c>
    </row>
    <row r="65" spans="1:12" x14ac:dyDescent="0.25">
      <c r="A65" t="s">
        <v>382</v>
      </c>
      <c r="B65" t="s">
        <v>383</v>
      </c>
      <c r="C65">
        <v>548043.28986932652</v>
      </c>
      <c r="D65">
        <v>0</v>
      </c>
      <c r="E65">
        <v>262163.74935050082</v>
      </c>
      <c r="F65">
        <v>360348.80467718944</v>
      </c>
      <c r="G65">
        <v>1170555.8438970167</v>
      </c>
      <c r="H65">
        <v>784689.5262051702</v>
      </c>
      <c r="I65">
        <v>0</v>
      </c>
      <c r="J65">
        <v>423131.42603837256</v>
      </c>
      <c r="K65">
        <v>575698.05475688085</v>
      </c>
      <c r="L65">
        <v>1783519.0070004235</v>
      </c>
    </row>
    <row r="66" spans="1:12" x14ac:dyDescent="0.25">
      <c r="A66" t="s">
        <v>117</v>
      </c>
      <c r="B66" t="s">
        <v>118</v>
      </c>
      <c r="C66">
        <v>0</v>
      </c>
      <c r="D66">
        <v>0</v>
      </c>
      <c r="E66">
        <v>0</v>
      </c>
      <c r="F66">
        <v>0</v>
      </c>
      <c r="G66">
        <v>0</v>
      </c>
      <c r="H66">
        <v>18248.593632678374</v>
      </c>
      <c r="I66">
        <v>0</v>
      </c>
      <c r="J66">
        <v>8806.5014339007175</v>
      </c>
      <c r="K66">
        <v>11981.822745187807</v>
      </c>
      <c r="L66">
        <v>39036.9178117669</v>
      </c>
    </row>
    <row r="67" spans="1:12" x14ac:dyDescent="0.25">
      <c r="A67" t="s">
        <v>119</v>
      </c>
      <c r="B67" t="s">
        <v>120</v>
      </c>
      <c r="C67">
        <v>164326.95190744323</v>
      </c>
      <c r="D67">
        <v>0</v>
      </c>
      <c r="E67">
        <v>78607.968800542629</v>
      </c>
      <c r="F67">
        <v>108048.0717320929</v>
      </c>
      <c r="G67">
        <v>350982.99244007876</v>
      </c>
      <c r="H67">
        <v>139905.88451720099</v>
      </c>
      <c r="I67">
        <v>0</v>
      </c>
      <c r="J67">
        <v>67516.5109932388</v>
      </c>
      <c r="K67">
        <v>91860.641046439821</v>
      </c>
      <c r="L67">
        <v>299283.03655687964</v>
      </c>
    </row>
    <row r="68" spans="1:12" x14ac:dyDescent="0.25">
      <c r="A68" t="s">
        <v>121</v>
      </c>
      <c r="B68" t="s">
        <v>122</v>
      </c>
      <c r="C68">
        <v>1816199.9763173445</v>
      </c>
      <c r="D68">
        <v>0</v>
      </c>
      <c r="E68">
        <v>1161010.8899807895</v>
      </c>
      <c r="F68">
        <v>1595830.4207132678</v>
      </c>
      <c r="G68">
        <v>4573041.2870114017</v>
      </c>
      <c r="H68">
        <v>2055139.2352992555</v>
      </c>
      <c r="I68">
        <v>0</v>
      </c>
      <c r="J68">
        <v>1364378.6864379041</v>
      </c>
      <c r="K68">
        <v>1856326.6810223104</v>
      </c>
      <c r="L68">
        <v>5275844.6027594702</v>
      </c>
    </row>
    <row r="69" spans="1:12" x14ac:dyDescent="0.25">
      <c r="A69" t="s">
        <v>384</v>
      </c>
      <c r="B69" t="s">
        <v>385</v>
      </c>
      <c r="C69">
        <v>340698.81128454203</v>
      </c>
      <c r="D69">
        <v>0</v>
      </c>
      <c r="E69">
        <v>162977.7782461512</v>
      </c>
      <c r="F69">
        <v>224015.89741313504</v>
      </c>
      <c r="G69">
        <v>727692.48694382829</v>
      </c>
      <c r="H69">
        <v>392779.25342717272</v>
      </c>
      <c r="I69">
        <v>0</v>
      </c>
      <c r="J69">
        <v>189549.45943443445</v>
      </c>
      <c r="K69">
        <v>257894.47051547089</v>
      </c>
      <c r="L69">
        <v>840223.18337707804</v>
      </c>
    </row>
    <row r="70" spans="1:12" x14ac:dyDescent="0.25">
      <c r="A70" t="s">
        <v>386</v>
      </c>
      <c r="B70" t="s">
        <v>387</v>
      </c>
      <c r="C70">
        <v>282194.97500335809</v>
      </c>
      <c r="D70">
        <v>74353.725102644399</v>
      </c>
      <c r="E70">
        <v>159867.2897299169</v>
      </c>
      <c r="F70">
        <v>219740.47481346581</v>
      </c>
      <c r="G70">
        <v>736156.46464938519</v>
      </c>
      <c r="H70">
        <v>253975.4775030223</v>
      </c>
      <c r="I70">
        <v>66918.352592379961</v>
      </c>
      <c r="J70">
        <v>143880.5607569252</v>
      </c>
      <c r="K70">
        <v>197766.42733211923</v>
      </c>
      <c r="L70">
        <v>662540.81818444666</v>
      </c>
    </row>
    <row r="71" spans="1:12" x14ac:dyDescent="0.25">
      <c r="A71" t="s">
        <v>388</v>
      </c>
      <c r="B71" t="s">
        <v>389</v>
      </c>
      <c r="C71">
        <v>16099.928160323327</v>
      </c>
      <c r="D71">
        <v>4186.1103992758553</v>
      </c>
      <c r="E71">
        <v>10866.384934651529</v>
      </c>
      <c r="F71">
        <v>14716.854244394846</v>
      </c>
      <c r="G71">
        <v>45869.277738645556</v>
      </c>
      <c r="H71">
        <v>19117.574281853544</v>
      </c>
      <c r="I71">
        <v>5147.8626011816523</v>
      </c>
      <c r="J71">
        <v>12395.88464333475</v>
      </c>
      <c r="K71">
        <v>16865.4139990806</v>
      </c>
      <c r="L71">
        <v>53526.735525450546</v>
      </c>
    </row>
    <row r="72" spans="1:12" x14ac:dyDescent="0.25">
      <c r="A72" t="s">
        <v>390</v>
      </c>
      <c r="B72" t="s">
        <v>391</v>
      </c>
      <c r="C72">
        <v>60224.537348277634</v>
      </c>
      <c r="D72">
        <v>15868.173040198501</v>
      </c>
      <c r="E72">
        <v>30891.244342424343</v>
      </c>
      <c r="F72">
        <v>42460.572834198923</v>
      </c>
      <c r="G72">
        <v>149444.52756509939</v>
      </c>
      <c r="H72">
        <v>59959.664793086093</v>
      </c>
      <c r="I72">
        <v>16145.569067342451</v>
      </c>
      <c r="J72">
        <v>30595.610185239537</v>
      </c>
      <c r="K72">
        <v>41627.334165779663</v>
      </c>
      <c r="L72">
        <v>148328.17821144775</v>
      </c>
    </row>
    <row r="73" spans="1:12" x14ac:dyDescent="0.25">
      <c r="A73" t="s">
        <v>123</v>
      </c>
      <c r="B73" t="s">
        <v>124</v>
      </c>
      <c r="C73">
        <v>258965.51059759385</v>
      </c>
      <c r="D73">
        <v>0</v>
      </c>
      <c r="E73">
        <v>123879.573868918</v>
      </c>
      <c r="F73">
        <v>170274.70990240821</v>
      </c>
      <c r="G73">
        <v>553119.79436892003</v>
      </c>
      <c r="H73">
        <v>254611.33020832212</v>
      </c>
      <c r="I73">
        <v>0</v>
      </c>
      <c r="J73">
        <v>122871.66286347194</v>
      </c>
      <c r="K73">
        <v>167174.95544476321</v>
      </c>
      <c r="L73">
        <v>544657.94851655723</v>
      </c>
    </row>
    <row r="74" spans="1:12" x14ac:dyDescent="0.25">
      <c r="A74" t="s">
        <v>392</v>
      </c>
      <c r="B74" t="s">
        <v>393</v>
      </c>
      <c r="C74">
        <v>400062.99809927295</v>
      </c>
      <c r="D74">
        <v>105410.00662417576</v>
      </c>
      <c r="E74">
        <v>195203.23852394748</v>
      </c>
      <c r="F74">
        <v>268310.37412871973</v>
      </c>
      <c r="G74">
        <v>968986.61737611587</v>
      </c>
      <c r="H74">
        <v>374530.65979449439</v>
      </c>
      <c r="I74">
        <v>89598.505630549393</v>
      </c>
      <c r="J74">
        <v>180742.95800053378</v>
      </c>
      <c r="K74">
        <v>245912.64777028307</v>
      </c>
      <c r="L74">
        <v>890784.77119586058</v>
      </c>
    </row>
    <row r="75" spans="1:12" x14ac:dyDescent="0.25">
      <c r="A75" t="s">
        <v>394</v>
      </c>
      <c r="B75" t="s">
        <v>395</v>
      </c>
      <c r="C75">
        <v>27407.73587200031</v>
      </c>
      <c r="D75">
        <v>6961.0195847650912</v>
      </c>
      <c r="E75">
        <v>18432.836413721761</v>
      </c>
      <c r="F75">
        <v>24288.804384618092</v>
      </c>
      <c r="G75">
        <v>77090.396255105254</v>
      </c>
      <c r="H75">
        <v>23296.575491200263</v>
      </c>
      <c r="I75">
        <v>5916.8666470503276</v>
      </c>
      <c r="J75">
        <v>15667.910951663496</v>
      </c>
      <c r="K75">
        <v>20645.483726925377</v>
      </c>
      <c r="L75">
        <v>65526.836816839466</v>
      </c>
    </row>
    <row r="76" spans="1:12" x14ac:dyDescent="0.25">
      <c r="A76" t="s">
        <v>125</v>
      </c>
      <c r="B76" t="s">
        <v>126</v>
      </c>
      <c r="C76">
        <v>2020103.0527679417</v>
      </c>
      <c r="D76">
        <v>0</v>
      </c>
      <c r="E76">
        <v>1325017.5683421309</v>
      </c>
      <c r="F76">
        <v>1821260.5599030007</v>
      </c>
      <c r="G76">
        <v>5166381.1810130728</v>
      </c>
      <c r="H76">
        <v>2135085.4550233702</v>
      </c>
      <c r="I76">
        <v>0</v>
      </c>
      <c r="J76">
        <v>1441540.4132873195</v>
      </c>
      <c r="K76">
        <v>1961310.2707896708</v>
      </c>
      <c r="L76">
        <v>5537936.1391003607</v>
      </c>
    </row>
    <row r="77" spans="1:12" x14ac:dyDescent="0.25">
      <c r="A77" t="s">
        <v>276</v>
      </c>
      <c r="B77" t="s">
        <v>277</v>
      </c>
      <c r="C77">
        <v>2277347.8622984411</v>
      </c>
      <c r="D77">
        <v>0</v>
      </c>
      <c r="E77">
        <v>1571130.4758956628</v>
      </c>
      <c r="F77">
        <v>2159547.1928652599</v>
      </c>
      <c r="G77">
        <v>6008025.5310593639</v>
      </c>
      <c r="H77">
        <v>2287157.0686290232</v>
      </c>
      <c r="I77">
        <v>0</v>
      </c>
      <c r="J77">
        <v>1588315.4371856647</v>
      </c>
      <c r="K77">
        <v>2161007.316542801</v>
      </c>
      <c r="L77">
        <v>6036479.8223574888</v>
      </c>
    </row>
    <row r="78" spans="1:12" x14ac:dyDescent="0.25">
      <c r="A78" t="s">
        <v>396</v>
      </c>
      <c r="B78" t="s">
        <v>397</v>
      </c>
      <c r="C78">
        <v>13904.48341118833</v>
      </c>
      <c r="D78">
        <v>3615.2771630109637</v>
      </c>
      <c r="E78">
        <v>10424.757619893451</v>
      </c>
      <c r="F78">
        <v>14375.049208215831</v>
      </c>
      <c r="G78">
        <v>42319.567402308574</v>
      </c>
      <c r="H78">
        <v>14772.671035977735</v>
      </c>
      <c r="I78">
        <v>3977.8938281858209</v>
      </c>
      <c r="J78">
        <v>11065.798892837665</v>
      </c>
      <c r="K78">
        <v>15055.745106391043</v>
      </c>
      <c r="L78">
        <v>44872.108863392263</v>
      </c>
    </row>
    <row r="79" spans="1:12" x14ac:dyDescent="0.25">
      <c r="A79" t="s">
        <v>398</v>
      </c>
      <c r="B79" t="s">
        <v>399</v>
      </c>
      <c r="C79">
        <v>3659070.8191746403</v>
      </c>
      <c r="D79">
        <v>964104.85628520336</v>
      </c>
      <c r="E79">
        <v>2893061.3438922218</v>
      </c>
      <c r="F79">
        <v>3976565.027438466</v>
      </c>
      <c r="G79">
        <v>11492802.046790531</v>
      </c>
      <c r="H79">
        <v>3681871.0105551565</v>
      </c>
      <c r="I79">
        <v>991431.53823666624</v>
      </c>
      <c r="J79">
        <v>2934452.0849390598</v>
      </c>
      <c r="K79">
        <v>3992514.507592936</v>
      </c>
      <c r="L79">
        <v>11600269.14132382</v>
      </c>
    </row>
    <row r="80" spans="1:12" x14ac:dyDescent="0.25">
      <c r="A80" t="s">
        <v>127</v>
      </c>
      <c r="B80" t="s">
        <v>128</v>
      </c>
      <c r="C80">
        <v>708019.00264156493</v>
      </c>
      <c r="D80">
        <v>185434.09515999569</v>
      </c>
      <c r="E80">
        <v>400912.75489490537</v>
      </c>
      <c r="F80">
        <v>552832.09355562367</v>
      </c>
      <c r="G80">
        <v>1847197.9462520897</v>
      </c>
      <c r="H80">
        <v>686494.71284837718</v>
      </c>
      <c r="I80">
        <v>157618.98088599634</v>
      </c>
      <c r="J80">
        <v>352050.3787504597</v>
      </c>
      <c r="K80">
        <v>478987.62831357913</v>
      </c>
      <c r="L80">
        <v>1675151.7007984123</v>
      </c>
    </row>
    <row r="81" spans="1:12" x14ac:dyDescent="0.25">
      <c r="A81" t="s">
        <v>129</v>
      </c>
      <c r="B81" t="s">
        <v>130</v>
      </c>
      <c r="C81">
        <v>314027.94474459044</v>
      </c>
      <c r="D81">
        <v>0</v>
      </c>
      <c r="E81">
        <v>150219.41681779089</v>
      </c>
      <c r="F81">
        <v>206479.2993833189</v>
      </c>
      <c r="G81">
        <v>670726.66094570025</v>
      </c>
      <c r="H81">
        <v>342378.37577501335</v>
      </c>
      <c r="I81">
        <v>0</v>
      </c>
      <c r="J81">
        <v>165226.74118842298</v>
      </c>
      <c r="K81">
        <v>224801.81721923788</v>
      </c>
      <c r="L81">
        <v>732406.93418267427</v>
      </c>
    </row>
    <row r="82" spans="1:12" x14ac:dyDescent="0.25">
      <c r="A82" t="s">
        <v>400</v>
      </c>
      <c r="B82" t="s">
        <v>401</v>
      </c>
      <c r="C82">
        <v>123367.20827491388</v>
      </c>
      <c r="D82">
        <v>31332.816286980466</v>
      </c>
      <c r="E82">
        <v>55362.458950249391</v>
      </c>
      <c r="F82">
        <v>72950.679185382731</v>
      </c>
      <c r="G82">
        <v>283013.16269752651</v>
      </c>
      <c r="H82">
        <v>106015.63919936963</v>
      </c>
      <c r="I82">
        <v>26632.893843933394</v>
      </c>
      <c r="J82">
        <v>51161.579758851782</v>
      </c>
      <c r="K82">
        <v>69608.684519662507</v>
      </c>
      <c r="L82">
        <v>253418.79732181731</v>
      </c>
    </row>
    <row r="83" spans="1:12" x14ac:dyDescent="0.25">
      <c r="A83" t="s">
        <v>402</v>
      </c>
      <c r="B83" t="s">
        <v>403</v>
      </c>
      <c r="C83">
        <v>1082320.9712019039</v>
      </c>
      <c r="D83">
        <v>208730.02119749374</v>
      </c>
      <c r="E83">
        <v>634419.81102636911</v>
      </c>
      <c r="F83">
        <v>872021.47945037286</v>
      </c>
      <c r="G83">
        <v>2797492.2828761395</v>
      </c>
      <c r="H83">
        <v>1214834.9475468751</v>
      </c>
      <c r="I83">
        <v>177420.51801786968</v>
      </c>
      <c r="J83">
        <v>734504.15530843334</v>
      </c>
      <c r="K83">
        <v>999341.07324744947</v>
      </c>
      <c r="L83">
        <v>3126100.6941206278</v>
      </c>
    </row>
    <row r="84" spans="1:12" x14ac:dyDescent="0.25">
      <c r="A84" t="s">
        <v>131</v>
      </c>
      <c r="B84" t="s">
        <v>132</v>
      </c>
      <c r="C84">
        <v>43017.526677341186</v>
      </c>
      <c r="D84">
        <v>0</v>
      </c>
      <c r="E84">
        <v>20578.002303806978</v>
      </c>
      <c r="F84">
        <v>28284.835531961493</v>
      </c>
      <c r="G84">
        <v>91880.364513109656</v>
      </c>
      <c r="H84">
        <v>36564.897675740009</v>
      </c>
      <c r="I84">
        <v>0</v>
      </c>
      <c r="J84">
        <v>0</v>
      </c>
      <c r="K84">
        <v>0</v>
      </c>
      <c r="L84">
        <v>36564.897675740009</v>
      </c>
    </row>
    <row r="85" spans="1:12" x14ac:dyDescent="0.25">
      <c r="A85" t="s">
        <v>404</v>
      </c>
      <c r="B85" t="s">
        <v>405</v>
      </c>
      <c r="C85">
        <v>30112.268674138817</v>
      </c>
      <c r="D85">
        <v>7934.0865200992503</v>
      </c>
      <c r="E85">
        <v>21236.61155654148</v>
      </c>
      <c r="F85">
        <v>29190.105835579689</v>
      </c>
      <c r="G85">
        <v>88473.072586359238</v>
      </c>
      <c r="H85">
        <v>28676.361422780301</v>
      </c>
      <c r="I85">
        <v>7721.7939017724757</v>
      </c>
      <c r="J85">
        <v>19112.950400887334</v>
      </c>
      <c r="K85">
        <v>26271.095252021722</v>
      </c>
      <c r="L85">
        <v>81782.200977461835</v>
      </c>
    </row>
    <row r="86" spans="1:12" x14ac:dyDescent="0.25">
      <c r="A86" t="s">
        <v>133</v>
      </c>
      <c r="B86" t="s">
        <v>134</v>
      </c>
      <c r="C86">
        <v>11634.02024081536</v>
      </c>
      <c r="D86">
        <v>3047.0142868761773</v>
      </c>
      <c r="E86">
        <v>7943.5333803979074</v>
      </c>
      <c r="F86">
        <v>10953.605579511985</v>
      </c>
      <c r="G86">
        <v>33578.173487601431</v>
      </c>
      <c r="H86">
        <v>0</v>
      </c>
      <c r="I86">
        <v>2589.9621438447507</v>
      </c>
      <c r="J86">
        <v>0</v>
      </c>
      <c r="K86">
        <v>0</v>
      </c>
      <c r="L86">
        <v>2589.9621438447507</v>
      </c>
    </row>
    <row r="87" spans="1:12" x14ac:dyDescent="0.25">
      <c r="A87" t="s">
        <v>406</v>
      </c>
      <c r="B87" t="s">
        <v>407</v>
      </c>
      <c r="C87">
        <v>189277.11738030115</v>
      </c>
      <c r="D87">
        <v>49871.400983481006</v>
      </c>
      <c r="E87">
        <v>113302.23013886208</v>
      </c>
      <c r="F87">
        <v>156236.25920459378</v>
      </c>
      <c r="G87">
        <v>508687.00770723802</v>
      </c>
      <c r="H87">
        <v>170349.40564227104</v>
      </c>
      <c r="I87">
        <v>44884.260885132906</v>
      </c>
      <c r="J87">
        <v>101972.00712497588</v>
      </c>
      <c r="K87">
        <v>140612.63328413441</v>
      </c>
      <c r="L87">
        <v>457818.30693651421</v>
      </c>
    </row>
    <row r="88" spans="1:12" x14ac:dyDescent="0.25">
      <c r="A88" t="s">
        <v>408</v>
      </c>
      <c r="B88" t="s">
        <v>409</v>
      </c>
      <c r="C88">
        <v>97219.610290791054</v>
      </c>
      <c r="D88">
        <v>25615.765050606151</v>
      </c>
      <c r="E88">
        <v>48732.351761822662</v>
      </c>
      <c r="F88">
        <v>66983.496955573952</v>
      </c>
      <c r="G88">
        <v>238551.2240587938</v>
      </c>
      <c r="H88">
        <v>106884.61984854478</v>
      </c>
      <c r="I88">
        <v>28781.231815697403</v>
      </c>
      <c r="J88">
        <v>57337.369535840786</v>
      </c>
      <c r="K88">
        <v>78011.251529368747</v>
      </c>
      <c r="L88">
        <v>271014.47272945172</v>
      </c>
    </row>
    <row r="89" spans="1:12" x14ac:dyDescent="0.25">
      <c r="A89" t="s">
        <v>410</v>
      </c>
      <c r="B89" t="s">
        <v>411</v>
      </c>
      <c r="C89">
        <v>574714.15640927781</v>
      </c>
      <c r="D89">
        <v>151427.7084407513</v>
      </c>
      <c r="E89">
        <v>301638.86041793058</v>
      </c>
      <c r="F89">
        <v>414608.05723551963</v>
      </c>
      <c r="G89">
        <v>1442388.7825034794</v>
      </c>
      <c r="H89">
        <v>715171.07427115738</v>
      </c>
      <c r="I89">
        <v>192576.86003511361</v>
      </c>
      <c r="J89">
        <v>421006.16562804556</v>
      </c>
      <c r="K89">
        <v>572806.49859067413</v>
      </c>
      <c r="L89">
        <v>1901560.598524991</v>
      </c>
    </row>
    <row r="90" spans="1:12" x14ac:dyDescent="0.25">
      <c r="A90" t="s">
        <v>412</v>
      </c>
      <c r="B90" t="s">
        <v>413</v>
      </c>
      <c r="C90">
        <v>319190.04794587148</v>
      </c>
      <c r="D90">
        <v>84101.31711305202</v>
      </c>
      <c r="E90">
        <v>197093.95566462239</v>
      </c>
      <c r="F90">
        <v>270909.19895981409</v>
      </c>
      <c r="G90">
        <v>871294.51968335989</v>
      </c>
      <c r="H90">
        <v>287271.04315128434</v>
      </c>
      <c r="I90">
        <v>75691.185401746814</v>
      </c>
      <c r="J90">
        <v>177384.56009816015</v>
      </c>
      <c r="K90">
        <v>243818.27906383268</v>
      </c>
      <c r="L90">
        <v>784165.06771502399</v>
      </c>
    </row>
    <row r="91" spans="1:12" x14ac:dyDescent="0.25">
      <c r="A91" t="s">
        <v>135</v>
      </c>
      <c r="B91" t="s">
        <v>136</v>
      </c>
      <c r="C91">
        <v>186696.06577966068</v>
      </c>
      <c r="D91">
        <v>0</v>
      </c>
      <c r="E91">
        <v>89308.529998522266</v>
      </c>
      <c r="F91">
        <v>122756.18620871288</v>
      </c>
      <c r="G91">
        <v>398760.78198689583</v>
      </c>
      <c r="H91">
        <v>159023.45879905444</v>
      </c>
      <c r="I91">
        <v>0</v>
      </c>
      <c r="J91">
        <v>76742.369638277669</v>
      </c>
      <c r="K91">
        <v>104413.02677949372</v>
      </c>
      <c r="L91">
        <v>340178.85521682585</v>
      </c>
    </row>
    <row r="92" spans="1:12" x14ac:dyDescent="0.25">
      <c r="A92" t="s">
        <v>414</v>
      </c>
      <c r="B92" t="s">
        <v>415</v>
      </c>
      <c r="C92">
        <v>32963.057348976843</v>
      </c>
      <c r="D92">
        <v>6737.4880259950523</v>
      </c>
      <c r="E92">
        <v>16023.15756449248</v>
      </c>
      <c r="F92">
        <v>22094.871349433746</v>
      </c>
      <c r="G92">
        <v>77818.574288898119</v>
      </c>
      <c r="H92">
        <v>30414.322721130629</v>
      </c>
      <c r="I92">
        <v>5726.8648220957939</v>
      </c>
      <c r="J92">
        <v>14677.502389834528</v>
      </c>
      <c r="K92">
        <v>19969.704575313011</v>
      </c>
      <c r="L92">
        <v>70788.394508373953</v>
      </c>
    </row>
    <row r="93" spans="1:12" x14ac:dyDescent="0.25">
      <c r="A93" t="s">
        <v>416</v>
      </c>
      <c r="B93" t="s">
        <v>417</v>
      </c>
      <c r="C93">
        <v>36995.072942513398</v>
      </c>
      <c r="D93">
        <v>9747.5920104076504</v>
      </c>
      <c r="E93">
        <v>22487.548316589902</v>
      </c>
      <c r="F93">
        <v>30909.540987567634</v>
      </c>
      <c r="G93">
        <v>100139.75425707857</v>
      </c>
      <c r="H93">
        <v>33295.565648262062</v>
      </c>
      <c r="I93">
        <v>8772.8328093668861</v>
      </c>
      <c r="J93">
        <v>20238.793484930913</v>
      </c>
      <c r="K93">
        <v>27818.586888810871</v>
      </c>
      <c r="L93">
        <v>90125.778831370728</v>
      </c>
    </row>
    <row r="94" spans="1:12" x14ac:dyDescent="0.25">
      <c r="A94" t="s">
        <v>137</v>
      </c>
      <c r="B94" t="s">
        <v>138</v>
      </c>
      <c r="C94">
        <v>13765.608536749176</v>
      </c>
      <c r="D94">
        <v>0</v>
      </c>
      <c r="E94">
        <v>6584.9607372182309</v>
      </c>
      <c r="F94">
        <v>9051.1473702276762</v>
      </c>
      <c r="G94">
        <v>29401.716644195083</v>
      </c>
      <c r="H94">
        <v>11700.767256236799</v>
      </c>
      <c r="I94">
        <v>0</v>
      </c>
      <c r="J94">
        <v>5597.2166266354961</v>
      </c>
      <c r="K94">
        <v>7693.4752646935249</v>
      </c>
      <c r="L94">
        <v>24991.459147565816</v>
      </c>
    </row>
    <row r="95" spans="1:12" x14ac:dyDescent="0.25">
      <c r="A95" t="s">
        <v>139</v>
      </c>
      <c r="B95" t="s">
        <v>140</v>
      </c>
      <c r="C95">
        <v>48757.855662028225</v>
      </c>
      <c r="D95">
        <v>0</v>
      </c>
      <c r="E95">
        <v>23700.920564145108</v>
      </c>
      <c r="F95">
        <v>32681.99720437076</v>
      </c>
      <c r="G95">
        <v>105140.7734305441</v>
      </c>
      <c r="H95">
        <v>41444.177312723994</v>
      </c>
      <c r="I95">
        <v>0</v>
      </c>
      <c r="J95">
        <v>20145.782479523343</v>
      </c>
      <c r="K95">
        <v>27779.697623715147</v>
      </c>
      <c r="L95">
        <v>89369.657415962487</v>
      </c>
    </row>
    <row r="96" spans="1:12" x14ac:dyDescent="0.25">
      <c r="A96" t="s">
        <v>418</v>
      </c>
      <c r="B96" t="s">
        <v>419</v>
      </c>
      <c r="C96">
        <v>20888.346748971675</v>
      </c>
      <c r="D96">
        <v>5431.1376224050373</v>
      </c>
      <c r="E96">
        <v>13000.348189112901</v>
      </c>
      <c r="F96">
        <v>17606.980663407961</v>
      </c>
      <c r="G96">
        <v>56926.813223897567</v>
      </c>
      <c r="H96">
        <v>21724.51622937902</v>
      </c>
      <c r="I96">
        <v>5849.8438649791478</v>
      </c>
      <c r="J96">
        <v>11700.313370201611</v>
      </c>
      <c r="K96">
        <v>15846.282597067166</v>
      </c>
      <c r="L96">
        <v>55120.956061626945</v>
      </c>
    </row>
    <row r="97" spans="1:12" x14ac:dyDescent="0.25">
      <c r="A97" t="s">
        <v>420</v>
      </c>
      <c r="B97" t="s">
        <v>421</v>
      </c>
      <c r="C97">
        <v>202182.37538350347</v>
      </c>
      <c r="D97">
        <v>53271.723777809246</v>
      </c>
      <c r="E97">
        <v>108082.58230836826</v>
      </c>
      <c r="F97">
        <v>148561.45991860051</v>
      </c>
      <c r="G97">
        <v>512098.14138828148</v>
      </c>
      <c r="H97">
        <v>171855.01907597794</v>
      </c>
      <c r="I97">
        <v>45280.96521113786</v>
      </c>
      <c r="J97">
        <v>91870.194962113019</v>
      </c>
      <c r="K97">
        <v>126277.24093081043</v>
      </c>
      <c r="L97">
        <v>435283.42018003925</v>
      </c>
    </row>
    <row r="98" spans="1:12" x14ac:dyDescent="0.25">
      <c r="A98" t="s">
        <v>57</v>
      </c>
      <c r="B98" t="s">
        <v>17</v>
      </c>
      <c r="C98">
        <v>2596937.9161652727</v>
      </c>
      <c r="D98">
        <v>684250.34118658223</v>
      </c>
      <c r="E98">
        <v>1895154.9630996815</v>
      </c>
      <c r="F98">
        <v>2613058.4321100381</v>
      </c>
      <c r="G98">
        <v>7789401.6525615752</v>
      </c>
      <c r="H98">
        <v>2879981.3697507121</v>
      </c>
      <c r="I98">
        <v>775503.63696048188</v>
      </c>
      <c r="J98">
        <v>2177885.8989718468</v>
      </c>
      <c r="K98">
        <v>2963156.5947711691</v>
      </c>
      <c r="L98">
        <v>8796527.5004542097</v>
      </c>
    </row>
    <row r="99" spans="1:12" x14ac:dyDescent="0.25">
      <c r="A99" t="s">
        <v>141</v>
      </c>
      <c r="B99" t="s">
        <v>142</v>
      </c>
      <c r="C99">
        <v>101636.0934926786</v>
      </c>
      <c r="D99">
        <v>0</v>
      </c>
      <c r="E99">
        <v>0</v>
      </c>
      <c r="F99">
        <v>0</v>
      </c>
      <c r="G99">
        <v>101636.0934926786</v>
      </c>
      <c r="H99">
        <v>95587.871409267682</v>
      </c>
      <c r="I99">
        <v>0</v>
      </c>
      <c r="J99">
        <v>46129.293225194218</v>
      </c>
      <c r="K99">
        <v>62761.928665269479</v>
      </c>
      <c r="L99">
        <v>204479.09329973138</v>
      </c>
    </row>
    <row r="100" spans="1:12" x14ac:dyDescent="0.25">
      <c r="A100" t="s">
        <v>422</v>
      </c>
      <c r="B100" t="s">
        <v>423</v>
      </c>
      <c r="C100">
        <v>101797.67710713435</v>
      </c>
      <c r="D100">
        <v>26749.205982048908</v>
      </c>
      <c r="E100">
        <v>57685.134492198405</v>
      </c>
      <c r="F100">
        <v>79543.973792301535</v>
      </c>
      <c r="G100">
        <v>265775.99137368321</v>
      </c>
      <c r="H100">
        <v>119919.32958617219</v>
      </c>
      <c r="I100">
        <v>32291.138134684901</v>
      </c>
      <c r="J100">
        <v>66777.435844328968</v>
      </c>
      <c r="K100">
        <v>90855.080836624635</v>
      </c>
      <c r="L100">
        <v>309842.98440181068</v>
      </c>
    </row>
    <row r="101" spans="1:12" x14ac:dyDescent="0.25">
      <c r="A101" t="s">
        <v>424</v>
      </c>
      <c r="B101" t="s">
        <v>425</v>
      </c>
      <c r="C101">
        <v>430175.2667734116</v>
      </c>
      <c r="D101">
        <v>113344.093144275</v>
      </c>
      <c r="E101">
        <v>303180.72897455021</v>
      </c>
      <c r="F101">
        <v>416727.38339225843</v>
      </c>
      <c r="G101">
        <v>1263427.4722844954</v>
      </c>
      <c r="H101">
        <v>387157.74009607045</v>
      </c>
      <c r="I101">
        <v>102009.6838298475</v>
      </c>
      <c r="J101">
        <v>272862.65607709519</v>
      </c>
      <c r="K101">
        <v>375054.64505303261</v>
      </c>
      <c r="L101">
        <v>1137084.7250560457</v>
      </c>
    </row>
    <row r="102" spans="1:12" x14ac:dyDescent="0.25">
      <c r="A102" t="s">
        <v>74</v>
      </c>
      <c r="B102" t="s">
        <v>41</v>
      </c>
      <c r="C102">
        <v>64396.362361819156</v>
      </c>
      <c r="D102">
        <v>16865.763689402575</v>
      </c>
      <c r="E102">
        <v>39718.924816680737</v>
      </c>
      <c r="F102">
        <v>54769.762478472476</v>
      </c>
      <c r="G102">
        <v>175750.81334637495</v>
      </c>
      <c r="H102">
        <v>71140.374322590331</v>
      </c>
      <c r="I102">
        <v>19156.241634533319</v>
      </c>
      <c r="J102">
        <v>41549.345956977952</v>
      </c>
      <c r="K102">
        <v>56530.610046637499</v>
      </c>
      <c r="L102">
        <v>188376.57196073912</v>
      </c>
    </row>
    <row r="103" spans="1:12" x14ac:dyDescent="0.25">
      <c r="A103" t="s">
        <v>1421</v>
      </c>
      <c r="B103" t="s">
        <v>1425</v>
      </c>
      <c r="C103">
        <v>29246.750870120228</v>
      </c>
      <c r="D103">
        <v>0</v>
      </c>
      <c r="E103">
        <v>19092.552458220234</v>
      </c>
      <c r="F103">
        <v>26243.057911709915</v>
      </c>
      <c r="G103">
        <v>74582.361240050377</v>
      </c>
      <c r="H103">
        <v>53834.057349101822</v>
      </c>
      <c r="I103">
        <v>0</v>
      </c>
      <c r="J103">
        <v>35982.879532428524</v>
      </c>
      <c r="K103">
        <v>48957.067418319537</v>
      </c>
      <c r="L103">
        <v>138774.00429984988</v>
      </c>
    </row>
    <row r="104" spans="1:12" x14ac:dyDescent="0.25">
      <c r="A104" t="s">
        <v>75</v>
      </c>
      <c r="B104" t="s">
        <v>45</v>
      </c>
      <c r="C104">
        <v>48493.602144418648</v>
      </c>
      <c r="D104">
        <v>12700.742778300097</v>
      </c>
      <c r="E104">
        <v>29910.287895488211</v>
      </c>
      <c r="F104">
        <v>41244.302842020392</v>
      </c>
      <c r="G104">
        <v>132348.93566022735</v>
      </c>
      <c r="H104">
        <v>52352.560332351291</v>
      </c>
      <c r="I104">
        <v>14097.174852712933</v>
      </c>
      <c r="J104">
        <v>30576.373285847243</v>
      </c>
      <c r="K104">
        <v>41601.161102569989</v>
      </c>
      <c r="L104">
        <v>138627.26957348146</v>
      </c>
    </row>
    <row r="105" spans="1:12" x14ac:dyDescent="0.25">
      <c r="A105" t="s">
        <v>79</v>
      </c>
      <c r="B105" t="s">
        <v>1398</v>
      </c>
      <c r="C105">
        <v>40042.388156361791</v>
      </c>
      <c r="D105">
        <v>0</v>
      </c>
      <c r="E105">
        <v>31905.156636666343</v>
      </c>
      <c r="F105">
        <v>43854.213580422482</v>
      </c>
      <c r="G105">
        <v>115801.75837345062</v>
      </c>
      <c r="H105">
        <v>38980.94627689648</v>
      </c>
      <c r="I105">
        <v>0</v>
      </c>
      <c r="J105">
        <v>31370.359336375437</v>
      </c>
      <c r="K105">
        <v>42681.431195181176</v>
      </c>
      <c r="L105">
        <v>113032.7368084531</v>
      </c>
    </row>
    <row r="106" spans="1:12" x14ac:dyDescent="0.25">
      <c r="A106" t="s">
        <v>426</v>
      </c>
      <c r="B106" t="s">
        <v>427</v>
      </c>
      <c r="C106">
        <v>38715.774009607056</v>
      </c>
      <c r="D106">
        <v>10200.968382984745</v>
      </c>
      <c r="E106">
        <v>24312.673074921437</v>
      </c>
      <c r="F106">
        <v>33418.207905403884</v>
      </c>
      <c r="G106">
        <v>106647.62337291712</v>
      </c>
      <c r="H106">
        <v>51269.858301334483</v>
      </c>
      <c r="I106">
        <v>13805.63152135079</v>
      </c>
      <c r="J106">
        <v>38383.912310496868</v>
      </c>
      <c r="K106">
        <v>52223.829976428591</v>
      </c>
      <c r="L106">
        <v>155683.23210961075</v>
      </c>
    </row>
    <row r="107" spans="1:12" x14ac:dyDescent="0.25">
      <c r="A107" t="s">
        <v>428</v>
      </c>
      <c r="B107" t="s">
        <v>429</v>
      </c>
      <c r="C107">
        <v>0</v>
      </c>
      <c r="D107">
        <v>2283.3329450595575</v>
      </c>
      <c r="E107">
        <v>0</v>
      </c>
      <c r="F107">
        <v>0</v>
      </c>
      <c r="G107">
        <v>2283.3329450595575</v>
      </c>
      <c r="H107">
        <v>0</v>
      </c>
      <c r="I107">
        <v>1940.8330033006239</v>
      </c>
      <c r="J107">
        <v>0</v>
      </c>
      <c r="K107">
        <v>0</v>
      </c>
      <c r="L107">
        <v>1940.8330033006239</v>
      </c>
    </row>
    <row r="108" spans="1:12" x14ac:dyDescent="0.25">
      <c r="A108" t="s">
        <v>143</v>
      </c>
      <c r="B108" t="s">
        <v>144</v>
      </c>
      <c r="C108">
        <v>736460.05671608075</v>
      </c>
      <c r="D108">
        <v>0</v>
      </c>
      <c r="E108">
        <v>0</v>
      </c>
      <c r="F108">
        <v>0</v>
      </c>
      <c r="G108">
        <v>736460.05671608075</v>
      </c>
      <c r="H108">
        <v>811627.92632960051</v>
      </c>
      <c r="I108">
        <v>0</v>
      </c>
      <c r="J108">
        <v>0</v>
      </c>
      <c r="K108">
        <v>0</v>
      </c>
      <c r="L108">
        <v>811627.92632960051</v>
      </c>
    </row>
    <row r="109" spans="1:12" x14ac:dyDescent="0.25">
      <c r="A109" t="s">
        <v>145</v>
      </c>
      <c r="B109" t="s">
        <v>146</v>
      </c>
      <c r="C109">
        <v>18927.711738030121</v>
      </c>
      <c r="D109">
        <v>4987.140098348098</v>
      </c>
      <c r="E109">
        <v>16860.586187624245</v>
      </c>
      <c r="F109">
        <v>23175.179993112652</v>
      </c>
      <c r="G109">
        <v>63950.618017115114</v>
      </c>
      <c r="H109">
        <v>0</v>
      </c>
      <c r="I109">
        <v>4239.0690835958831</v>
      </c>
      <c r="J109">
        <v>0</v>
      </c>
      <c r="K109">
        <v>0</v>
      </c>
      <c r="L109">
        <v>4239.0690835958831</v>
      </c>
    </row>
    <row r="110" spans="1:12" x14ac:dyDescent="0.25">
      <c r="A110" t="s">
        <v>147</v>
      </c>
      <c r="B110" t="s">
        <v>148</v>
      </c>
      <c r="C110">
        <v>98079.960824337875</v>
      </c>
      <c r="D110">
        <v>0</v>
      </c>
      <c r="E110">
        <v>46917.845252679894</v>
      </c>
      <c r="F110">
        <v>64489.425012872205</v>
      </c>
      <c r="G110">
        <v>209487.23108988997</v>
      </c>
      <c r="H110">
        <v>90373.9875142167</v>
      </c>
      <c r="I110">
        <v>0</v>
      </c>
      <c r="J110">
        <v>43613.149958365451</v>
      </c>
      <c r="K110">
        <v>59338.550738072969</v>
      </c>
      <c r="L110">
        <v>193325.68821065512</v>
      </c>
    </row>
    <row r="111" spans="1:12" x14ac:dyDescent="0.25">
      <c r="A111" t="s">
        <v>430</v>
      </c>
      <c r="B111" t="s">
        <v>431</v>
      </c>
      <c r="C111">
        <v>26670.866539951527</v>
      </c>
      <c r="D111">
        <v>7027.3337749450511</v>
      </c>
      <c r="E111">
        <v>19913.116760369812</v>
      </c>
      <c r="F111">
        <v>27370.938353506051</v>
      </c>
      <c r="G111">
        <v>80982.255428772434</v>
      </c>
      <c r="H111">
        <v>24003.779885956374</v>
      </c>
      <c r="I111">
        <v>6324.6003974505466</v>
      </c>
      <c r="J111">
        <v>17921.805084332831</v>
      </c>
      <c r="K111">
        <v>24633.844518155445</v>
      </c>
      <c r="L111">
        <v>72884.029885895201</v>
      </c>
    </row>
    <row r="112" spans="1:12" x14ac:dyDescent="0.25">
      <c r="A112" t="s">
        <v>432</v>
      </c>
      <c r="B112" t="s">
        <v>433</v>
      </c>
      <c r="C112">
        <v>798405.29513145238</v>
      </c>
      <c r="D112">
        <v>210366.63687577451</v>
      </c>
      <c r="E112">
        <v>430697.58821867983</v>
      </c>
      <c r="F112">
        <v>592001.60768395406</v>
      </c>
      <c r="G112">
        <v>2031471.1279098608</v>
      </c>
      <c r="H112">
        <v>792510.35204774677</v>
      </c>
      <c r="I112">
        <v>213402.30419443932</v>
      </c>
      <c r="J112">
        <v>428792.74838873721</v>
      </c>
      <c r="K112">
        <v>583400.65509307303</v>
      </c>
      <c r="L112">
        <v>2018106.0597239961</v>
      </c>
    </row>
    <row r="113" spans="1:12" x14ac:dyDescent="0.25">
      <c r="A113" t="s">
        <v>434</v>
      </c>
      <c r="B113" t="s">
        <v>435</v>
      </c>
      <c r="C113">
        <v>2441674.8142058849</v>
      </c>
      <c r="D113">
        <v>464490.35096860031</v>
      </c>
      <c r="E113">
        <v>1728346.4134967471</v>
      </c>
      <c r="F113">
        <v>2375643.3363294457</v>
      </c>
      <c r="G113">
        <v>7010154.9150006771</v>
      </c>
      <c r="H113">
        <v>2624321.5605089869</v>
      </c>
      <c r="I113">
        <v>394816.79832331027</v>
      </c>
      <c r="J113">
        <v>1913736.633028853</v>
      </c>
      <c r="K113">
        <v>2603764.1951268837</v>
      </c>
      <c r="L113">
        <v>7536639.1869880343</v>
      </c>
    </row>
    <row r="114" spans="1:12" x14ac:dyDescent="0.25">
      <c r="A114" t="s">
        <v>436</v>
      </c>
      <c r="B114" t="s">
        <v>437</v>
      </c>
      <c r="C114">
        <v>3695205.541583606</v>
      </c>
      <c r="D114">
        <v>0</v>
      </c>
      <c r="E114">
        <v>2927632.3877626183</v>
      </c>
      <c r="F114">
        <v>4024083.5511321621</v>
      </c>
      <c r="G114">
        <v>10646921.480478387</v>
      </c>
      <c r="H114">
        <v>3850453.2564951377</v>
      </c>
      <c r="I114">
        <v>0</v>
      </c>
      <c r="J114">
        <v>3097162.6828606552</v>
      </c>
      <c r="K114">
        <v>4213892.9468849786</v>
      </c>
      <c r="L114">
        <v>11161508.886240771</v>
      </c>
    </row>
    <row r="115" spans="1:12" x14ac:dyDescent="0.25">
      <c r="A115" t="s">
        <v>438</v>
      </c>
      <c r="B115" t="s">
        <v>439</v>
      </c>
      <c r="C115">
        <v>128192.22949847669</v>
      </c>
      <c r="D115">
        <v>33776.539756993938</v>
      </c>
      <c r="E115">
        <v>65710.615719978538</v>
      </c>
      <c r="F115">
        <v>90610.580017159838</v>
      </c>
      <c r="G115">
        <v>318289.96499260899</v>
      </c>
      <c r="H115">
        <v>129478.11672709897</v>
      </c>
      <c r="I115">
        <v>34865.06943527572</v>
      </c>
      <c r="J115">
        <v>62942.602859215818</v>
      </c>
      <c r="K115">
        <v>85637.539065933845</v>
      </c>
      <c r="L115">
        <v>312923.32808752434</v>
      </c>
    </row>
    <row r="116" spans="1:12" x14ac:dyDescent="0.25">
      <c r="A116" t="s">
        <v>440</v>
      </c>
      <c r="B116" t="s">
        <v>1390</v>
      </c>
      <c r="C116">
        <v>215087.6333867058</v>
      </c>
      <c r="D116">
        <v>49281.224125934845</v>
      </c>
      <c r="E116">
        <v>102890.01151903483</v>
      </c>
      <c r="F116">
        <v>141424.17765980749</v>
      </c>
      <c r="G116">
        <v>508683.046691483</v>
      </c>
      <c r="H116">
        <v>182824.48837869993</v>
      </c>
      <c r="I116">
        <v>41889.040507044614</v>
      </c>
      <c r="J116">
        <v>87456.509791179604</v>
      </c>
      <c r="K116">
        <v>120210.55101083637</v>
      </c>
      <c r="L116">
        <v>432380.58968776051</v>
      </c>
    </row>
    <row r="117" spans="1:12" x14ac:dyDescent="0.25">
      <c r="A117" t="s">
        <v>278</v>
      </c>
      <c r="B117" t="s">
        <v>279</v>
      </c>
      <c r="C117">
        <v>49900.330945715774</v>
      </c>
      <c r="D117">
        <v>0</v>
      </c>
      <c r="E117">
        <v>23870.482672416088</v>
      </c>
      <c r="F117">
        <v>32810.409217075343</v>
      </c>
      <c r="G117">
        <v>106581.2228352072</v>
      </c>
      <c r="H117">
        <v>60828.645442261259</v>
      </c>
      <c r="I117">
        <v>0</v>
      </c>
      <c r="J117">
        <v>29355.004779669056</v>
      </c>
      <c r="K117">
        <v>39939.409150626023</v>
      </c>
      <c r="L117">
        <v>130123.05937255634</v>
      </c>
    </row>
    <row r="118" spans="1:12" x14ac:dyDescent="0.25">
      <c r="A118" t="s">
        <v>441</v>
      </c>
      <c r="B118" t="s">
        <v>442</v>
      </c>
      <c r="C118">
        <v>12044.907469655527</v>
      </c>
      <c r="D118">
        <v>3173.6346080397011</v>
      </c>
      <c r="E118">
        <v>6509.9850655167284</v>
      </c>
      <c r="F118">
        <v>8976.8375509252</v>
      </c>
      <c r="G118">
        <v>30705.364694137155</v>
      </c>
      <c r="H118">
        <v>0</v>
      </c>
      <c r="I118">
        <v>2697.5894168337459</v>
      </c>
      <c r="J118">
        <v>0</v>
      </c>
      <c r="K118">
        <v>0</v>
      </c>
      <c r="L118">
        <v>2697.5894168337459</v>
      </c>
    </row>
    <row r="119" spans="1:12" x14ac:dyDescent="0.25">
      <c r="A119" t="s">
        <v>149</v>
      </c>
      <c r="B119" t="s">
        <v>150</v>
      </c>
      <c r="C119">
        <v>108404.16722689974</v>
      </c>
      <c r="D119">
        <v>0</v>
      </c>
      <c r="E119">
        <v>52075.262084600537</v>
      </c>
      <c r="F119">
        <v>71808.331885659689</v>
      </c>
      <c r="G119">
        <v>232287.76119715997</v>
      </c>
      <c r="H119">
        <v>93849.910110917364</v>
      </c>
      <c r="I119">
        <v>0</v>
      </c>
      <c r="J119">
        <v>45290.578802917975</v>
      </c>
      <c r="K119">
        <v>61620.802689537282</v>
      </c>
      <c r="L119">
        <v>200761.29160337264</v>
      </c>
    </row>
    <row r="120" spans="1:12" x14ac:dyDescent="0.25">
      <c r="A120" t="s">
        <v>280</v>
      </c>
      <c r="B120" t="s">
        <v>281</v>
      </c>
      <c r="C120">
        <v>99616.298311981445</v>
      </c>
      <c r="D120">
        <v>26090.059831377272</v>
      </c>
      <c r="E120">
        <v>60910.260330525867</v>
      </c>
      <c r="F120">
        <v>83991.20837741789</v>
      </c>
      <c r="G120">
        <v>270607.82685130247</v>
      </c>
      <c r="H120">
        <v>84673.853565184225</v>
      </c>
      <c r="I120">
        <v>22176.550856670681</v>
      </c>
      <c r="J120">
        <v>51773.721280946986</v>
      </c>
      <c r="K120">
        <v>71392.5271208052</v>
      </c>
      <c r="L120">
        <v>230016.65282360709</v>
      </c>
    </row>
    <row r="121" spans="1:12" x14ac:dyDescent="0.25">
      <c r="A121" t="s">
        <v>443</v>
      </c>
      <c r="B121" t="s">
        <v>444</v>
      </c>
      <c r="C121">
        <v>15486.309603842823</v>
      </c>
      <c r="D121">
        <v>4146.9903909238847</v>
      </c>
      <c r="E121">
        <v>8780.2426009906594</v>
      </c>
      <c r="F121">
        <v>12068.60190961286</v>
      </c>
      <c r="G121">
        <v>40482.144505370226</v>
      </c>
      <c r="H121">
        <v>14772.671035977735</v>
      </c>
      <c r="I121">
        <v>3977.8938281858209</v>
      </c>
      <c r="J121">
        <v>8065.7069204252111</v>
      </c>
      <c r="K121">
        <v>10973.923227122365</v>
      </c>
      <c r="L121">
        <v>37790.195011711134</v>
      </c>
    </row>
    <row r="122" spans="1:12" x14ac:dyDescent="0.25">
      <c r="A122" t="s">
        <v>282</v>
      </c>
      <c r="B122" t="s">
        <v>283</v>
      </c>
      <c r="C122">
        <v>140237.1369681322</v>
      </c>
      <c r="D122">
        <v>0</v>
      </c>
      <c r="E122">
        <v>67084.287510410722</v>
      </c>
      <c r="F122">
        <v>92208.563834194458</v>
      </c>
      <c r="G122">
        <v>299529.98831273738</v>
      </c>
      <c r="H122">
        <v>145119.76841225187</v>
      </c>
      <c r="I122">
        <v>0</v>
      </c>
      <c r="J122">
        <v>70032.654260067589</v>
      </c>
      <c r="K122">
        <v>95284.018973636354</v>
      </c>
      <c r="L122">
        <v>310436.44164595578</v>
      </c>
    </row>
    <row r="123" spans="1:12" x14ac:dyDescent="0.25">
      <c r="A123" t="s">
        <v>445</v>
      </c>
      <c r="B123" t="s">
        <v>446</v>
      </c>
      <c r="C123">
        <v>34414.021341872947</v>
      </c>
      <c r="D123">
        <v>9067.5274515419987</v>
      </c>
      <c r="E123">
        <v>20913.238539338301</v>
      </c>
      <c r="F123">
        <v>28745.623787612669</v>
      </c>
      <c r="G123">
        <v>93140.411120365912</v>
      </c>
      <c r="H123">
        <v>30972.619207685653</v>
      </c>
      <c r="I123">
        <v>8160.7747063877987</v>
      </c>
      <c r="J123">
        <v>18821.91468540447</v>
      </c>
      <c r="K123">
        <v>25871.061408851401</v>
      </c>
      <c r="L123">
        <v>83826.370008329322</v>
      </c>
    </row>
    <row r="124" spans="1:12" x14ac:dyDescent="0.25">
      <c r="A124" t="s">
        <v>151</v>
      </c>
      <c r="B124" t="s">
        <v>152</v>
      </c>
      <c r="C124">
        <v>500724.01052425127</v>
      </c>
      <c r="D124">
        <v>0</v>
      </c>
      <c r="E124">
        <v>239527.94681631314</v>
      </c>
      <c r="F124">
        <v>329235.48559203197</v>
      </c>
      <c r="G124">
        <v>1069487.4429325964</v>
      </c>
      <c r="H124">
        <v>592644.80273745977</v>
      </c>
      <c r="I124">
        <v>0</v>
      </c>
      <c r="J124">
        <v>286001.61799620412</v>
      </c>
      <c r="K124">
        <v>389123.95772467065</v>
      </c>
      <c r="L124">
        <v>1267770.3784583346</v>
      </c>
    </row>
    <row r="125" spans="1:12" x14ac:dyDescent="0.25">
      <c r="A125" t="s">
        <v>153</v>
      </c>
      <c r="B125" t="s">
        <v>154</v>
      </c>
      <c r="C125">
        <v>1218256.3555023018</v>
      </c>
      <c r="D125">
        <v>0</v>
      </c>
      <c r="E125">
        <v>0</v>
      </c>
      <c r="F125">
        <v>0</v>
      </c>
      <c r="G125">
        <v>1218256.3555023018</v>
      </c>
      <c r="H125">
        <v>1273925.6316907862</v>
      </c>
      <c r="I125">
        <v>0</v>
      </c>
      <c r="J125">
        <v>0</v>
      </c>
      <c r="K125">
        <v>0</v>
      </c>
      <c r="L125">
        <v>1273925.6316907862</v>
      </c>
    </row>
    <row r="126" spans="1:12" x14ac:dyDescent="0.25">
      <c r="A126" t="s">
        <v>155</v>
      </c>
      <c r="B126" t="s">
        <v>156</v>
      </c>
      <c r="C126">
        <v>307145.14047621604</v>
      </c>
      <c r="D126">
        <v>0</v>
      </c>
      <c r="E126">
        <v>146926.93644918178</v>
      </c>
      <c r="F126">
        <v>201953.72569820503</v>
      </c>
      <c r="G126">
        <v>656025.80262360291</v>
      </c>
      <c r="H126">
        <v>294584.44007037953</v>
      </c>
      <c r="I126">
        <v>0</v>
      </c>
      <c r="J126">
        <v>142162.09457582582</v>
      </c>
      <c r="K126">
        <v>193420.85288660313</v>
      </c>
      <c r="L126">
        <v>630167.38753280847</v>
      </c>
    </row>
    <row r="127" spans="1:12" x14ac:dyDescent="0.25">
      <c r="A127" t="s">
        <v>157</v>
      </c>
      <c r="B127" t="s">
        <v>158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8689.8064917516094</v>
      </c>
      <c r="I127">
        <v>2339.9375459916596</v>
      </c>
      <c r="J127">
        <v>7653.8981390875661</v>
      </c>
      <c r="K127">
        <v>10413.63037303787</v>
      </c>
      <c r="L127">
        <v>29097.272549868707</v>
      </c>
    </row>
    <row r="128" spans="1:12" x14ac:dyDescent="0.25">
      <c r="A128" t="s">
        <v>159</v>
      </c>
      <c r="B128" t="s">
        <v>160</v>
      </c>
      <c r="C128">
        <v>66246.9910831054</v>
      </c>
      <c r="D128">
        <v>0</v>
      </c>
      <c r="E128">
        <v>31690.123547862735</v>
      </c>
      <c r="F128">
        <v>43558.646719220698</v>
      </c>
      <c r="G128">
        <v>141495.76135018884</v>
      </c>
      <c r="H128">
        <v>56309.942420639585</v>
      </c>
      <c r="I128">
        <v>0</v>
      </c>
      <c r="J128">
        <v>0</v>
      </c>
      <c r="K128">
        <v>0</v>
      </c>
      <c r="L128">
        <v>56309.942420639585</v>
      </c>
    </row>
    <row r="129" spans="1:12" x14ac:dyDescent="0.25">
      <c r="A129" t="s">
        <v>447</v>
      </c>
      <c r="B129" t="s">
        <v>448</v>
      </c>
      <c r="C129">
        <v>69688.393217292716</v>
      </c>
      <c r="D129">
        <v>18361.743089372536</v>
      </c>
      <c r="E129">
        <v>47625.224370874421</v>
      </c>
      <c r="F129">
        <v>65461.730376701147</v>
      </c>
      <c r="G129">
        <v>201137.09105424082</v>
      </c>
      <c r="H129">
        <v>62719.553895563447</v>
      </c>
      <c r="I129">
        <v>16525.568780435282</v>
      </c>
      <c r="J129">
        <v>42862.701933786979</v>
      </c>
      <c r="K129">
        <v>58915.557339031031</v>
      </c>
      <c r="L129">
        <v>181023.38194881676</v>
      </c>
    </row>
    <row r="130" spans="1:12" x14ac:dyDescent="0.25">
      <c r="A130" t="s">
        <v>449</v>
      </c>
      <c r="B130" t="s">
        <v>450</v>
      </c>
      <c r="C130">
        <v>1164054.2718888524</v>
      </c>
      <c r="D130">
        <v>306709.11604840821</v>
      </c>
      <c r="E130">
        <v>693067.11759221891</v>
      </c>
      <c r="F130">
        <v>952633.26071646321</v>
      </c>
      <c r="G130">
        <v>3116463.7662459426</v>
      </c>
      <c r="H130">
        <v>1189634.5087207954</v>
      </c>
      <c r="I130">
        <v>320337.45004625822</v>
      </c>
      <c r="J130">
        <v>716262.11662392516</v>
      </c>
      <c r="K130">
        <v>974521.58327527484</v>
      </c>
      <c r="L130">
        <v>3200755.6586662536</v>
      </c>
    </row>
    <row r="131" spans="1:12" x14ac:dyDescent="0.25">
      <c r="A131" t="s">
        <v>451</v>
      </c>
      <c r="B131" t="s">
        <v>452</v>
      </c>
      <c r="C131">
        <v>49039.980412168938</v>
      </c>
      <c r="D131">
        <v>12921.226618447352</v>
      </c>
      <c r="E131">
        <v>28981.183879583838</v>
      </c>
      <c r="F131">
        <v>39835.160257704461</v>
      </c>
      <c r="G131">
        <v>130777.5511679046</v>
      </c>
      <c r="H131">
        <v>51269.858301334483</v>
      </c>
      <c r="I131">
        <v>13805.63152135079</v>
      </c>
      <c r="J131">
        <v>31389.946130647113</v>
      </c>
      <c r="K131">
        <v>42708.08031332089</v>
      </c>
      <c r="L131">
        <v>139173.51626665329</v>
      </c>
    </row>
    <row r="132" spans="1:12" x14ac:dyDescent="0.25">
      <c r="A132" t="s">
        <v>453</v>
      </c>
      <c r="B132" t="s">
        <v>454</v>
      </c>
      <c r="C132">
        <v>41446.1971079047</v>
      </c>
      <c r="D132">
        <v>10854.988396996381</v>
      </c>
      <c r="E132">
        <v>23320.887004640317</v>
      </c>
      <c r="F132">
        <v>32157.95613618995</v>
      </c>
      <c r="G132">
        <v>107780.02864573135</v>
      </c>
      <c r="H132">
        <v>41711.071160407722</v>
      </c>
      <c r="I132">
        <v>11231.700220759967</v>
      </c>
      <c r="J132">
        <v>21505.476501585556</v>
      </c>
      <c r="K132">
        <v>29259.611143748622</v>
      </c>
      <c r="L132">
        <v>103707.85902650187</v>
      </c>
    </row>
    <row r="133" spans="1:12" x14ac:dyDescent="0.25">
      <c r="A133" t="s">
        <v>76</v>
      </c>
      <c r="B133" t="s">
        <v>30</v>
      </c>
      <c r="C133">
        <v>0</v>
      </c>
      <c r="D133">
        <v>1985.2836676261206</v>
      </c>
      <c r="E133">
        <v>0</v>
      </c>
      <c r="F133">
        <v>0</v>
      </c>
      <c r="G133">
        <v>1985.2836676261206</v>
      </c>
      <c r="H133">
        <v>0</v>
      </c>
      <c r="I133">
        <v>1876.7063571462231</v>
      </c>
      <c r="J133">
        <v>0</v>
      </c>
      <c r="K133">
        <v>0</v>
      </c>
      <c r="L133">
        <v>1876.7063571462231</v>
      </c>
    </row>
    <row r="134" spans="1:12" x14ac:dyDescent="0.25">
      <c r="A134" t="s">
        <v>455</v>
      </c>
      <c r="B134" t="s">
        <v>456</v>
      </c>
      <c r="C134">
        <v>71623.720276266133</v>
      </c>
      <c r="D134">
        <v>18190.999866069473</v>
      </c>
      <c r="E134">
        <v>43381.81107452741</v>
      </c>
      <c r="F134">
        <v>57163.873176635258</v>
      </c>
      <c r="G134">
        <v>190360.40439349826</v>
      </c>
      <c r="H134">
        <v>78208.258425764507</v>
      </c>
      <c r="I134">
        <v>21059.437913924936</v>
      </c>
      <c r="J134">
        <v>45565.970683472384</v>
      </c>
      <c r="K134">
        <v>61995.491403668944</v>
      </c>
      <c r="L134">
        <v>206829.15842683078</v>
      </c>
    </row>
    <row r="135" spans="1:12" x14ac:dyDescent="0.25">
      <c r="A135" t="s">
        <v>161</v>
      </c>
      <c r="B135" t="s">
        <v>162</v>
      </c>
      <c r="C135">
        <v>288426.75180354732</v>
      </c>
      <c r="D135">
        <v>0</v>
      </c>
      <c r="E135">
        <v>140202.62868930915</v>
      </c>
      <c r="F135">
        <v>193330.12430754534</v>
      </c>
      <c r="G135">
        <v>621959.50480040186</v>
      </c>
      <c r="H135">
        <v>304143.2272113064</v>
      </c>
      <c r="I135">
        <v>0</v>
      </c>
      <c r="J135">
        <v>146775.02389834524</v>
      </c>
      <c r="K135">
        <v>199697.04575313011</v>
      </c>
      <c r="L135">
        <v>650615.29686278175</v>
      </c>
    </row>
    <row r="136" spans="1:12" x14ac:dyDescent="0.25">
      <c r="A136" t="s">
        <v>457</v>
      </c>
      <c r="B136" t="s">
        <v>458</v>
      </c>
      <c r="C136">
        <v>164326.95190744323</v>
      </c>
      <c r="D136">
        <v>43297.443581113053</v>
      </c>
      <c r="E136">
        <v>106939.86526243553</v>
      </c>
      <c r="F136">
        <v>146990.77471667511</v>
      </c>
      <c r="G136">
        <v>461555.03546766692</v>
      </c>
      <c r="H136">
        <v>147894.2567166989</v>
      </c>
      <c r="I136">
        <v>38967.699223001749</v>
      </c>
      <c r="J136">
        <v>96245.878736191982</v>
      </c>
      <c r="K136">
        <v>132291.69724500761</v>
      </c>
      <c r="L136">
        <v>415399.53192090022</v>
      </c>
    </row>
    <row r="137" spans="1:12" x14ac:dyDescent="0.25">
      <c r="A137" t="s">
        <v>459</v>
      </c>
      <c r="B137" t="s">
        <v>460</v>
      </c>
      <c r="C137">
        <v>19632.409156375907</v>
      </c>
      <c r="D137">
        <v>5141.8366091035523</v>
      </c>
      <c r="E137">
        <v>15187.479207103177</v>
      </c>
      <c r="F137">
        <v>20942.526331187182</v>
      </c>
      <c r="G137">
        <v>60904.251303769823</v>
      </c>
      <c r="H137">
        <v>16687.547782919519</v>
      </c>
      <c r="I137">
        <v>4370.5611177380197</v>
      </c>
      <c r="J137">
        <v>12909.3573260377</v>
      </c>
      <c r="K137">
        <v>17801.147381509105</v>
      </c>
      <c r="L137">
        <v>51768.613608204338</v>
      </c>
    </row>
    <row r="138" spans="1:12" x14ac:dyDescent="0.25">
      <c r="A138" t="s">
        <v>284</v>
      </c>
      <c r="B138" t="s">
        <v>285</v>
      </c>
      <c r="C138">
        <v>103242.06402561882</v>
      </c>
      <c r="D138">
        <v>27202.582354626004</v>
      </c>
      <c r="E138">
        <v>57140.317723135166</v>
      </c>
      <c r="F138">
        <v>78540.397905578109</v>
      </c>
      <c r="G138">
        <v>266125.36200895812</v>
      </c>
      <c r="H138">
        <v>92917.857623056945</v>
      </c>
      <c r="I138">
        <v>24482.324119163404</v>
      </c>
      <c r="J138">
        <v>51426.28595082165</v>
      </c>
      <c r="K138">
        <v>70686.358115020295</v>
      </c>
      <c r="L138">
        <v>239512.82580806231</v>
      </c>
    </row>
    <row r="139" spans="1:12" x14ac:dyDescent="0.25">
      <c r="A139" t="s">
        <v>461</v>
      </c>
      <c r="B139" t="s">
        <v>462</v>
      </c>
      <c r="C139">
        <v>41368.872918188186</v>
      </c>
      <c r="D139">
        <v>10506.870612298748</v>
      </c>
      <c r="E139">
        <v>22525.324704684172</v>
      </c>
      <c r="F139">
        <v>29681.44419948291</v>
      </c>
      <c r="G139">
        <v>104082.51243465403</v>
      </c>
      <c r="H139">
        <v>35163.541980459959</v>
      </c>
      <c r="I139">
        <v>8930.8400204539357</v>
      </c>
      <c r="J139">
        <v>19146.525998981546</v>
      </c>
      <c r="K139">
        <v>25229.227569560473</v>
      </c>
      <c r="L139">
        <v>88470.135569455917</v>
      </c>
    </row>
    <row r="140" spans="1:12" x14ac:dyDescent="0.25">
      <c r="A140" t="s">
        <v>463</v>
      </c>
      <c r="B140" t="s">
        <v>464</v>
      </c>
      <c r="C140">
        <v>125611.17789783623</v>
      </c>
      <c r="D140">
        <v>33096.47519812829</v>
      </c>
      <c r="E140">
        <v>75763.265762064344</v>
      </c>
      <c r="F140">
        <v>104137.97606815456</v>
      </c>
      <c r="G140">
        <v>338608.89492618339</v>
      </c>
      <c r="H140">
        <v>113050.06010805261</v>
      </c>
      <c r="I140">
        <v>29786.827678315462</v>
      </c>
      <c r="J140">
        <v>68186.939185857918</v>
      </c>
      <c r="K140">
        <v>93724.178461339106</v>
      </c>
      <c r="L140">
        <v>304748.00543356512</v>
      </c>
    </row>
    <row r="141" spans="1:12" x14ac:dyDescent="0.25">
      <c r="A141" t="s">
        <v>163</v>
      </c>
      <c r="B141" t="s">
        <v>164</v>
      </c>
      <c r="C141">
        <v>1294827.5529879692</v>
      </c>
      <c r="D141">
        <v>0</v>
      </c>
      <c r="E141">
        <v>786902.80809757882</v>
      </c>
      <c r="F141">
        <v>1081612.1107422076</v>
      </c>
      <c r="G141">
        <v>3163342.4718277557</v>
      </c>
      <c r="H141">
        <v>1253939.0767597572</v>
      </c>
      <c r="I141">
        <v>0</v>
      </c>
      <c r="J141">
        <v>762810.76706025715</v>
      </c>
      <c r="K141">
        <v>1037854.0749284106</v>
      </c>
      <c r="L141">
        <v>3054603.9187484253</v>
      </c>
    </row>
    <row r="142" spans="1:12" x14ac:dyDescent="0.25">
      <c r="A142" t="s">
        <v>465</v>
      </c>
      <c r="B142" t="s">
        <v>466</v>
      </c>
      <c r="C142">
        <v>64526.290016011735</v>
      </c>
      <c r="D142">
        <v>0</v>
      </c>
      <c r="E142">
        <v>30867.003455710452</v>
      </c>
      <c r="F142">
        <v>42427.253297942247</v>
      </c>
      <c r="G142">
        <v>137820.54676966445</v>
      </c>
      <c r="H142">
        <v>54847.346513609977</v>
      </c>
      <c r="I142">
        <v>0</v>
      </c>
      <c r="J142">
        <v>26236.952937353883</v>
      </c>
      <c r="K142">
        <v>36063.165303250906</v>
      </c>
      <c r="L142">
        <v>117147.46475421476</v>
      </c>
    </row>
    <row r="143" spans="1:12" x14ac:dyDescent="0.25">
      <c r="A143" t="s">
        <v>165</v>
      </c>
      <c r="B143" t="s">
        <v>166</v>
      </c>
      <c r="C143">
        <v>887881.75062032172</v>
      </c>
      <c r="D143">
        <v>0</v>
      </c>
      <c r="E143">
        <v>494900.95540655777</v>
      </c>
      <c r="F143">
        <v>680250.2945436741</v>
      </c>
      <c r="G143">
        <v>2063033.0005705538</v>
      </c>
      <c r="H143">
        <v>782082.58425764472</v>
      </c>
      <c r="I143">
        <v>0</v>
      </c>
      <c r="J143">
        <v>421244.3185882509</v>
      </c>
      <c r="K143">
        <v>578212.75036212301</v>
      </c>
      <c r="L143">
        <v>1781539.6532080187</v>
      </c>
    </row>
    <row r="144" spans="1:12" x14ac:dyDescent="0.25">
      <c r="A144" t="s">
        <v>167</v>
      </c>
      <c r="B144" t="s">
        <v>168</v>
      </c>
      <c r="C144">
        <v>180673.61204483293</v>
      </c>
      <c r="D144">
        <v>0</v>
      </c>
      <c r="E144">
        <v>86427.609675989283</v>
      </c>
      <c r="F144">
        <v>118796.30923423827</v>
      </c>
      <c r="G144">
        <v>385897.5309550605</v>
      </c>
      <c r="H144">
        <v>153572.57023810799</v>
      </c>
      <c r="I144">
        <v>0</v>
      </c>
      <c r="J144">
        <v>73463.468224590892</v>
      </c>
      <c r="K144">
        <v>100976.86284910253</v>
      </c>
      <c r="L144">
        <v>328012.9013118014</v>
      </c>
    </row>
    <row r="145" spans="1:12" x14ac:dyDescent="0.25">
      <c r="A145" t="s">
        <v>169</v>
      </c>
      <c r="B145" t="s">
        <v>170</v>
      </c>
      <c r="C145">
        <v>126358.38650441123</v>
      </c>
      <c r="D145">
        <v>0</v>
      </c>
      <c r="E145">
        <v>0</v>
      </c>
      <c r="F145">
        <v>0</v>
      </c>
      <c r="G145">
        <v>126358.38650441123</v>
      </c>
      <c r="H145">
        <v>130347.09737627412</v>
      </c>
      <c r="I145">
        <v>0</v>
      </c>
      <c r="J145">
        <v>0</v>
      </c>
      <c r="K145">
        <v>0</v>
      </c>
      <c r="L145">
        <v>130347.09737627412</v>
      </c>
    </row>
    <row r="146" spans="1:12" x14ac:dyDescent="0.25">
      <c r="A146" t="s">
        <v>171</v>
      </c>
      <c r="B146" t="s">
        <v>172</v>
      </c>
      <c r="C146">
        <v>178952.91097773926</v>
      </c>
      <c r="D146">
        <v>0</v>
      </c>
      <c r="E146">
        <v>85604.489583837028</v>
      </c>
      <c r="F146">
        <v>117664.91581295978</v>
      </c>
      <c r="G146">
        <v>382222.31637453608</v>
      </c>
      <c r="H146">
        <v>188568.80087100988</v>
      </c>
      <c r="I146">
        <v>0</v>
      </c>
      <c r="J146">
        <v>91000.514816974086</v>
      </c>
      <c r="K146">
        <v>123812.16836694066</v>
      </c>
      <c r="L146">
        <v>403381.48405492469</v>
      </c>
    </row>
    <row r="147" spans="1:12" x14ac:dyDescent="0.25">
      <c r="A147" t="s">
        <v>467</v>
      </c>
      <c r="B147" t="s">
        <v>468</v>
      </c>
      <c r="C147">
        <v>71150.931113684783</v>
      </c>
      <c r="D147">
        <v>18499.812526317153</v>
      </c>
      <c r="E147">
        <v>34128.880920257703</v>
      </c>
      <c r="F147">
        <v>46491.291797766848</v>
      </c>
      <c r="G147">
        <v>170270.91635802647</v>
      </c>
      <c r="H147">
        <v>112098.50374359573</v>
      </c>
      <c r="I147">
        <v>30185.194343292409</v>
      </c>
      <c r="J147">
        <v>54097.080236818678</v>
      </c>
      <c r="K147">
        <v>73602.625434725094</v>
      </c>
      <c r="L147">
        <v>269983.4037584319</v>
      </c>
    </row>
    <row r="148" spans="1:12" x14ac:dyDescent="0.25">
      <c r="A148" t="s">
        <v>469</v>
      </c>
      <c r="B148" t="s">
        <v>470</v>
      </c>
      <c r="C148">
        <v>15486.309603842823</v>
      </c>
      <c r="D148">
        <v>4080.3873531938998</v>
      </c>
      <c r="E148">
        <v>9911.2096076078942</v>
      </c>
      <c r="F148">
        <v>13623.136470449468</v>
      </c>
      <c r="G148">
        <v>43101.043035094088</v>
      </c>
      <c r="H148">
        <v>13937.678643458541</v>
      </c>
      <c r="I148">
        <v>3672.3486178745097</v>
      </c>
      <c r="J148">
        <v>8920.0886468471053</v>
      </c>
      <c r="K148">
        <v>12260.822823404522</v>
      </c>
      <c r="L148">
        <v>38790.938731584683</v>
      </c>
    </row>
    <row r="149" spans="1:12" x14ac:dyDescent="0.25">
      <c r="A149" t="s">
        <v>173</v>
      </c>
      <c r="B149" t="s">
        <v>174</v>
      </c>
      <c r="C149">
        <v>374252.48209286825</v>
      </c>
      <c r="D149">
        <v>0</v>
      </c>
      <c r="E149">
        <v>179028.6200431207</v>
      </c>
      <c r="F149">
        <v>246078.06912806502</v>
      </c>
      <c r="G149">
        <v>799359.1712640539</v>
      </c>
      <c r="H149">
        <v>397993.13732222375</v>
      </c>
      <c r="I149">
        <v>0</v>
      </c>
      <c r="J149">
        <v>192065.60270126321</v>
      </c>
      <c r="K149">
        <v>261317.84844266743</v>
      </c>
      <c r="L149">
        <v>851376.58846615441</v>
      </c>
    </row>
    <row r="150" spans="1:12" x14ac:dyDescent="0.25">
      <c r="A150" t="s">
        <v>471</v>
      </c>
      <c r="B150" t="s">
        <v>472</v>
      </c>
      <c r="C150">
        <v>183254.6636454734</v>
      </c>
      <c r="D150">
        <v>48284.583679461124</v>
      </c>
      <c r="E150">
        <v>89255.891468629154</v>
      </c>
      <c r="F150">
        <v>122683.83359942214</v>
      </c>
      <c r="G150">
        <v>443478.97239298583</v>
      </c>
      <c r="H150">
        <v>155766.46409865239</v>
      </c>
      <c r="I150">
        <v>41041.896127541957</v>
      </c>
      <c r="J150">
        <v>75867.507748334785</v>
      </c>
      <c r="K150">
        <v>104281.25855950882</v>
      </c>
      <c r="L150">
        <v>376957.12653403799</v>
      </c>
    </row>
    <row r="151" spans="1:12" x14ac:dyDescent="0.25">
      <c r="A151" t="s">
        <v>473</v>
      </c>
      <c r="B151" t="s">
        <v>474</v>
      </c>
      <c r="C151">
        <v>45324.203854843152</v>
      </c>
      <c r="D151">
        <v>11870.659825955108</v>
      </c>
      <c r="E151">
        <v>25605.606656467629</v>
      </c>
      <c r="F151">
        <v>35308.432974070725</v>
      </c>
      <c r="G151">
        <v>118108.90331133662</v>
      </c>
      <c r="H151">
        <v>38525.573276616677</v>
      </c>
      <c r="I151">
        <v>10090.060852061843</v>
      </c>
      <c r="J151">
        <v>21764.765657997483</v>
      </c>
      <c r="K151">
        <v>30012.168027960117</v>
      </c>
      <c r="L151">
        <v>100392.56781463612</v>
      </c>
    </row>
    <row r="152" spans="1:12" x14ac:dyDescent="0.25">
      <c r="A152" t="s">
        <v>475</v>
      </c>
      <c r="B152" t="s">
        <v>476</v>
      </c>
      <c r="C152">
        <v>1185563.0352275227</v>
      </c>
      <c r="D152">
        <v>261034.05197684217</v>
      </c>
      <c r="E152">
        <v>708500.61932007421</v>
      </c>
      <c r="F152">
        <v>973846.88736543432</v>
      </c>
      <c r="G152">
        <v>3128944.5938898735</v>
      </c>
      <c r="H152">
        <v>1405141.7097162353</v>
      </c>
      <c r="I152">
        <v>378367.90118685132</v>
      </c>
      <c r="J152">
        <v>872262.99916730914</v>
      </c>
      <c r="K152">
        <v>1186771.0147614591</v>
      </c>
      <c r="L152">
        <v>3842543.6248318548</v>
      </c>
    </row>
    <row r="153" spans="1:12" x14ac:dyDescent="0.25">
      <c r="A153" t="s">
        <v>477</v>
      </c>
      <c r="B153" t="s">
        <v>478</v>
      </c>
      <c r="C153">
        <v>106683.46615980611</v>
      </c>
      <c r="D153">
        <v>28109.335099780204</v>
      </c>
      <c r="E153">
        <v>55693.066821108448</v>
      </c>
      <c r="F153">
        <v>76551.125422615267</v>
      </c>
      <c r="G153">
        <v>267036.99350331002</v>
      </c>
      <c r="H153">
        <v>90680.946235835188</v>
      </c>
      <c r="I153">
        <v>23892.934834813172</v>
      </c>
      <c r="J153">
        <v>47339.106797942179</v>
      </c>
      <c r="K153">
        <v>65068.456609222972</v>
      </c>
      <c r="L153">
        <v>226981.44447781352</v>
      </c>
    </row>
    <row r="154" spans="1:12" x14ac:dyDescent="0.25">
      <c r="A154" t="s">
        <v>479</v>
      </c>
      <c r="B154" t="s">
        <v>480</v>
      </c>
      <c r="C154">
        <v>228853.24192345503</v>
      </c>
      <c r="D154">
        <v>60299.057552754297</v>
      </c>
      <c r="E154">
        <v>157582.37008810914</v>
      </c>
      <c r="F154">
        <v>216599.81153050347</v>
      </c>
      <c r="G154">
        <v>663334.48109482194</v>
      </c>
      <c r="H154">
        <v>194525.25563493677</v>
      </c>
      <c r="I154">
        <v>51254.198919841154</v>
      </c>
      <c r="J154">
        <v>133945.01457489276</v>
      </c>
      <c r="K154">
        <v>184109.83980092793</v>
      </c>
      <c r="L154">
        <v>563834.30893059855</v>
      </c>
    </row>
    <row r="155" spans="1:12" x14ac:dyDescent="0.25">
      <c r="A155" t="s">
        <v>481</v>
      </c>
      <c r="B155" t="s">
        <v>482</v>
      </c>
      <c r="C155">
        <v>291173.67324929539</v>
      </c>
      <c r="D155">
        <v>76259.99645765101</v>
      </c>
      <c r="E155">
        <v>150916.49630401793</v>
      </c>
      <c r="F155">
        <v>208103.83701985318</v>
      </c>
      <c r="G155">
        <v>726454.00303081749</v>
      </c>
      <c r="H155">
        <v>247497.62226190107</v>
      </c>
      <c r="I155">
        <v>64820.996989003354</v>
      </c>
      <c r="J155">
        <v>128279.02185841523</v>
      </c>
      <c r="K155">
        <v>176888.26146687521</v>
      </c>
      <c r="L155">
        <v>617485.90257619484</v>
      </c>
    </row>
    <row r="156" spans="1:12" x14ac:dyDescent="0.25">
      <c r="A156" t="s">
        <v>175</v>
      </c>
      <c r="B156" t="s">
        <v>176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483</v>
      </c>
      <c r="B157" t="s">
        <v>484</v>
      </c>
      <c r="C157">
        <v>801846.69726563944</v>
      </c>
      <c r="D157">
        <v>155521.93077018767</v>
      </c>
      <c r="E157">
        <v>433166.94849513663</v>
      </c>
      <c r="F157">
        <v>595395.7879477893</v>
      </c>
      <c r="G157">
        <v>1985931.3644787529</v>
      </c>
      <c r="H157">
        <v>787296.4681526958</v>
      </c>
      <c r="I157">
        <v>132193.6411546595</v>
      </c>
      <c r="J157">
        <v>425018.53348849405</v>
      </c>
      <c r="K157">
        <v>578265.58820227813</v>
      </c>
      <c r="L157">
        <v>1922774.2309981275</v>
      </c>
    </row>
    <row r="158" spans="1:12" x14ac:dyDescent="0.25">
      <c r="A158" t="s">
        <v>286</v>
      </c>
      <c r="B158" t="s">
        <v>287</v>
      </c>
      <c r="C158">
        <v>1996873.5883621771</v>
      </c>
      <c r="D158">
        <v>0</v>
      </c>
      <c r="E158">
        <v>1302793.325854019</v>
      </c>
      <c r="F158">
        <v>1790712.9375284822</v>
      </c>
      <c r="G158">
        <v>5090379.8517446779</v>
      </c>
      <c r="H158">
        <v>2136823.4163217209</v>
      </c>
      <c r="I158">
        <v>0</v>
      </c>
      <c r="J158">
        <v>1443217.8421318722</v>
      </c>
      <c r="K158">
        <v>1963592.522741135</v>
      </c>
      <c r="L158">
        <v>5543633.7811947279</v>
      </c>
    </row>
    <row r="159" spans="1:12" x14ac:dyDescent="0.25">
      <c r="A159" t="s">
        <v>485</v>
      </c>
      <c r="B159" t="s">
        <v>486</v>
      </c>
      <c r="C159">
        <v>188416.76684675436</v>
      </c>
      <c r="D159">
        <v>0</v>
      </c>
      <c r="E159">
        <v>90131.65009067455</v>
      </c>
      <c r="F159">
        <v>123887.57962999133</v>
      </c>
      <c r="G159">
        <v>402435.9965674202</v>
      </c>
      <c r="H159">
        <v>160154.25181974118</v>
      </c>
      <c r="I159">
        <v>0</v>
      </c>
      <c r="J159">
        <v>76611.902577073372</v>
      </c>
      <c r="K159">
        <v>105304.44268549263</v>
      </c>
      <c r="L159">
        <v>342070.59708230721</v>
      </c>
    </row>
    <row r="160" spans="1:12" x14ac:dyDescent="0.25">
      <c r="A160" t="s">
        <v>487</v>
      </c>
      <c r="B160" t="s">
        <v>488</v>
      </c>
      <c r="C160">
        <v>65538.829396048022</v>
      </c>
      <c r="D160">
        <v>16645.558652458367</v>
      </c>
      <c r="E160">
        <v>29372.545979747349</v>
      </c>
      <c r="F160">
        <v>39780.615224872839</v>
      </c>
      <c r="G160">
        <v>151337.54925312658</v>
      </c>
      <c r="H160">
        <v>71256.413232363207</v>
      </c>
      <c r="I160">
        <v>14148.724854589611</v>
      </c>
      <c r="J160">
        <v>34387.291313326605</v>
      </c>
      <c r="K160">
        <v>46786.165005019058</v>
      </c>
      <c r="L160">
        <v>166578.59440529847</v>
      </c>
    </row>
    <row r="161" spans="1:12" x14ac:dyDescent="0.25">
      <c r="A161" t="s">
        <v>489</v>
      </c>
      <c r="B161" t="s">
        <v>490</v>
      </c>
      <c r="C161">
        <v>33290.802631173603</v>
      </c>
      <c r="D161">
        <v>0</v>
      </c>
      <c r="E161">
        <v>16023.157564492476</v>
      </c>
      <c r="F161">
        <v>22094.871349433746</v>
      </c>
      <c r="G161">
        <v>71408.83154509982</v>
      </c>
      <c r="H161">
        <v>34759.225967006438</v>
      </c>
      <c r="I161">
        <v>0</v>
      </c>
      <c r="J161">
        <v>16774.288445525166</v>
      </c>
      <c r="K161">
        <v>22822.519514643442</v>
      </c>
      <c r="L161">
        <v>74356.033927175042</v>
      </c>
    </row>
    <row r="162" spans="1:12" x14ac:dyDescent="0.25">
      <c r="A162" t="s">
        <v>491</v>
      </c>
      <c r="B162" t="s">
        <v>492</v>
      </c>
      <c r="C162">
        <v>60008.823143023299</v>
      </c>
      <c r="D162">
        <v>15602.775124573644</v>
      </c>
      <c r="E162">
        <v>40531.760618726796</v>
      </c>
      <c r="F162">
        <v>55711.636435643173</v>
      </c>
      <c r="G162">
        <v>171854.99532196691</v>
      </c>
      <c r="H162">
        <v>60828.645442261259</v>
      </c>
      <c r="I162">
        <v>16379.562821941608</v>
      </c>
      <c r="J162">
        <v>44226.229233188846</v>
      </c>
      <c r="K162">
        <v>60172.685298183758</v>
      </c>
      <c r="L162">
        <v>181607.12279557547</v>
      </c>
    </row>
    <row r="163" spans="1:12" x14ac:dyDescent="0.25">
      <c r="A163" t="s">
        <v>493</v>
      </c>
      <c r="B163" t="s">
        <v>494</v>
      </c>
      <c r="C163">
        <v>234875.69565828278</v>
      </c>
      <c r="D163">
        <v>61885.874856774142</v>
      </c>
      <c r="E163">
        <v>143377.85888625012</v>
      </c>
      <c r="F163">
        <v>197708.55611312875</v>
      </c>
      <c r="G163">
        <v>637847.9855144358</v>
      </c>
      <c r="H163">
        <v>237231.71722481895</v>
      </c>
      <c r="I163">
        <v>63880.295005572312</v>
      </c>
      <c r="J163">
        <v>130275.20474751004</v>
      </c>
      <c r="K163">
        <v>177937.70050181588</v>
      </c>
      <c r="L163">
        <v>609324.91747971717</v>
      </c>
    </row>
    <row r="164" spans="1:12" x14ac:dyDescent="0.25">
      <c r="A164" t="s">
        <v>495</v>
      </c>
      <c r="B164" t="s">
        <v>496</v>
      </c>
      <c r="C164">
        <v>183425.79488940752</v>
      </c>
      <c r="D164">
        <v>47692.177246744221</v>
      </c>
      <c r="E164">
        <v>85401.938378745821</v>
      </c>
      <c r="F164">
        <v>115663.84652000164</v>
      </c>
      <c r="G164">
        <v>432183.7570348992</v>
      </c>
      <c r="H164">
        <v>155911.9256559964</v>
      </c>
      <c r="I164">
        <v>40538.350659732583</v>
      </c>
      <c r="J164">
        <v>72591.647621933953</v>
      </c>
      <c r="K164">
        <v>98314.269542001392</v>
      </c>
      <c r="L164">
        <v>367356.19347966439</v>
      </c>
    </row>
    <row r="165" spans="1:12" x14ac:dyDescent="0.25">
      <c r="A165" t="s">
        <v>177</v>
      </c>
      <c r="B165" t="s">
        <v>178</v>
      </c>
      <c r="C165">
        <v>207392.56915397925</v>
      </c>
      <c r="D165">
        <v>0</v>
      </c>
      <c r="E165">
        <v>100812.36634326512</v>
      </c>
      <c r="F165">
        <v>139013.56557352067</v>
      </c>
      <c r="G165">
        <v>447218.50107076502</v>
      </c>
      <c r="H165">
        <v>217245.1622937902</v>
      </c>
      <c r="I165">
        <v>0</v>
      </c>
      <c r="J165">
        <v>104839.30278453234</v>
      </c>
      <c r="K165">
        <v>142640.74696652149</v>
      </c>
      <c r="L165">
        <v>464725.21204484405</v>
      </c>
    </row>
    <row r="166" spans="1:12" x14ac:dyDescent="0.25">
      <c r="A166" t="s">
        <v>497</v>
      </c>
      <c r="B166" t="s">
        <v>498</v>
      </c>
      <c r="C166">
        <v>137656.08536749179</v>
      </c>
      <c r="D166">
        <v>36270.109806167995</v>
      </c>
      <c r="E166">
        <v>82838.590005181162</v>
      </c>
      <c r="F166">
        <v>113863.13692669111</v>
      </c>
      <c r="G166">
        <v>370627.92210553202</v>
      </c>
      <c r="H166">
        <v>123890.47683074261</v>
      </c>
      <c r="I166">
        <v>32643.098825551195</v>
      </c>
      <c r="J166">
        <v>74554.731004663045</v>
      </c>
      <c r="K166">
        <v>102476.823234022</v>
      </c>
      <c r="L166">
        <v>333565.12989497883</v>
      </c>
    </row>
    <row r="167" spans="1:12" x14ac:dyDescent="0.25">
      <c r="A167" t="s">
        <v>499</v>
      </c>
      <c r="B167" t="s">
        <v>500</v>
      </c>
      <c r="C167">
        <v>356185.12088838493</v>
      </c>
      <c r="D167">
        <v>93848.909123459685</v>
      </c>
      <c r="E167">
        <v>191846.51363214594</v>
      </c>
      <c r="F167">
        <v>263696.49518707505</v>
      </c>
      <c r="G167">
        <v>905577.03883106564</v>
      </c>
      <c r="H167">
        <v>302757.35275512718</v>
      </c>
      <c r="I167">
        <v>79771.572754940731</v>
      </c>
      <c r="J167">
        <v>163069.53658732405</v>
      </c>
      <c r="K167">
        <v>224142.02090901378</v>
      </c>
      <c r="L167">
        <v>769740.48300640576</v>
      </c>
    </row>
    <row r="168" spans="1:12" x14ac:dyDescent="0.25">
      <c r="A168" t="s">
        <v>179</v>
      </c>
      <c r="B168" t="s">
        <v>180</v>
      </c>
      <c r="C168">
        <v>492120.50518878293</v>
      </c>
      <c r="D168">
        <v>0</v>
      </c>
      <c r="E168">
        <v>235412.3463555518</v>
      </c>
      <c r="F168">
        <v>323578.51848563948</v>
      </c>
      <c r="G168">
        <v>1051111.3700299743</v>
      </c>
      <c r="H168">
        <v>433621.34393840539</v>
      </c>
      <c r="I168">
        <v>0</v>
      </c>
      <c r="J168">
        <v>209259.24835792658</v>
      </c>
      <c r="K168">
        <v>284710.93094517692</v>
      </c>
      <c r="L168">
        <v>927591.52324150898</v>
      </c>
    </row>
    <row r="169" spans="1:12" x14ac:dyDescent="0.25">
      <c r="A169" t="s">
        <v>501</v>
      </c>
      <c r="B169" t="s">
        <v>502</v>
      </c>
      <c r="C169">
        <v>295100.23300656042</v>
      </c>
      <c r="D169">
        <v>72303.109848999302</v>
      </c>
      <c r="E169">
        <v>141165.09580411582</v>
      </c>
      <c r="F169">
        <v>194033.97174925587</v>
      </c>
      <c r="G169">
        <v>702602.41040893144</v>
      </c>
      <c r="H169">
        <v>323260.8014931599</v>
      </c>
      <c r="I169">
        <v>87045.676710889747</v>
      </c>
      <c r="J169">
        <v>156000.88254338416</v>
      </c>
      <c r="K169">
        <v>212249.43148618404</v>
      </c>
      <c r="L169">
        <v>778556.79223361774</v>
      </c>
    </row>
    <row r="170" spans="1:12" x14ac:dyDescent="0.25">
      <c r="A170" t="s">
        <v>503</v>
      </c>
      <c r="B170" t="s">
        <v>504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8689.8064917516094</v>
      </c>
      <c r="I170">
        <v>2339.9375459916596</v>
      </c>
      <c r="J170">
        <v>4839.6547987212543</v>
      </c>
      <c r="K170">
        <v>6584.6677459167477</v>
      </c>
      <c r="L170">
        <v>22454.066582381271</v>
      </c>
    </row>
    <row r="171" spans="1:12" x14ac:dyDescent="0.25">
      <c r="A171" t="s">
        <v>181</v>
      </c>
      <c r="B171" t="s">
        <v>182</v>
      </c>
      <c r="C171">
        <v>1296548.2540550628</v>
      </c>
      <c r="D171">
        <v>0</v>
      </c>
      <c r="E171">
        <v>798988.07563776523</v>
      </c>
      <c r="F171">
        <v>1101751.5536431181</v>
      </c>
      <c r="G171">
        <v>3197287.8833359461</v>
      </c>
      <c r="H171">
        <v>1410355.5936112858</v>
      </c>
      <c r="I171">
        <v>0</v>
      </c>
      <c r="J171">
        <v>876037.21406755236</v>
      </c>
      <c r="K171">
        <v>1191906.0816522536</v>
      </c>
      <c r="L171">
        <v>3478298.8893310921</v>
      </c>
    </row>
    <row r="172" spans="1:12" x14ac:dyDescent="0.25">
      <c r="A172" t="s">
        <v>505</v>
      </c>
      <c r="B172" t="s">
        <v>506</v>
      </c>
      <c r="C172">
        <v>60224.537348277634</v>
      </c>
      <c r="D172">
        <v>15868.173040198501</v>
      </c>
      <c r="E172">
        <v>46507.571331747757</v>
      </c>
      <c r="F172">
        <v>63925.496104453719</v>
      </c>
      <c r="G172">
        <v>186525.77782467761</v>
      </c>
      <c r="H172">
        <v>54202.083613449875</v>
      </c>
      <c r="I172">
        <v>14281.355736178652</v>
      </c>
      <c r="J172">
        <v>41856.814198572982</v>
      </c>
      <c r="K172">
        <v>57532.946494008349</v>
      </c>
      <c r="L172">
        <v>167873.20004220985</v>
      </c>
    </row>
    <row r="173" spans="1:12" x14ac:dyDescent="0.25">
      <c r="A173" t="s">
        <v>183</v>
      </c>
      <c r="B173" t="s">
        <v>184</v>
      </c>
      <c r="C173">
        <v>872395.4410164787</v>
      </c>
      <c r="D173">
        <v>0</v>
      </c>
      <c r="E173">
        <v>0</v>
      </c>
      <c r="F173">
        <v>0</v>
      </c>
      <c r="G173">
        <v>872395.4410164787</v>
      </c>
      <c r="H173">
        <v>932416.23656494764</v>
      </c>
      <c r="I173">
        <v>0</v>
      </c>
      <c r="J173">
        <v>0</v>
      </c>
      <c r="K173">
        <v>0</v>
      </c>
      <c r="L173">
        <v>932416.23656494764</v>
      </c>
    </row>
    <row r="174" spans="1:12" x14ac:dyDescent="0.25">
      <c r="A174" t="s">
        <v>185</v>
      </c>
      <c r="B174" t="s">
        <v>186</v>
      </c>
      <c r="C174">
        <v>384569.00240472978</v>
      </c>
      <c r="D174">
        <v>0</v>
      </c>
      <c r="E174">
        <v>186936.83825241221</v>
      </c>
      <c r="F174">
        <v>257773.49907672699</v>
      </c>
      <c r="G174">
        <v>829279.33973386895</v>
      </c>
      <c r="H174">
        <v>498794.89262654225</v>
      </c>
      <c r="I174">
        <v>0</v>
      </c>
      <c r="J174">
        <v>240711.0391932863</v>
      </c>
      <c r="K174">
        <v>327503.15503513347</v>
      </c>
      <c r="L174">
        <v>1067009.0868549622</v>
      </c>
    </row>
    <row r="175" spans="1:12" x14ac:dyDescent="0.25">
      <c r="A175" t="s">
        <v>187</v>
      </c>
      <c r="B175" t="s">
        <v>188</v>
      </c>
      <c r="C175">
        <v>14625.959070295998</v>
      </c>
      <c r="D175">
        <v>0</v>
      </c>
      <c r="E175">
        <v>6996.5207832943697</v>
      </c>
      <c r="F175">
        <v>9616.8440808669056</v>
      </c>
      <c r="G175">
        <v>31239.323934457272</v>
      </c>
      <c r="H175">
        <v>0</v>
      </c>
      <c r="I175">
        <v>0</v>
      </c>
      <c r="J175">
        <v>0</v>
      </c>
      <c r="K175">
        <v>0</v>
      </c>
      <c r="L175">
        <v>0</v>
      </c>
    </row>
    <row r="176" spans="1:12" x14ac:dyDescent="0.25">
      <c r="A176" t="s">
        <v>507</v>
      </c>
      <c r="B176" t="s">
        <v>508</v>
      </c>
      <c r="C176">
        <v>96359.259757244217</v>
      </c>
      <c r="D176">
        <v>25389.076864317609</v>
      </c>
      <c r="E176">
        <v>62884.831690261322</v>
      </c>
      <c r="F176">
        <v>86436.336023009426</v>
      </c>
      <c r="G176">
        <v>271069.5043348326</v>
      </c>
      <c r="H176">
        <v>81905.370793657581</v>
      </c>
      <c r="I176">
        <v>21580.715334669967</v>
      </c>
      <c r="J176">
        <v>53452.106936722121</v>
      </c>
      <c r="K176">
        <v>73470.885619558016</v>
      </c>
      <c r="L176">
        <v>230409.07868460767</v>
      </c>
    </row>
    <row r="177" spans="1:12" x14ac:dyDescent="0.25">
      <c r="A177" t="s">
        <v>509</v>
      </c>
      <c r="B177" t="s">
        <v>510</v>
      </c>
      <c r="C177">
        <v>166047.6529745369</v>
      </c>
      <c r="D177">
        <v>43750.819953690137</v>
      </c>
      <c r="E177">
        <v>88653.346983171388</v>
      </c>
      <c r="F177">
        <v>121855.62533021074</v>
      </c>
      <c r="G177">
        <v>420307.44524160918</v>
      </c>
      <c r="H177">
        <v>167713.26529080601</v>
      </c>
      <c r="I177">
        <v>45160.794637639017</v>
      </c>
      <c r="J177">
        <v>91508.964467618483</v>
      </c>
      <c r="K177">
        <v>124503.94746157891</v>
      </c>
      <c r="L177">
        <v>428886.97185764241</v>
      </c>
    </row>
    <row r="178" spans="1:12" x14ac:dyDescent="0.25">
      <c r="A178" t="s">
        <v>511</v>
      </c>
      <c r="B178" t="s">
        <v>512</v>
      </c>
      <c r="C178">
        <v>169489.05510872419</v>
      </c>
      <c r="D178">
        <v>44657.572698844357</v>
      </c>
      <c r="E178">
        <v>125910.41691628068</v>
      </c>
      <c r="F178">
        <v>173066.14032105749</v>
      </c>
      <c r="G178">
        <v>513123.18504490668</v>
      </c>
      <c r="H178">
        <v>152540.14959785176</v>
      </c>
      <c r="I178">
        <v>40191.815428959919</v>
      </c>
      <c r="J178">
        <v>113319.37522465261</v>
      </c>
      <c r="K178">
        <v>155759.52628895175</v>
      </c>
      <c r="L178">
        <v>461810.86654041603</v>
      </c>
    </row>
    <row r="179" spans="1:12" x14ac:dyDescent="0.25">
      <c r="A179" t="s">
        <v>288</v>
      </c>
      <c r="B179" t="s">
        <v>289</v>
      </c>
      <c r="C179">
        <v>28155.944818917713</v>
      </c>
      <c r="D179">
        <v>0</v>
      </c>
      <c r="E179">
        <v>13686.447086337319</v>
      </c>
      <c r="F179">
        <v>18872.702610974666</v>
      </c>
      <c r="G179">
        <v>60715.094516229699</v>
      </c>
      <c r="H179">
        <v>39104.129212882253</v>
      </c>
      <c r="I179">
        <v>0</v>
      </c>
      <c r="J179">
        <v>18871.074501215819</v>
      </c>
      <c r="K179">
        <v>25675.334453973872</v>
      </c>
      <c r="L179">
        <v>83650.538168071944</v>
      </c>
    </row>
    <row r="180" spans="1:12" x14ac:dyDescent="0.25">
      <c r="A180" t="s">
        <v>513</v>
      </c>
      <c r="B180" t="s">
        <v>514</v>
      </c>
      <c r="C180">
        <v>189540.06334198822</v>
      </c>
      <c r="D180">
        <v>49281.936064202098</v>
      </c>
      <c r="E180">
        <v>119657.10538548001</v>
      </c>
      <c r="F180">
        <v>162057.22416926097</v>
      </c>
      <c r="G180">
        <v>520536.32896093128</v>
      </c>
      <c r="H180">
        <v>170586.05700778941</v>
      </c>
      <c r="I180">
        <v>44353.742457781889</v>
      </c>
      <c r="J180">
        <v>107691.39484693202</v>
      </c>
      <c r="K180">
        <v>145851.50175233488</v>
      </c>
      <c r="L180">
        <v>468482.69606483821</v>
      </c>
    </row>
    <row r="181" spans="1:12" x14ac:dyDescent="0.25">
      <c r="A181" t="s">
        <v>189</v>
      </c>
      <c r="B181" t="s">
        <v>190</v>
      </c>
      <c r="C181">
        <v>938642.43209958449</v>
      </c>
      <c r="D181">
        <v>0</v>
      </c>
      <c r="E181">
        <v>531324.01948429598</v>
      </c>
      <c r="F181">
        <v>730314.45343524578</v>
      </c>
      <c r="G181">
        <v>2200280.9050191264</v>
      </c>
      <c r="H181">
        <v>797429.69839450764</v>
      </c>
      <c r="I181">
        <v>0</v>
      </c>
      <c r="J181">
        <v>451389.72852461907</v>
      </c>
      <c r="K181">
        <v>620443.32795966254</v>
      </c>
      <c r="L181">
        <v>1869262.7548787892</v>
      </c>
    </row>
    <row r="182" spans="1:12" x14ac:dyDescent="0.25">
      <c r="A182" t="s">
        <v>515</v>
      </c>
      <c r="B182" t="s">
        <v>516</v>
      </c>
      <c r="C182">
        <v>362248.38360727491</v>
      </c>
      <c r="D182">
        <v>94187.483983706727</v>
      </c>
      <c r="E182">
        <v>234856.15125787447</v>
      </c>
      <c r="F182">
        <v>318076.68946457456</v>
      </c>
      <c r="G182">
        <v>1009368.7083134307</v>
      </c>
      <c r="H182">
        <v>344116.33707336371</v>
      </c>
      <c r="I182">
        <v>92661.526821269697</v>
      </c>
      <c r="J182">
        <v>211370.53613208703</v>
      </c>
      <c r="K182">
        <v>286269.02051811712</v>
      </c>
      <c r="L182">
        <v>934417.4205448376</v>
      </c>
    </row>
    <row r="183" spans="1:12" x14ac:dyDescent="0.25">
      <c r="A183" t="s">
        <v>517</v>
      </c>
      <c r="B183" t="s">
        <v>518</v>
      </c>
      <c r="C183">
        <v>110985.21882754021</v>
      </c>
      <c r="D183">
        <v>26259.338402870399</v>
      </c>
      <c r="E183">
        <v>53091.245943821988</v>
      </c>
      <c r="F183">
        <v>72974.875672460665</v>
      </c>
      <c r="G183">
        <v>263310.67884669325</v>
      </c>
      <c r="H183">
        <v>94337.436003409181</v>
      </c>
      <c r="I183">
        <v>22320.43764243984</v>
      </c>
      <c r="J183">
        <v>45127.559052248689</v>
      </c>
      <c r="K183">
        <v>62028.644321591564</v>
      </c>
      <c r="L183">
        <v>223814.07701968928</v>
      </c>
    </row>
    <row r="184" spans="1:12" x14ac:dyDescent="0.25">
      <c r="A184" t="s">
        <v>519</v>
      </c>
      <c r="B184" t="s">
        <v>520</v>
      </c>
      <c r="C184">
        <v>16346.660137389648</v>
      </c>
      <c r="D184">
        <v>4307.0755394824473</v>
      </c>
      <c r="E184">
        <v>12429.010501487892</v>
      </c>
      <c r="F184">
        <v>17083.89923712708</v>
      </c>
      <c r="G184">
        <v>50166.645415487066</v>
      </c>
      <c r="H184">
        <v>20855.535580203861</v>
      </c>
      <c r="I184">
        <v>5615.8501103799836</v>
      </c>
      <c r="J184">
        <v>19265.637217245407</v>
      </c>
      <c r="K184">
        <v>26212.162905182362</v>
      </c>
      <c r="L184">
        <v>71949.185813011602</v>
      </c>
    </row>
    <row r="185" spans="1:12" x14ac:dyDescent="0.25">
      <c r="A185" t="s">
        <v>521</v>
      </c>
      <c r="B185" t="s">
        <v>522</v>
      </c>
      <c r="C185">
        <v>67967.692150199073</v>
      </c>
      <c r="D185">
        <v>0</v>
      </c>
      <c r="E185">
        <v>32513.243640015011</v>
      </c>
      <c r="F185">
        <v>44690.040140499143</v>
      </c>
      <c r="G185">
        <v>145170.97593071323</v>
      </c>
      <c r="H185">
        <v>72994.374530713496</v>
      </c>
      <c r="I185">
        <v>0</v>
      </c>
      <c r="J185">
        <v>35226.00573560287</v>
      </c>
      <c r="K185">
        <v>47927.290980751226</v>
      </c>
      <c r="L185">
        <v>156147.6712470676</v>
      </c>
    </row>
    <row r="186" spans="1:12" x14ac:dyDescent="0.25">
      <c r="A186" t="s">
        <v>290</v>
      </c>
      <c r="B186" t="s">
        <v>291</v>
      </c>
      <c r="C186">
        <v>18927.711738030121</v>
      </c>
      <c r="D186">
        <v>0</v>
      </c>
      <c r="E186">
        <v>9054.3210136750695</v>
      </c>
      <c r="F186">
        <v>12445.327634063058</v>
      </c>
      <c r="G186">
        <v>40427.360385768246</v>
      </c>
      <c r="H186">
        <v>16088.554977325603</v>
      </c>
      <c r="I186">
        <v>0</v>
      </c>
      <c r="J186">
        <v>7696.1728616238088</v>
      </c>
      <c r="K186">
        <v>10578.5284889536</v>
      </c>
      <c r="L186">
        <v>34363.256327903007</v>
      </c>
    </row>
    <row r="187" spans="1:12" x14ac:dyDescent="0.25">
      <c r="A187" t="s">
        <v>523</v>
      </c>
      <c r="B187" t="s">
        <v>524</v>
      </c>
      <c r="C187">
        <v>30972.619207685646</v>
      </c>
      <c r="D187">
        <v>8160.7747063877996</v>
      </c>
      <c r="E187">
        <v>22149.173935707247</v>
      </c>
      <c r="F187">
        <v>30444.439294497824</v>
      </c>
      <c r="G187">
        <v>91727.007144278527</v>
      </c>
      <c r="H187">
        <v>39104.129212882253</v>
      </c>
      <c r="I187">
        <v>10529.718956962468</v>
      </c>
      <c r="J187">
        <v>33588.940022622373</v>
      </c>
      <c r="K187">
        <v>45699.955716868986</v>
      </c>
      <c r="L187">
        <v>128922.74390933607</v>
      </c>
    </row>
    <row r="188" spans="1:12" x14ac:dyDescent="0.25">
      <c r="A188" t="s">
        <v>525</v>
      </c>
      <c r="B188" t="s">
        <v>526</v>
      </c>
      <c r="C188">
        <v>51145.731377996824</v>
      </c>
      <c r="D188">
        <v>13298.300207800568</v>
      </c>
      <c r="E188">
        <v>25741.675201066904</v>
      </c>
      <c r="F188">
        <v>34863.15681055926</v>
      </c>
      <c r="G188">
        <v>125048.86359742355</v>
      </c>
      <c r="H188">
        <v>43473.871671297296</v>
      </c>
      <c r="I188">
        <v>11303.555176630483</v>
      </c>
      <c r="J188">
        <v>21880.423920906869</v>
      </c>
      <c r="K188">
        <v>29633.683288975371</v>
      </c>
      <c r="L188">
        <v>106291.53405781001</v>
      </c>
    </row>
    <row r="189" spans="1:12" x14ac:dyDescent="0.25">
      <c r="A189" t="s">
        <v>527</v>
      </c>
      <c r="B189" t="s">
        <v>528</v>
      </c>
      <c r="C189">
        <v>221699.26327839165</v>
      </c>
      <c r="D189">
        <v>57643.585876897057</v>
      </c>
      <c r="E189">
        <v>195219.57189374111</v>
      </c>
      <c r="F189">
        <v>264395.0129220672</v>
      </c>
      <c r="G189">
        <v>738957.43397109699</v>
      </c>
      <c r="H189">
        <v>199529.33695055248</v>
      </c>
      <c r="I189">
        <v>51879.227289207352</v>
      </c>
      <c r="J189">
        <v>175697.61470436701</v>
      </c>
      <c r="K189">
        <v>237955.51162986047</v>
      </c>
      <c r="L189">
        <v>665061.69057398732</v>
      </c>
    </row>
    <row r="190" spans="1:12" x14ac:dyDescent="0.25">
      <c r="A190" t="s">
        <v>292</v>
      </c>
      <c r="B190" t="s">
        <v>293</v>
      </c>
      <c r="C190">
        <v>148840.64230360044</v>
      </c>
      <c r="D190">
        <v>0</v>
      </c>
      <c r="E190">
        <v>71199.887971172124</v>
      </c>
      <c r="F190">
        <v>97865.530940586759</v>
      </c>
      <c r="G190">
        <v>317906.06121535931</v>
      </c>
      <c r="H190">
        <v>142512.82646472641</v>
      </c>
      <c r="I190">
        <v>0</v>
      </c>
      <c r="J190">
        <v>68774.582626653209</v>
      </c>
      <c r="K190">
        <v>93572.330010038102</v>
      </c>
      <c r="L190">
        <v>304859.73910141771</v>
      </c>
    </row>
    <row r="191" spans="1:12" x14ac:dyDescent="0.25">
      <c r="A191" t="s">
        <v>529</v>
      </c>
      <c r="B191" t="s">
        <v>530</v>
      </c>
      <c r="C191">
        <v>652959.38601576176</v>
      </c>
      <c r="D191">
        <v>171013.67685092546</v>
      </c>
      <c r="E191">
        <v>362946.4858778714</v>
      </c>
      <c r="F191">
        <v>500479.12715852086</v>
      </c>
      <c r="G191">
        <v>1687398.6759030796</v>
      </c>
      <c r="H191">
        <v>786427.48750352056</v>
      </c>
      <c r="I191">
        <v>211764.34791224514</v>
      </c>
      <c r="J191">
        <v>441884.40954893193</v>
      </c>
      <c r="K191">
        <v>601212.71867347159</v>
      </c>
      <c r="L191">
        <v>2041288.9636381692</v>
      </c>
    </row>
    <row r="192" spans="1:12" x14ac:dyDescent="0.25">
      <c r="A192" t="s">
        <v>531</v>
      </c>
      <c r="B192" t="s">
        <v>532</v>
      </c>
      <c r="C192">
        <v>9513.5939129183298</v>
      </c>
      <c r="D192">
        <v>2473.6106904811863</v>
      </c>
      <c r="E192">
        <v>5079.7004827414748</v>
      </c>
      <c r="F192">
        <v>6879.6763651632755</v>
      </c>
      <c r="G192">
        <v>23946.581451304268</v>
      </c>
      <c r="H192">
        <v>0</v>
      </c>
      <c r="I192">
        <v>2102.5690869090085</v>
      </c>
      <c r="J192">
        <v>0</v>
      </c>
      <c r="K192">
        <v>0</v>
      </c>
      <c r="L192">
        <v>2102.5690869090085</v>
      </c>
    </row>
    <row r="193" spans="1:12" x14ac:dyDescent="0.25">
      <c r="A193" t="s">
        <v>533</v>
      </c>
      <c r="B193" t="s">
        <v>534</v>
      </c>
      <c r="C193">
        <v>15794.798313051404</v>
      </c>
      <c r="D193">
        <v>0</v>
      </c>
      <c r="E193">
        <v>0</v>
      </c>
      <c r="F193">
        <v>0</v>
      </c>
      <c r="G193">
        <v>15794.798313051404</v>
      </c>
      <c r="H193">
        <v>13425.578566093693</v>
      </c>
      <c r="I193">
        <v>0</v>
      </c>
      <c r="J193">
        <v>0</v>
      </c>
      <c r="K193">
        <v>0</v>
      </c>
      <c r="L193">
        <v>13425.578566093693</v>
      </c>
    </row>
    <row r="194" spans="1:12" x14ac:dyDescent="0.25">
      <c r="A194" t="s">
        <v>651</v>
      </c>
      <c r="B194" t="s">
        <v>652</v>
      </c>
      <c r="C194">
        <v>866900.40070897446</v>
      </c>
      <c r="D194">
        <v>214313.73646299259</v>
      </c>
      <c r="E194">
        <v>412754.15017507272</v>
      </c>
      <c r="F194">
        <v>548377.30802943988</v>
      </c>
      <c r="G194">
        <v>2042345.5953764794</v>
      </c>
      <c r="H194">
        <v>823555.38067352574</v>
      </c>
      <c r="I194">
        <v>203598.04963984294</v>
      </c>
      <c r="J194">
        <v>392116.44266631908</v>
      </c>
      <c r="K194">
        <v>520958.44262796786</v>
      </c>
      <c r="L194">
        <v>1940228.3156076556</v>
      </c>
    </row>
    <row r="195" spans="1:12" x14ac:dyDescent="0.25">
      <c r="A195" t="s">
        <v>535</v>
      </c>
      <c r="B195" t="s">
        <v>536</v>
      </c>
      <c r="C195">
        <v>2082908.6417168598</v>
      </c>
      <c r="D195">
        <v>431199.23366368335</v>
      </c>
      <c r="E195">
        <v>1385105.3350692478</v>
      </c>
      <c r="F195">
        <v>1903852.279656328</v>
      </c>
      <c r="G195">
        <v>5803065.4901061188</v>
      </c>
      <c r="H195">
        <v>2771179.2902195877</v>
      </c>
      <c r="I195">
        <v>746206.08341674006</v>
      </c>
      <c r="J195">
        <v>2055479.3703935407</v>
      </c>
      <c r="K195">
        <v>2796614.485025621</v>
      </c>
      <c r="L195">
        <v>8369479.2290554894</v>
      </c>
    </row>
    <row r="196" spans="1:12" x14ac:dyDescent="0.25">
      <c r="A196" t="s">
        <v>537</v>
      </c>
      <c r="B196" t="s">
        <v>538</v>
      </c>
      <c r="C196">
        <v>44387.736841564809</v>
      </c>
      <c r="D196">
        <v>11541.167447610704</v>
      </c>
      <c r="E196">
        <v>27961.209980039668</v>
      </c>
      <c r="F196">
        <v>37869.176754537511</v>
      </c>
      <c r="G196">
        <v>121759.29102375268</v>
      </c>
      <c r="H196">
        <v>39973.109862057398</v>
      </c>
      <c r="I196">
        <v>10763.712711561633</v>
      </c>
      <c r="J196">
        <v>25165.088982035701</v>
      </c>
      <c r="K196">
        <v>34082.259079083764</v>
      </c>
      <c r="L196">
        <v>109984.17063473849</v>
      </c>
    </row>
    <row r="197" spans="1:12" x14ac:dyDescent="0.25">
      <c r="A197" t="s">
        <v>191</v>
      </c>
      <c r="B197" t="s">
        <v>192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</row>
    <row r="198" spans="1:12" x14ac:dyDescent="0.25">
      <c r="A198" t="s">
        <v>294</v>
      </c>
      <c r="B198" t="s">
        <v>295</v>
      </c>
      <c r="C198">
        <v>28068.715943930685</v>
      </c>
      <c r="D198">
        <v>0</v>
      </c>
      <c r="E198">
        <v>12757.7724962539</v>
      </c>
      <c r="F198">
        <v>17278.449037065977</v>
      </c>
      <c r="G198">
        <v>58104.937477250562</v>
      </c>
      <c r="H198">
        <v>23858.408552341083</v>
      </c>
      <c r="I198">
        <v>0</v>
      </c>
      <c r="J198">
        <v>10844.106621815814</v>
      </c>
      <c r="K198">
        <v>14686.681681506079</v>
      </c>
      <c r="L198">
        <v>49389.19685566298</v>
      </c>
    </row>
    <row r="199" spans="1:12" x14ac:dyDescent="0.25">
      <c r="A199" t="s">
        <v>193</v>
      </c>
      <c r="B199" t="s">
        <v>194</v>
      </c>
      <c r="C199">
        <v>459427.18491400371</v>
      </c>
      <c r="D199">
        <v>0</v>
      </c>
      <c r="E199">
        <v>0</v>
      </c>
      <c r="F199">
        <v>0</v>
      </c>
      <c r="G199">
        <v>459427.18491400371</v>
      </c>
      <c r="H199">
        <v>452738.9182202589</v>
      </c>
      <c r="I199">
        <v>0</v>
      </c>
      <c r="J199">
        <v>0</v>
      </c>
      <c r="K199">
        <v>0</v>
      </c>
      <c r="L199">
        <v>452738.9182202589</v>
      </c>
    </row>
    <row r="200" spans="1:12" x14ac:dyDescent="0.25">
      <c r="A200" t="s">
        <v>83</v>
      </c>
      <c r="B200" t="s">
        <v>1399</v>
      </c>
      <c r="C200">
        <v>16501.837971525518</v>
      </c>
      <c r="D200">
        <v>0</v>
      </c>
      <c r="E200">
        <v>9506.4184457192769</v>
      </c>
      <c r="F200">
        <v>13108.720407113116</v>
      </c>
      <c r="G200">
        <v>39116.976824357916</v>
      </c>
      <c r="H200">
        <v>20465.935332100711</v>
      </c>
      <c r="I200">
        <v>0</v>
      </c>
      <c r="J200">
        <v>11669.812934574229</v>
      </c>
      <c r="K200">
        <v>15877.545822374846</v>
      </c>
      <c r="L200">
        <v>48013.294089049785</v>
      </c>
    </row>
    <row r="201" spans="1:12" x14ac:dyDescent="0.25">
      <c r="A201" t="s">
        <v>539</v>
      </c>
      <c r="B201" t="s">
        <v>540</v>
      </c>
      <c r="C201">
        <v>170995.85999781726</v>
      </c>
      <c r="D201">
        <v>44784.762070648816</v>
      </c>
      <c r="E201">
        <v>86794.640474281914</v>
      </c>
      <c r="F201">
        <v>119684.0514973964</v>
      </c>
      <c r="G201">
        <v>422259.31404014444</v>
      </c>
      <c r="H201">
        <v>150333.65230730278</v>
      </c>
      <c r="I201">
        <v>38067.047760051493</v>
      </c>
      <c r="J201">
        <v>73775.444403139627</v>
      </c>
      <c r="K201">
        <v>101731.44377278694</v>
      </c>
      <c r="L201">
        <v>363907.58824328083</v>
      </c>
    </row>
    <row r="202" spans="1:12" x14ac:dyDescent="0.25">
      <c r="A202" t="s">
        <v>541</v>
      </c>
      <c r="B202" t="s">
        <v>542</v>
      </c>
      <c r="C202">
        <v>55922.78468054354</v>
      </c>
      <c r="D202">
        <v>14734.732108755747</v>
      </c>
      <c r="E202">
        <v>28684.726889394035</v>
      </c>
      <c r="F202">
        <v>39427.674774613268</v>
      </c>
      <c r="G202">
        <v>138769.9184533066</v>
      </c>
      <c r="H202">
        <v>51269.858301334483</v>
      </c>
      <c r="I202">
        <v>13805.63152135079</v>
      </c>
      <c r="J202">
        <v>25816.25420045463</v>
      </c>
      <c r="K202">
        <v>35484.907297151942</v>
      </c>
      <c r="L202">
        <v>126376.65132029186</v>
      </c>
    </row>
    <row r="203" spans="1:12" x14ac:dyDescent="0.25">
      <c r="A203" t="s">
        <v>543</v>
      </c>
      <c r="B203" t="s">
        <v>544</v>
      </c>
      <c r="C203">
        <v>511908.56746036001</v>
      </c>
      <c r="D203">
        <v>127771.50605062442</v>
      </c>
      <c r="E203">
        <v>244878.22741530291</v>
      </c>
      <c r="F203">
        <v>336589.54283034179</v>
      </c>
      <c r="G203">
        <v>1221147.8437566292</v>
      </c>
      <c r="H203">
        <v>525733.29275097221</v>
      </c>
      <c r="I203">
        <v>108605.78014303076</v>
      </c>
      <c r="J203">
        <v>253711.11273856828</v>
      </c>
      <c r="K203">
        <v>345190.60765898204</v>
      </c>
      <c r="L203">
        <v>1233240.7932915534</v>
      </c>
    </row>
    <row r="204" spans="1:12" x14ac:dyDescent="0.25">
      <c r="A204" t="s">
        <v>545</v>
      </c>
      <c r="B204" t="s">
        <v>546</v>
      </c>
      <c r="C204">
        <v>184730.46722655772</v>
      </c>
      <c r="D204">
        <v>48381.931714877639</v>
      </c>
      <c r="E204">
        <v>103432.00238795746</v>
      </c>
      <c r="F204">
        <v>142625.86989973413</v>
      </c>
      <c r="G204">
        <v>479170.27122912696</v>
      </c>
      <c r="H204">
        <v>196389.62671358636</v>
      </c>
      <c r="I204">
        <v>52882.58853941151</v>
      </c>
      <c r="J204">
        <v>101908.31039658515</v>
      </c>
      <c r="K204">
        <v>138652.93960357847</v>
      </c>
      <c r="L204">
        <v>489833.4652531615</v>
      </c>
    </row>
    <row r="205" spans="1:12" x14ac:dyDescent="0.25">
      <c r="A205" t="s">
        <v>547</v>
      </c>
      <c r="B205" t="s">
        <v>548</v>
      </c>
      <c r="C205">
        <v>39576.124543153885</v>
      </c>
      <c r="D205">
        <v>0</v>
      </c>
      <c r="E205">
        <v>18931.762119502415</v>
      </c>
      <c r="F205">
        <v>26022.048689404583</v>
      </c>
      <c r="G205">
        <v>84529.935352060886</v>
      </c>
      <c r="H205">
        <v>57352.722845560602</v>
      </c>
      <c r="I205">
        <v>15443.587803544951</v>
      </c>
      <c r="J205">
        <v>31481.103904418254</v>
      </c>
      <c r="K205">
        <v>42832.106442808275</v>
      </c>
      <c r="L205">
        <v>147109.52099633208</v>
      </c>
    </row>
    <row r="206" spans="1:12" x14ac:dyDescent="0.25">
      <c r="A206" t="s">
        <v>77</v>
      </c>
      <c r="B206" t="s">
        <v>34</v>
      </c>
      <c r="C206">
        <v>55061.668497709215</v>
      </c>
      <c r="D206">
        <v>14507.842186498488</v>
      </c>
      <c r="E206">
        <v>46405.322580160318</v>
      </c>
      <c r="F206">
        <v>63784.953350142547</v>
      </c>
      <c r="G206">
        <v>179759.78661451058</v>
      </c>
      <c r="H206">
        <v>22639.917766779832</v>
      </c>
      <c r="I206">
        <v>5965.2452066433507</v>
      </c>
      <c r="J206">
        <v>19080.654760751218</v>
      </c>
      <c r="K206">
        <v>26226.704311824378</v>
      </c>
      <c r="L206">
        <v>73912.522045998776</v>
      </c>
    </row>
    <row r="207" spans="1:12" x14ac:dyDescent="0.25">
      <c r="A207" t="s">
        <v>549</v>
      </c>
      <c r="B207" t="s">
        <v>550</v>
      </c>
      <c r="C207">
        <v>308968.76715279772</v>
      </c>
      <c r="D207">
        <v>78471.919361589447</v>
      </c>
      <c r="E207">
        <v>138284.17548158282</v>
      </c>
      <c r="F207">
        <v>190074.09477478123</v>
      </c>
      <c r="G207">
        <v>715798.95677075116</v>
      </c>
      <c r="H207">
        <v>311095.07240470761</v>
      </c>
      <c r="I207">
        <v>66701.131457351032</v>
      </c>
      <c r="J207">
        <v>150129.88158745031</v>
      </c>
      <c r="K207">
        <v>204261.54965605881</v>
      </c>
      <c r="L207">
        <v>732187.63510556775</v>
      </c>
    </row>
    <row r="208" spans="1:12" x14ac:dyDescent="0.25">
      <c r="A208" t="s">
        <v>58</v>
      </c>
      <c r="B208" t="s">
        <v>1426</v>
      </c>
      <c r="C208">
        <v>283055.32553690486</v>
      </c>
      <c r="D208">
        <v>0</v>
      </c>
      <c r="E208">
        <v>135403.25515904985</v>
      </c>
      <c r="F208">
        <v>186114.21780030662</v>
      </c>
      <c r="G208">
        <v>604572.79849626136</v>
      </c>
      <c r="H208">
        <v>363233.91135521716</v>
      </c>
      <c r="I208">
        <v>0</v>
      </c>
      <c r="J208">
        <v>175291.31425573808</v>
      </c>
      <c r="K208">
        <v>238495.32892802396</v>
      </c>
      <c r="L208">
        <v>777020.5545389792</v>
      </c>
    </row>
    <row r="209" spans="1:12" x14ac:dyDescent="0.25">
      <c r="A209" t="s">
        <v>195</v>
      </c>
      <c r="B209" t="s">
        <v>196</v>
      </c>
      <c r="C209">
        <v>1587346.7343938893</v>
      </c>
      <c r="D209">
        <v>0</v>
      </c>
      <c r="E209">
        <v>996798.43159640976</v>
      </c>
      <c r="F209">
        <v>1370117.4331682152</v>
      </c>
      <c r="G209">
        <v>3954262.5991585143</v>
      </c>
      <c r="H209">
        <v>1817038.5374252617</v>
      </c>
      <c r="I209">
        <v>0</v>
      </c>
      <c r="J209">
        <v>1170425.9762865189</v>
      </c>
      <c r="K209">
        <v>1592441.2991342463</v>
      </c>
      <c r="L209">
        <v>4579905.8128460264</v>
      </c>
    </row>
    <row r="210" spans="1:12" x14ac:dyDescent="0.25">
      <c r="A210" t="s">
        <v>551</v>
      </c>
      <c r="B210" t="s">
        <v>552</v>
      </c>
      <c r="C210">
        <v>9463.8558690150603</v>
      </c>
      <c r="D210">
        <v>2620.9095432834765</v>
      </c>
      <c r="E210">
        <v>8011.4278569181315</v>
      </c>
      <c r="F210">
        <v>11011.852169303249</v>
      </c>
      <c r="G210">
        <v>31108.045438519915</v>
      </c>
      <c r="H210">
        <v>0</v>
      </c>
      <c r="I210">
        <v>2358.8185889551291</v>
      </c>
      <c r="J210">
        <v>0</v>
      </c>
      <c r="K210">
        <v>0</v>
      </c>
      <c r="L210">
        <v>2358.8185889551291</v>
      </c>
    </row>
    <row r="211" spans="1:12" x14ac:dyDescent="0.25">
      <c r="A211" t="s">
        <v>553</v>
      </c>
      <c r="B211" t="s">
        <v>554</v>
      </c>
      <c r="C211">
        <v>24950.165472857887</v>
      </c>
      <c r="D211">
        <v>5091.6915210047209</v>
      </c>
      <c r="E211">
        <v>11935.241336208044</v>
      </c>
      <c r="F211">
        <v>16405.204608537671</v>
      </c>
      <c r="G211">
        <v>58382.302938608329</v>
      </c>
      <c r="H211">
        <v>26938.400124429987</v>
      </c>
      <c r="I211">
        <v>7253.8063925741435</v>
      </c>
      <c r="J211">
        <v>13292.763910795871</v>
      </c>
      <c r="K211">
        <v>18085.677061229802</v>
      </c>
      <c r="L211">
        <v>65570.647489029798</v>
      </c>
    </row>
    <row r="212" spans="1:12" x14ac:dyDescent="0.25">
      <c r="A212" t="s">
        <v>555</v>
      </c>
      <c r="B212" t="s">
        <v>556</v>
      </c>
      <c r="C212">
        <v>246621.62681949825</v>
      </c>
      <c r="D212">
        <v>64123.600207089214</v>
      </c>
      <c r="E212">
        <v>159884.36766561729</v>
      </c>
      <c r="F212">
        <v>216538.89026043261</v>
      </c>
      <c r="G212">
        <v>687168.48495263734</v>
      </c>
      <c r="H212">
        <v>221959.46413754844</v>
      </c>
      <c r="I212">
        <v>57711.240186380295</v>
      </c>
      <c r="J212">
        <v>143895.93089905556</v>
      </c>
      <c r="K212">
        <v>194885.00123438935</v>
      </c>
      <c r="L212">
        <v>618451.63645737362</v>
      </c>
    </row>
    <row r="213" spans="1:12" x14ac:dyDescent="0.25">
      <c r="A213" t="s">
        <v>557</v>
      </c>
      <c r="B213" t="s">
        <v>558</v>
      </c>
      <c r="C213">
        <v>402644.04969991342</v>
      </c>
      <c r="D213">
        <v>96516.264455430864</v>
      </c>
      <c r="E213">
        <v>192610.10156363333</v>
      </c>
      <c r="F213">
        <v>264746.0605791597</v>
      </c>
      <c r="G213">
        <v>956516.47629813734</v>
      </c>
      <c r="H213">
        <v>384958.42758459627</v>
      </c>
      <c r="I213">
        <v>82038.824787116231</v>
      </c>
      <c r="J213">
        <v>185775.2445341913</v>
      </c>
      <c r="K213">
        <v>252759.40362467608</v>
      </c>
      <c r="L213">
        <v>905531.90053057985</v>
      </c>
    </row>
    <row r="214" spans="1:12" x14ac:dyDescent="0.25">
      <c r="A214" t="s">
        <v>69</v>
      </c>
      <c r="B214" t="s">
        <v>16</v>
      </c>
      <c r="C214">
        <v>49429.968712509522</v>
      </c>
      <c r="D214">
        <v>13023.982108251608</v>
      </c>
      <c r="E214">
        <v>36072.271866129835</v>
      </c>
      <c r="F214">
        <v>49736.805696874522</v>
      </c>
      <c r="G214">
        <v>148263.02838376549</v>
      </c>
      <c r="H214">
        <v>59717.548911030623</v>
      </c>
      <c r="I214">
        <v>16080.373594527231</v>
      </c>
      <c r="J214">
        <v>45159.322577754327</v>
      </c>
      <c r="K214">
        <v>61442.219987210206</v>
      </c>
      <c r="L214">
        <v>182399.46507052239</v>
      </c>
    </row>
    <row r="215" spans="1:12" x14ac:dyDescent="0.25">
      <c r="A215" t="s">
        <v>197</v>
      </c>
      <c r="B215" t="s">
        <v>198</v>
      </c>
      <c r="C215">
        <v>110563.58819135977</v>
      </c>
      <c r="D215">
        <v>28957.215636042005</v>
      </c>
      <c r="E215">
        <v>53744.340997568514</v>
      </c>
      <c r="F215">
        <v>74109.880984559015</v>
      </c>
      <c r="G215">
        <v>267375.0258095293</v>
      </c>
      <c r="H215">
        <v>93979.049962655801</v>
      </c>
      <c r="I215">
        <v>24613.633290635702</v>
      </c>
      <c r="J215">
        <v>45682.689847933238</v>
      </c>
      <c r="K215">
        <v>62993.39883687516</v>
      </c>
      <c r="L215">
        <v>227268.7719380999</v>
      </c>
    </row>
    <row r="216" spans="1:12" x14ac:dyDescent="0.25">
      <c r="A216" t="s">
        <v>71</v>
      </c>
      <c r="B216" t="s">
        <v>22</v>
      </c>
      <c r="C216">
        <v>47951.391656929336</v>
      </c>
      <c r="D216">
        <v>11519.321880756779</v>
      </c>
      <c r="E216">
        <v>40386.296278302019</v>
      </c>
      <c r="F216">
        <v>55511.693074575538</v>
      </c>
      <c r="G216">
        <v>155368.70289056367</v>
      </c>
      <c r="H216">
        <v>21150.742994744629</v>
      </c>
      <c r="I216">
        <v>5695.3417439157538</v>
      </c>
      <c r="J216">
        <v>18199.096826810281</v>
      </c>
      <c r="K216">
        <v>24761.064758580844</v>
      </c>
      <c r="L216">
        <v>69806.246324051506</v>
      </c>
    </row>
    <row r="217" spans="1:12" x14ac:dyDescent="0.25">
      <c r="A217" t="s">
        <v>559</v>
      </c>
      <c r="B217" t="s">
        <v>560</v>
      </c>
      <c r="C217">
        <v>95498.909223697439</v>
      </c>
      <c r="D217">
        <v>25162.38867802906</v>
      </c>
      <c r="E217">
        <v>49696.431169756048</v>
      </c>
      <c r="F217">
        <v>68308.641500246391</v>
      </c>
      <c r="G217">
        <v>238666.37057172894</v>
      </c>
      <c r="H217">
        <v>105146.65855019445</v>
      </c>
      <c r="I217">
        <v>28313.244306499073</v>
      </c>
      <c r="J217">
        <v>58662.727033782277</v>
      </c>
      <c r="K217">
        <v>79814.487324370115</v>
      </c>
      <c r="L217">
        <v>271937.1172148459</v>
      </c>
    </row>
    <row r="218" spans="1:12" x14ac:dyDescent="0.25">
      <c r="A218" t="s">
        <v>561</v>
      </c>
      <c r="B218" t="s">
        <v>562</v>
      </c>
      <c r="C218">
        <v>110124.86829399341</v>
      </c>
      <c r="D218">
        <v>22403.442692420776</v>
      </c>
      <c r="E218">
        <v>52679.685897745847</v>
      </c>
      <c r="F218">
        <v>72409.17896182141</v>
      </c>
      <c r="G218">
        <v>257617.17584598146</v>
      </c>
      <c r="H218">
        <v>93606.138049894391</v>
      </c>
      <c r="I218">
        <v>19042.926288557661</v>
      </c>
      <c r="J218">
        <v>44777.733013083969</v>
      </c>
      <c r="K218">
        <v>61547.802117548199</v>
      </c>
      <c r="L218">
        <v>218974.59946908423</v>
      </c>
    </row>
    <row r="219" spans="1:12" x14ac:dyDescent="0.25">
      <c r="A219" t="s">
        <v>563</v>
      </c>
      <c r="B219" t="s">
        <v>1427</v>
      </c>
      <c r="C219">
        <v>1970207.8890926982</v>
      </c>
      <c r="D219">
        <v>0</v>
      </c>
      <c r="E219">
        <v>1286170.1336722556</v>
      </c>
      <c r="F219">
        <v>1767864.0598806071</v>
      </c>
      <c r="G219">
        <v>5024242.0826455606</v>
      </c>
      <c r="H219">
        <v>2032588.4813204594</v>
      </c>
      <c r="I219">
        <v>0</v>
      </c>
      <c r="J219">
        <v>1358589.5261074204</v>
      </c>
      <c r="K219">
        <v>1848450.14873035</v>
      </c>
      <c r="L219">
        <v>5239628.1561582293</v>
      </c>
    </row>
    <row r="220" spans="1:12" x14ac:dyDescent="0.25">
      <c r="A220" t="s">
        <v>564</v>
      </c>
      <c r="B220" t="s">
        <v>565</v>
      </c>
      <c r="C220">
        <v>76571.19748566729</v>
      </c>
      <c r="D220">
        <v>20175.248579680941</v>
      </c>
      <c r="E220">
        <v>49806.863019119402</v>
      </c>
      <c r="F220">
        <v>68460.432070128634</v>
      </c>
      <c r="G220">
        <v>215013.74115459627</v>
      </c>
      <c r="H220">
        <v>78208.258425764507</v>
      </c>
      <c r="I220">
        <v>21059.437913924936</v>
      </c>
      <c r="J220">
        <v>49902.197634152566</v>
      </c>
      <c r="K220">
        <v>67895.212546727154</v>
      </c>
      <c r="L220">
        <v>217065.10652056916</v>
      </c>
    </row>
    <row r="221" spans="1:12" x14ac:dyDescent="0.25">
      <c r="A221" t="s">
        <v>199</v>
      </c>
      <c r="B221" t="s">
        <v>200</v>
      </c>
      <c r="C221">
        <v>1156311.1170869307</v>
      </c>
      <c r="D221">
        <v>0</v>
      </c>
      <c r="E221">
        <v>687511.05697019096</v>
      </c>
      <c r="F221">
        <v>944996.35512283375</v>
      </c>
      <c r="G221">
        <v>2788818.5291799554</v>
      </c>
      <c r="H221">
        <v>1303470.9737627415</v>
      </c>
      <c r="I221">
        <v>0</v>
      </c>
      <c r="J221">
        <v>798665.80861256737</v>
      </c>
      <c r="K221">
        <v>1086637.2103909608</v>
      </c>
      <c r="L221">
        <v>3188773.9927662695</v>
      </c>
    </row>
    <row r="222" spans="1:12" x14ac:dyDescent="0.25">
      <c r="A222" t="s">
        <v>201</v>
      </c>
      <c r="B222" t="s">
        <v>202</v>
      </c>
      <c r="C222">
        <v>181983.54578080957</v>
      </c>
      <c r="D222">
        <v>0</v>
      </c>
      <c r="E222">
        <v>0</v>
      </c>
      <c r="F222">
        <v>0</v>
      </c>
      <c r="G222">
        <v>181983.54578080957</v>
      </c>
      <c r="H222">
        <v>154686.01391368813</v>
      </c>
      <c r="I222">
        <v>0</v>
      </c>
      <c r="J222">
        <v>0</v>
      </c>
      <c r="K222">
        <v>0</v>
      </c>
      <c r="L222">
        <v>154686.01391368813</v>
      </c>
    </row>
    <row r="223" spans="1:12" x14ac:dyDescent="0.25">
      <c r="A223" t="s">
        <v>203</v>
      </c>
      <c r="B223" t="s">
        <v>204</v>
      </c>
      <c r="C223">
        <v>50760.681479262581</v>
      </c>
      <c r="D223">
        <v>0</v>
      </c>
      <c r="E223">
        <v>24282.04271849223</v>
      </c>
      <c r="F223">
        <v>33376.105927714569</v>
      </c>
      <c r="G223">
        <v>108418.83012546938</v>
      </c>
      <c r="H223">
        <v>43146.579257373196</v>
      </c>
      <c r="I223">
        <v>0</v>
      </c>
      <c r="J223">
        <v>20639.736310718396</v>
      </c>
      <c r="K223">
        <v>28369.690038557383</v>
      </c>
      <c r="L223">
        <v>92156.005606648978</v>
      </c>
    </row>
    <row r="224" spans="1:12" x14ac:dyDescent="0.25">
      <c r="A224" t="s">
        <v>296</v>
      </c>
      <c r="B224" t="s">
        <v>297</v>
      </c>
      <c r="C224">
        <v>234875.69565828278</v>
      </c>
      <c r="D224">
        <v>0</v>
      </c>
      <c r="E224">
        <v>112355.89257878606</v>
      </c>
      <c r="F224">
        <v>154435.20200450975</v>
      </c>
      <c r="G224">
        <v>501666.79024157859</v>
      </c>
      <c r="H224">
        <v>219852.10424131571</v>
      </c>
      <c r="I224">
        <v>0</v>
      </c>
      <c r="J224">
        <v>106097.37441794672</v>
      </c>
      <c r="K224">
        <v>144352.43593011977</v>
      </c>
      <c r="L224">
        <v>470301.91458938218</v>
      </c>
    </row>
    <row r="225" spans="1:12" x14ac:dyDescent="0.25">
      <c r="A225" t="s">
        <v>205</v>
      </c>
      <c r="B225" t="s">
        <v>206</v>
      </c>
      <c r="C225">
        <v>143526.64554033664</v>
      </c>
      <c r="D225">
        <v>0</v>
      </c>
      <c r="E225">
        <v>0</v>
      </c>
      <c r="F225">
        <v>0</v>
      </c>
      <c r="G225">
        <v>143526.64554033664</v>
      </c>
      <c r="H225">
        <v>121997.64870928614</v>
      </c>
      <c r="I225">
        <v>0</v>
      </c>
      <c r="J225">
        <v>0</v>
      </c>
      <c r="K225">
        <v>0</v>
      </c>
      <c r="L225">
        <v>121997.64870928614</v>
      </c>
    </row>
    <row r="226" spans="1:12" x14ac:dyDescent="0.25">
      <c r="A226" t="s">
        <v>566</v>
      </c>
      <c r="B226" t="s">
        <v>567</v>
      </c>
      <c r="C226">
        <v>249969.85156307442</v>
      </c>
      <c r="D226">
        <v>58523.670500309971</v>
      </c>
      <c r="E226">
        <v>121508.94486406796</v>
      </c>
      <c r="F226">
        <v>167552.77439987258</v>
      </c>
      <c r="G226">
        <v>597555.24132732488</v>
      </c>
      <c r="H226">
        <v>220721.08489049095</v>
      </c>
      <c r="I226">
        <v>49745.119925263476</v>
      </c>
      <c r="J226">
        <v>106516.73162908484</v>
      </c>
      <c r="K226">
        <v>144922.99891798585</v>
      </c>
      <c r="L226">
        <v>521905.93536282517</v>
      </c>
    </row>
    <row r="227" spans="1:12" x14ac:dyDescent="0.25">
      <c r="A227" t="s">
        <v>298</v>
      </c>
      <c r="B227" t="s">
        <v>299</v>
      </c>
      <c r="C227">
        <v>0</v>
      </c>
      <c r="D227">
        <v>1798.5848221144099</v>
      </c>
      <c r="E227">
        <v>0</v>
      </c>
      <c r="F227">
        <v>0</v>
      </c>
      <c r="G227">
        <v>1798.5848221144099</v>
      </c>
      <c r="H227">
        <v>0</v>
      </c>
      <c r="I227">
        <v>1528.7970987972483</v>
      </c>
      <c r="J227">
        <v>0</v>
      </c>
      <c r="K227">
        <v>0</v>
      </c>
      <c r="L227">
        <v>1528.7970987972483</v>
      </c>
    </row>
    <row r="228" spans="1:12" x14ac:dyDescent="0.25">
      <c r="A228" t="s">
        <v>1423</v>
      </c>
      <c r="B228" t="s">
        <v>1428</v>
      </c>
      <c r="C228">
        <v>9792.4416189972235</v>
      </c>
      <c r="D228">
        <v>0</v>
      </c>
      <c r="E228">
        <v>6934.1809321263581</v>
      </c>
      <c r="F228">
        <v>9531.1568304068405</v>
      </c>
      <c r="G228">
        <v>26257.779381530425</v>
      </c>
      <c r="H228">
        <v>14455.730093751299</v>
      </c>
      <c r="I228">
        <v>0</v>
      </c>
      <c r="J228">
        <v>10209.422112319928</v>
      </c>
      <c r="K228">
        <v>13890.588333945803</v>
      </c>
      <c r="L228">
        <v>38555.740540017032</v>
      </c>
    </row>
    <row r="229" spans="1:12" x14ac:dyDescent="0.25">
      <c r="A229" t="s">
        <v>568</v>
      </c>
      <c r="B229" t="s">
        <v>569</v>
      </c>
      <c r="C229">
        <v>28391.56760704517</v>
      </c>
      <c r="D229">
        <v>6834.6223240347581</v>
      </c>
      <c r="E229">
        <v>13581.4815205126</v>
      </c>
      <c r="F229">
        <v>18667.991451094585</v>
      </c>
      <c r="G229">
        <v>67475.662902687109</v>
      </c>
      <c r="H229">
        <v>40842.090511232564</v>
      </c>
      <c r="I229">
        <v>10997.706466160796</v>
      </c>
      <c r="J229">
        <v>22388.663756103011</v>
      </c>
      <c r="K229">
        <v>30461.245324343989</v>
      </c>
      <c r="L229">
        <v>104689.70605784035</v>
      </c>
    </row>
    <row r="230" spans="1:12" x14ac:dyDescent="0.25">
      <c r="A230" t="s">
        <v>570</v>
      </c>
      <c r="B230" t="s">
        <v>571</v>
      </c>
      <c r="C230">
        <v>242587.61963302392</v>
      </c>
      <c r="D230">
        <v>61612.428665154868</v>
      </c>
      <c r="E230">
        <v>123006.16527041039</v>
      </c>
      <c r="F230">
        <v>162084.26198210713</v>
      </c>
      <c r="G230">
        <v>589290.47555069625</v>
      </c>
      <c r="H230">
        <v>206199.47668807034</v>
      </c>
      <c r="I230">
        <v>52370.564365381637</v>
      </c>
      <c r="J230">
        <v>104555.24047984883</v>
      </c>
      <c r="K230">
        <v>137771.62268479104</v>
      </c>
      <c r="L230">
        <v>500896.90421809186</v>
      </c>
    </row>
    <row r="231" spans="1:12" x14ac:dyDescent="0.25">
      <c r="A231" t="s">
        <v>207</v>
      </c>
      <c r="B231" t="s">
        <v>208</v>
      </c>
      <c r="C231">
        <v>82407.643372442079</v>
      </c>
      <c r="D231">
        <v>0</v>
      </c>
      <c r="E231">
        <v>40057.893911231185</v>
      </c>
      <c r="F231">
        <v>55237.178373584364</v>
      </c>
      <c r="G231">
        <v>177702.71565725765</v>
      </c>
      <c r="H231">
        <v>75601.316478239009</v>
      </c>
      <c r="I231">
        <v>0</v>
      </c>
      <c r="J231">
        <v>36484.07736901725</v>
      </c>
      <c r="K231">
        <v>49638.979944349485</v>
      </c>
      <c r="L231">
        <v>161724.37379160576</v>
      </c>
    </row>
    <row r="232" spans="1:12" x14ac:dyDescent="0.25">
      <c r="A232" t="s">
        <v>572</v>
      </c>
      <c r="B232" t="s">
        <v>573</v>
      </c>
      <c r="C232">
        <v>15996.777831121119</v>
      </c>
      <c r="D232">
        <v>4189.6446444547455</v>
      </c>
      <c r="E232">
        <v>8982.2051151823744</v>
      </c>
      <c r="F232">
        <v>12385.864999166692</v>
      </c>
      <c r="G232">
        <v>41554.492589924928</v>
      </c>
      <c r="H232">
        <v>13597.261156452951</v>
      </c>
      <c r="I232">
        <v>3561.1979477865334</v>
      </c>
      <c r="J232">
        <v>7634.8743479050181</v>
      </c>
      <c r="K232">
        <v>10527.985249291687</v>
      </c>
      <c r="L232">
        <v>35321.31870143619</v>
      </c>
    </row>
    <row r="233" spans="1:12" x14ac:dyDescent="0.25">
      <c r="A233" t="s">
        <v>82</v>
      </c>
      <c r="B233" t="s">
        <v>51</v>
      </c>
      <c r="C233">
        <v>18831.618498071577</v>
      </c>
      <c r="D233">
        <v>0</v>
      </c>
      <c r="E233">
        <v>13334.963331012223</v>
      </c>
      <c r="F233">
        <v>18329.14775078238</v>
      </c>
      <c r="G233">
        <v>50495.72957986618</v>
      </c>
      <c r="H233">
        <v>17388.776779439962</v>
      </c>
      <c r="I233">
        <v>0</v>
      </c>
      <c r="J233">
        <v>12280.899062645705</v>
      </c>
      <c r="K233">
        <v>16708.96857561596</v>
      </c>
      <c r="L233">
        <v>46378.644417701624</v>
      </c>
    </row>
    <row r="234" spans="1:12" x14ac:dyDescent="0.25">
      <c r="A234" t="s">
        <v>81</v>
      </c>
      <c r="B234" t="s">
        <v>47</v>
      </c>
      <c r="C234">
        <v>0</v>
      </c>
      <c r="D234">
        <v>0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</row>
    <row r="235" spans="1:12" x14ac:dyDescent="0.25">
      <c r="A235" t="s">
        <v>59</v>
      </c>
      <c r="B235" t="s">
        <v>23</v>
      </c>
      <c r="C235">
        <v>5126158.996638692</v>
      </c>
      <c r="D235">
        <v>1231452.7994660432</v>
      </c>
      <c r="E235">
        <v>4317425.8108944101</v>
      </c>
      <c r="F235">
        <v>5934379.6924350541</v>
      </c>
      <c r="G235">
        <v>16609417.299434198</v>
      </c>
      <c r="H235">
        <v>5772511.8316432768</v>
      </c>
      <c r="I235">
        <v>1554386.4161261104</v>
      </c>
      <c r="J235">
        <v>4966941.4348274702</v>
      </c>
      <c r="K235">
        <v>6757849.5619992306</v>
      </c>
      <c r="L235">
        <v>19051689.24459609</v>
      </c>
    </row>
    <row r="236" spans="1:12" x14ac:dyDescent="0.25">
      <c r="A236" t="s">
        <v>300</v>
      </c>
      <c r="B236" t="s">
        <v>301</v>
      </c>
      <c r="C236">
        <v>529115.57813129621</v>
      </c>
      <c r="D236">
        <v>0</v>
      </c>
      <c r="E236">
        <v>253109.42833682575</v>
      </c>
      <c r="F236">
        <v>347903.4770431263</v>
      </c>
      <c r="G236">
        <v>1130128.4835112481</v>
      </c>
      <c r="H236">
        <v>490974.06678396597</v>
      </c>
      <c r="I236">
        <v>0</v>
      </c>
      <c r="J236">
        <v>236936.82429304303</v>
      </c>
      <c r="K236">
        <v>322368.08814433863</v>
      </c>
      <c r="L236">
        <v>1050278.9792213477</v>
      </c>
    </row>
    <row r="237" spans="1:12" x14ac:dyDescent="0.25">
      <c r="A237" t="s">
        <v>574</v>
      </c>
      <c r="B237" t="s">
        <v>575</v>
      </c>
      <c r="C237">
        <v>402644.04969991342</v>
      </c>
      <c r="D237">
        <v>0</v>
      </c>
      <c r="E237">
        <v>192610.10156363324</v>
      </c>
      <c r="F237">
        <v>264746.06057915959</v>
      </c>
      <c r="G237">
        <v>860000.21184270619</v>
      </c>
      <c r="H237">
        <v>441442.1697809819</v>
      </c>
      <c r="I237">
        <v>0</v>
      </c>
      <c r="J237">
        <v>213033.46325816968</v>
      </c>
      <c r="K237">
        <v>289845.99783597171</v>
      </c>
      <c r="L237">
        <v>944321.6308751232</v>
      </c>
    </row>
    <row r="238" spans="1:12" x14ac:dyDescent="0.25">
      <c r="A238" t="s">
        <v>576</v>
      </c>
      <c r="B238" t="s">
        <v>577</v>
      </c>
      <c r="C238">
        <v>73990.145885026795</v>
      </c>
      <c r="D238">
        <v>19495.184020815301</v>
      </c>
      <c r="E238">
        <v>52188.036266703297</v>
      </c>
      <c r="F238">
        <v>71733.397671291808</v>
      </c>
      <c r="G238">
        <v>217406.76384383719</v>
      </c>
      <c r="H238">
        <v>72125.39388153833</v>
      </c>
      <c r="I238">
        <v>19421.481631730767</v>
      </c>
      <c r="J238">
        <v>49083.245420451218</v>
      </c>
      <c r="K238">
        <v>66780.97435179817</v>
      </c>
      <c r="L238">
        <v>207411.0952855185</v>
      </c>
    </row>
    <row r="239" spans="1:12" x14ac:dyDescent="0.25">
      <c r="A239" t="s">
        <v>578</v>
      </c>
      <c r="B239" t="s">
        <v>579</v>
      </c>
      <c r="C239">
        <v>364788.62622385321</v>
      </c>
      <c r="D239">
        <v>89749.382623509067</v>
      </c>
      <c r="E239">
        <v>174501.45953628313</v>
      </c>
      <c r="F239">
        <v>239855.40531103345</v>
      </c>
      <c r="G239">
        <v>868894.87369467888</v>
      </c>
      <c r="H239">
        <v>401469.05991892447</v>
      </c>
      <c r="I239">
        <v>76286.975229982709</v>
      </c>
      <c r="J239">
        <v>193743.03154581573</v>
      </c>
      <c r="K239">
        <v>263600.10039413173</v>
      </c>
      <c r="L239">
        <v>935099.16708885459</v>
      </c>
    </row>
    <row r="240" spans="1:12" x14ac:dyDescent="0.25">
      <c r="A240" t="s">
        <v>209</v>
      </c>
      <c r="B240" t="s">
        <v>210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</row>
    <row r="241" spans="1:12" x14ac:dyDescent="0.25">
      <c r="A241" t="s">
        <v>580</v>
      </c>
      <c r="B241" t="s">
        <v>581</v>
      </c>
      <c r="C241">
        <v>634116.90279073548</v>
      </c>
      <c r="D241">
        <v>161053.07640045992</v>
      </c>
      <c r="E241">
        <v>357509.21125617286</v>
      </c>
      <c r="F241">
        <v>477210.91253994376</v>
      </c>
      <c r="G241">
        <v>1629890.102987312</v>
      </c>
      <c r="H241">
        <v>653473.44817972102</v>
      </c>
      <c r="I241">
        <v>175963.30345857274</v>
      </c>
      <c r="J241">
        <v>347144.19293019129</v>
      </c>
      <c r="K241">
        <v>472312.44074963755</v>
      </c>
      <c r="L241">
        <v>1648893.3853181226</v>
      </c>
    </row>
    <row r="242" spans="1:12" x14ac:dyDescent="0.25">
      <c r="A242" t="s">
        <v>211</v>
      </c>
      <c r="B242" t="s">
        <v>212</v>
      </c>
      <c r="C242">
        <v>556251.59276398411</v>
      </c>
      <c r="D242">
        <v>0</v>
      </c>
      <c r="E242">
        <v>290252.82296512934</v>
      </c>
      <c r="F242">
        <v>400239.38829859684</v>
      </c>
      <c r="G242">
        <v>1246743.8040277101</v>
      </c>
      <c r="H242">
        <v>590906.8414391093</v>
      </c>
      <c r="I242">
        <v>0</v>
      </c>
      <c r="J242">
        <v>285162.90357392782</v>
      </c>
      <c r="K242">
        <v>387982.83174893854</v>
      </c>
      <c r="L242">
        <v>1264052.5767619757</v>
      </c>
    </row>
    <row r="243" spans="1:12" x14ac:dyDescent="0.25">
      <c r="A243" t="s">
        <v>302</v>
      </c>
      <c r="B243" t="s">
        <v>303</v>
      </c>
      <c r="C243">
        <v>11184.556936108704</v>
      </c>
      <c r="D243">
        <v>0</v>
      </c>
      <c r="E243">
        <v>5350.2805989898143</v>
      </c>
      <c r="F243">
        <v>7354.0572383099861</v>
      </c>
      <c r="G243">
        <v>23888.894773408505</v>
      </c>
      <c r="H243">
        <v>13903.690386802573</v>
      </c>
      <c r="I243">
        <v>0</v>
      </c>
      <c r="J243">
        <v>6709.7153782100695</v>
      </c>
      <c r="K243">
        <v>9129.0078058573763</v>
      </c>
      <c r="L243">
        <v>29742.41357087002</v>
      </c>
    </row>
    <row r="244" spans="1:12" x14ac:dyDescent="0.25">
      <c r="A244" t="s">
        <v>213</v>
      </c>
      <c r="B244" t="s">
        <v>214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</row>
    <row r="245" spans="1:12" x14ac:dyDescent="0.25">
      <c r="A245" t="s">
        <v>215</v>
      </c>
      <c r="B245" t="s">
        <v>216</v>
      </c>
      <c r="C245">
        <v>477494.54611848691</v>
      </c>
      <c r="D245">
        <v>0</v>
      </c>
      <c r="E245">
        <v>228415.82557225734</v>
      </c>
      <c r="F245">
        <v>313961.67440477258</v>
      </c>
      <c r="G245">
        <v>1019872.0460955169</v>
      </c>
      <c r="H245">
        <v>494449.98938066658</v>
      </c>
      <c r="I245">
        <v>0</v>
      </c>
      <c r="J245">
        <v>238614.25313759563</v>
      </c>
      <c r="K245">
        <v>324650.34009580291</v>
      </c>
      <c r="L245">
        <v>1057714.5826140651</v>
      </c>
    </row>
    <row r="246" spans="1:12" x14ac:dyDescent="0.25">
      <c r="A246" t="s">
        <v>217</v>
      </c>
      <c r="B246" t="s">
        <v>218</v>
      </c>
      <c r="C246">
        <v>271945.22312905901</v>
      </c>
      <c r="D246">
        <v>0</v>
      </c>
      <c r="E246">
        <v>0</v>
      </c>
      <c r="F246">
        <v>0</v>
      </c>
      <c r="G246">
        <v>271945.22312905901</v>
      </c>
      <c r="H246">
        <v>231121.09241093724</v>
      </c>
      <c r="I246">
        <v>0</v>
      </c>
      <c r="J246">
        <v>0</v>
      </c>
      <c r="K246">
        <v>0</v>
      </c>
      <c r="L246">
        <v>231121.09241093724</v>
      </c>
    </row>
    <row r="247" spans="1:12" x14ac:dyDescent="0.25">
      <c r="A247" t="s">
        <v>582</v>
      </c>
      <c r="B247" t="s">
        <v>583</v>
      </c>
      <c r="C247">
        <v>134214.68323330447</v>
      </c>
      <c r="D247">
        <v>35363.357061013798</v>
      </c>
      <c r="E247">
        <v>89658.736730729623</v>
      </c>
      <c r="F247">
        <v>123237.55168221358</v>
      </c>
      <c r="G247">
        <v>382474.32870726148</v>
      </c>
      <c r="H247">
        <v>177272.05243173282</v>
      </c>
      <c r="I247">
        <v>47734.725938229873</v>
      </c>
      <c r="J247">
        <v>147859.58648565132</v>
      </c>
      <c r="K247">
        <v>201172.6642804989</v>
      </c>
      <c r="L247">
        <v>574039.02913611289</v>
      </c>
    </row>
    <row r="248" spans="1:12" x14ac:dyDescent="0.25">
      <c r="A248" t="s">
        <v>584</v>
      </c>
      <c r="B248" t="s">
        <v>585</v>
      </c>
      <c r="C248">
        <v>79152.249086307769</v>
      </c>
      <c r="D248">
        <v>20855.313138546597</v>
      </c>
      <c r="E248">
        <v>49985.119964076155</v>
      </c>
      <c r="F248">
        <v>68705.449457924275</v>
      </c>
      <c r="G248">
        <v>218698.1316468548</v>
      </c>
      <c r="H248">
        <v>71237.024177676998</v>
      </c>
      <c r="I248">
        <v>18769.781824691938</v>
      </c>
      <c r="J248">
        <v>44986.60796766854</v>
      </c>
      <c r="K248">
        <v>61834.904512131849</v>
      </c>
      <c r="L248">
        <v>196828.31848216933</v>
      </c>
    </row>
    <row r="249" spans="1:12" x14ac:dyDescent="0.25">
      <c r="A249" t="s">
        <v>219</v>
      </c>
      <c r="B249" t="s">
        <v>220</v>
      </c>
      <c r="C249">
        <v>990263.46411239367</v>
      </c>
      <c r="D249">
        <v>0</v>
      </c>
      <c r="E249">
        <v>568364.42363114853</v>
      </c>
      <c r="F249">
        <v>781227.15739277622</v>
      </c>
      <c r="G249">
        <v>2339855.0451363185</v>
      </c>
      <c r="H249">
        <v>865504.72657846019</v>
      </c>
      <c r="I249">
        <v>0</v>
      </c>
      <c r="J249">
        <v>483109.76008647622</v>
      </c>
      <c r="K249">
        <v>664043.08378385974</v>
      </c>
      <c r="L249">
        <v>2012657.5704487963</v>
      </c>
    </row>
    <row r="250" spans="1:12" x14ac:dyDescent="0.25">
      <c r="A250" t="s">
        <v>221</v>
      </c>
      <c r="B250" t="s">
        <v>222</v>
      </c>
      <c r="C250">
        <v>122924.73469722614</v>
      </c>
      <c r="D250">
        <v>0</v>
      </c>
      <c r="E250">
        <v>59753.025084253168</v>
      </c>
      <c r="F250">
        <v>82395.457740596685</v>
      </c>
      <c r="G250">
        <v>265073.21752207598</v>
      </c>
      <c r="H250">
        <v>128609.1360779238</v>
      </c>
      <c r="I250">
        <v>0</v>
      </c>
      <c r="J250">
        <v>62064.867248443123</v>
      </c>
      <c r="K250">
        <v>84443.322204180731</v>
      </c>
      <c r="L250">
        <v>275117.32553054765</v>
      </c>
    </row>
    <row r="251" spans="1:12" x14ac:dyDescent="0.25">
      <c r="A251" t="s">
        <v>586</v>
      </c>
      <c r="B251" t="s">
        <v>587</v>
      </c>
      <c r="C251">
        <v>51621.03201280941</v>
      </c>
      <c r="D251">
        <v>13601.291177313002</v>
      </c>
      <c r="E251">
        <v>26285.846270827726</v>
      </c>
      <c r="F251">
        <v>36130.370072474849</v>
      </c>
      <c r="G251">
        <v>127638.53953342499</v>
      </c>
      <c r="H251">
        <v>59959.664793086093</v>
      </c>
      <c r="I251">
        <v>16145.569067342451</v>
      </c>
      <c r="J251">
        <v>33143.708471557053</v>
      </c>
      <c r="K251">
        <v>45094.18899265158</v>
      </c>
      <c r="L251">
        <v>154343.13132463719</v>
      </c>
    </row>
    <row r="252" spans="1:12" x14ac:dyDescent="0.25">
      <c r="A252" t="s">
        <v>61</v>
      </c>
      <c r="B252" t="s">
        <v>31</v>
      </c>
      <c r="C252">
        <v>5171315.7327713957</v>
      </c>
      <c r="D252">
        <v>1362556.4679487601</v>
      </c>
      <c r="E252">
        <v>4358323.6994189294</v>
      </c>
      <c r="F252">
        <v>5990594.5782846157</v>
      </c>
      <c r="G252">
        <v>16882790.4784237</v>
      </c>
      <c r="H252">
        <v>4416555.0896253018</v>
      </c>
      <c r="I252">
        <v>1163689.4775705228</v>
      </c>
      <c r="J252">
        <v>3722220.3616230367</v>
      </c>
      <c r="K252">
        <v>5116259.0609074021</v>
      </c>
      <c r="L252">
        <v>14418723.989726264</v>
      </c>
    </row>
    <row r="253" spans="1:12" x14ac:dyDescent="0.25">
      <c r="A253" t="s">
        <v>78</v>
      </c>
      <c r="B253" t="s">
        <v>36</v>
      </c>
      <c r="C253">
        <v>99400.801551128025</v>
      </c>
      <c r="D253">
        <v>0</v>
      </c>
      <c r="E253">
        <v>83773.819184184438</v>
      </c>
      <c r="F253">
        <v>115148.62631104719</v>
      </c>
      <c r="G253">
        <v>298323.24704635964</v>
      </c>
      <c r="H253">
        <v>86998.335688075138</v>
      </c>
      <c r="I253">
        <v>0</v>
      </c>
      <c r="J253">
        <v>73321.167732324757</v>
      </c>
      <c r="K253">
        <v>100781.26825442606</v>
      </c>
      <c r="L253">
        <v>261100.77167482598</v>
      </c>
    </row>
    <row r="254" spans="1:12" x14ac:dyDescent="0.25">
      <c r="A254" t="s">
        <v>588</v>
      </c>
      <c r="B254" t="s">
        <v>589</v>
      </c>
      <c r="C254">
        <v>18927.711738030121</v>
      </c>
      <c r="D254">
        <v>4987.140098348098</v>
      </c>
      <c r="E254">
        <v>9641.3496853957658</v>
      </c>
      <c r="F254">
        <v>13252.209137283318</v>
      </c>
      <c r="G254">
        <v>46808.410659057299</v>
      </c>
      <c r="H254">
        <v>17379.612983503219</v>
      </c>
      <c r="I254">
        <v>4679.8750919833192</v>
      </c>
      <c r="J254">
        <v>8677.2147168561896</v>
      </c>
      <c r="K254">
        <v>11926.988223554987</v>
      </c>
      <c r="L254">
        <v>42663.691015897712</v>
      </c>
    </row>
    <row r="255" spans="1:12" x14ac:dyDescent="0.25">
      <c r="A255" t="s">
        <v>590</v>
      </c>
      <c r="B255" t="s">
        <v>591</v>
      </c>
      <c r="C255">
        <v>15486.309603842823</v>
      </c>
      <c r="D255">
        <v>0</v>
      </c>
      <c r="E255">
        <v>7408.0808293705113</v>
      </c>
      <c r="F255">
        <v>10182.540791506133</v>
      </c>
      <c r="G255">
        <v>33076.931224719468</v>
      </c>
      <c r="H255">
        <v>14772.671035977735</v>
      </c>
      <c r="I255">
        <v>0</v>
      </c>
      <c r="J255">
        <v>7129.0725893481995</v>
      </c>
      <c r="K255">
        <v>9699.570793723462</v>
      </c>
      <c r="L255">
        <v>31601.314419049399</v>
      </c>
    </row>
    <row r="256" spans="1:12" x14ac:dyDescent="0.25">
      <c r="A256" t="s">
        <v>223</v>
      </c>
      <c r="B256" t="s">
        <v>224</v>
      </c>
      <c r="C256">
        <v>351883.36822065077</v>
      </c>
      <c r="D256">
        <v>0</v>
      </c>
      <c r="E256">
        <v>168328.05884514103</v>
      </c>
      <c r="F256">
        <v>231369.95465144503</v>
      </c>
      <c r="G256">
        <v>751581.38171723683</v>
      </c>
      <c r="H256">
        <v>373661.67914531915</v>
      </c>
      <c r="I256">
        <v>0</v>
      </c>
      <c r="J256">
        <v>180323.6007893956</v>
      </c>
      <c r="K256">
        <v>245342.08478241699</v>
      </c>
      <c r="L256">
        <v>799327.36471713171</v>
      </c>
    </row>
    <row r="257" spans="1:12" x14ac:dyDescent="0.25">
      <c r="A257" t="s">
        <v>225</v>
      </c>
      <c r="B257" t="s">
        <v>226</v>
      </c>
      <c r="C257">
        <v>0</v>
      </c>
      <c r="D257">
        <v>0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</row>
    <row r="258" spans="1:12" x14ac:dyDescent="0.25">
      <c r="A258" t="s">
        <v>592</v>
      </c>
      <c r="B258" t="s">
        <v>593</v>
      </c>
      <c r="C258">
        <v>12905.258003202352</v>
      </c>
      <c r="D258">
        <v>3400.3227943282504</v>
      </c>
      <c r="E258">
        <v>19781.58216964388</v>
      </c>
      <c r="F258">
        <v>27190.141684785751</v>
      </c>
      <c r="G258">
        <v>63277.304651960236</v>
      </c>
      <c r="H258">
        <v>0</v>
      </c>
      <c r="I258">
        <v>2890.2743751790126</v>
      </c>
      <c r="J258">
        <v>0</v>
      </c>
      <c r="K258">
        <v>0</v>
      </c>
      <c r="L258">
        <v>2890.2743751790126</v>
      </c>
    </row>
    <row r="259" spans="1:12" x14ac:dyDescent="0.25">
      <c r="A259" t="s">
        <v>227</v>
      </c>
      <c r="B259" t="s">
        <v>228</v>
      </c>
      <c r="C259">
        <v>0</v>
      </c>
      <c r="D259">
        <v>0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</row>
    <row r="260" spans="1:12" x14ac:dyDescent="0.25">
      <c r="A260" t="s">
        <v>229</v>
      </c>
      <c r="B260" t="s">
        <v>230</v>
      </c>
      <c r="C260">
        <v>231434.29352409556</v>
      </c>
      <c r="D260">
        <v>0</v>
      </c>
      <c r="E260">
        <v>110709.6523944815</v>
      </c>
      <c r="F260">
        <v>152172.41516195281</v>
      </c>
      <c r="G260">
        <v>494316.36108052987</v>
      </c>
      <c r="H260">
        <v>219852.10424131571</v>
      </c>
      <c r="I260">
        <v>0</v>
      </c>
      <c r="J260">
        <v>106097.37441794672</v>
      </c>
      <c r="K260">
        <v>144352.43593011977</v>
      </c>
      <c r="L260">
        <v>470301.91458938218</v>
      </c>
    </row>
    <row r="261" spans="1:12" x14ac:dyDescent="0.25">
      <c r="A261" t="s">
        <v>594</v>
      </c>
      <c r="B261" t="s">
        <v>595</v>
      </c>
      <c r="C261">
        <v>0</v>
      </c>
      <c r="D261">
        <v>1797.067595648725</v>
      </c>
      <c r="E261">
        <v>0</v>
      </c>
      <c r="F261">
        <v>0</v>
      </c>
      <c r="G261">
        <v>1797.067595648725</v>
      </c>
      <c r="H261">
        <v>0</v>
      </c>
      <c r="I261">
        <v>1617.3608360838525</v>
      </c>
      <c r="J261">
        <v>0</v>
      </c>
      <c r="K261">
        <v>0</v>
      </c>
      <c r="L261">
        <v>1617.3608360838525</v>
      </c>
    </row>
    <row r="262" spans="1:12" x14ac:dyDescent="0.25">
      <c r="A262" t="s">
        <v>596</v>
      </c>
      <c r="B262" t="s">
        <v>597</v>
      </c>
      <c r="C262">
        <v>109264.51776044659</v>
      </c>
      <c r="D262">
        <v>20873.00211974937</v>
      </c>
      <c r="E262">
        <v>52268.125851669705</v>
      </c>
      <c r="F262">
        <v>71843.482251182199</v>
      </c>
      <c r="G262">
        <v>254249.12798304786</v>
      </c>
      <c r="H262">
        <v>120788.31023534735</v>
      </c>
      <c r="I262">
        <v>32525.131889284072</v>
      </c>
      <c r="J262">
        <v>58290.652348200005</v>
      </c>
      <c r="K262">
        <v>79308.255313385947</v>
      </c>
      <c r="L262">
        <v>290912.34978621738</v>
      </c>
    </row>
    <row r="263" spans="1:12" x14ac:dyDescent="0.25">
      <c r="A263" t="s">
        <v>231</v>
      </c>
      <c r="B263" t="s">
        <v>232</v>
      </c>
      <c r="C263">
        <v>187556.41631320748</v>
      </c>
      <c r="D263">
        <v>0</v>
      </c>
      <c r="E263">
        <v>89720.090044598444</v>
      </c>
      <c r="F263">
        <v>123321.88291935209</v>
      </c>
      <c r="G263">
        <v>400598.38927715801</v>
      </c>
      <c r="H263">
        <v>185961.8589234844</v>
      </c>
      <c r="I263">
        <v>0</v>
      </c>
      <c r="J263">
        <v>89742.443183559692</v>
      </c>
      <c r="K263">
        <v>122100.47940334241</v>
      </c>
      <c r="L263">
        <v>397804.7815103865</v>
      </c>
    </row>
    <row r="264" spans="1:12" x14ac:dyDescent="0.25">
      <c r="A264" t="s">
        <v>598</v>
      </c>
      <c r="B264" t="s">
        <v>599</v>
      </c>
      <c r="C264">
        <v>19632.409156375907</v>
      </c>
      <c r="D264">
        <v>5141.8366091035523</v>
      </c>
      <c r="E264">
        <v>12368.125106929569</v>
      </c>
      <c r="F264">
        <v>17054.824055209006</v>
      </c>
      <c r="G264">
        <v>54197.194927618031</v>
      </c>
      <c r="H264">
        <v>22593.496878554175</v>
      </c>
      <c r="I264">
        <v>6083.8376195783148</v>
      </c>
      <c r="J264">
        <v>13744.453562912742</v>
      </c>
      <c r="K264">
        <v>18700.230455460358</v>
      </c>
      <c r="L264">
        <v>61122.018516505588</v>
      </c>
    </row>
    <row r="265" spans="1:12" x14ac:dyDescent="0.25">
      <c r="A265" t="s">
        <v>72</v>
      </c>
      <c r="B265" t="s">
        <v>26</v>
      </c>
      <c r="C265">
        <v>96338.705056194289</v>
      </c>
      <c r="D265">
        <v>23143.36486952041</v>
      </c>
      <c r="E265">
        <v>81139.740704588505</v>
      </c>
      <c r="F265">
        <v>111528.03790437436</v>
      </c>
      <c r="G265">
        <v>312149.84853467753</v>
      </c>
      <c r="H265">
        <v>87884.983822990704</v>
      </c>
      <c r="I265">
        <v>23665.126901443073</v>
      </c>
      <c r="J265">
        <v>75620.385090711759</v>
      </c>
      <c r="K265">
        <v>102886.49322099982</v>
      </c>
      <c r="L265">
        <v>290056.98903614539</v>
      </c>
    </row>
    <row r="266" spans="1:12" x14ac:dyDescent="0.25">
      <c r="A266" t="s">
        <v>73</v>
      </c>
      <c r="B266" t="s">
        <v>28</v>
      </c>
      <c r="C266">
        <v>37053.348098536313</v>
      </c>
      <c r="D266">
        <v>0</v>
      </c>
      <c r="E266">
        <v>31207.592578687927</v>
      </c>
      <c r="F266">
        <v>42895.399193990197</v>
      </c>
      <c r="G266">
        <v>111156.33987121444</v>
      </c>
      <c r="H266">
        <v>30996.778526780916</v>
      </c>
      <c r="I266">
        <v>0</v>
      </c>
      <c r="J266">
        <v>26671.090177221959</v>
      </c>
      <c r="K266">
        <v>36287.767318609855</v>
      </c>
      <c r="L266">
        <v>93955.636022612729</v>
      </c>
    </row>
    <row r="267" spans="1:12" x14ac:dyDescent="0.25">
      <c r="A267" t="s">
        <v>233</v>
      </c>
      <c r="B267" t="s">
        <v>234</v>
      </c>
      <c r="C267">
        <v>468891.04078301886</v>
      </c>
      <c r="D267">
        <v>0</v>
      </c>
      <c r="E267">
        <v>224300.22511149602</v>
      </c>
      <c r="F267">
        <v>308304.70729838032</v>
      </c>
      <c r="G267">
        <v>1001495.9731928952</v>
      </c>
      <c r="H267">
        <v>494449.98938066658</v>
      </c>
      <c r="I267">
        <v>0</v>
      </c>
      <c r="J267">
        <v>238614.25313759563</v>
      </c>
      <c r="K267">
        <v>324650.34009580291</v>
      </c>
      <c r="L267">
        <v>1057714.5826140651</v>
      </c>
    </row>
    <row r="268" spans="1:12" x14ac:dyDescent="0.25">
      <c r="A268" t="s">
        <v>600</v>
      </c>
      <c r="B268" t="s">
        <v>601</v>
      </c>
      <c r="C268">
        <v>1025537.8359878135</v>
      </c>
      <c r="D268">
        <v>270212.3180559515</v>
      </c>
      <c r="E268">
        <v>593675.36646483105</v>
      </c>
      <c r="F268">
        <v>816017.50509708899</v>
      </c>
      <c r="G268">
        <v>2705443.0256056851</v>
      </c>
      <c r="H268">
        <v>1137495.669770285</v>
      </c>
      <c r="I268">
        <v>306297.82477030816</v>
      </c>
      <c r="J268">
        <v>678519.9676214935</v>
      </c>
      <c r="K268">
        <v>923170.91436732735</v>
      </c>
      <c r="L268">
        <v>3045484.3765294142</v>
      </c>
    </row>
    <row r="269" spans="1:12" x14ac:dyDescent="0.25">
      <c r="A269" t="s">
        <v>67</v>
      </c>
      <c r="B269" t="s">
        <v>12</v>
      </c>
      <c r="C269">
        <v>15682.877607164477</v>
      </c>
      <c r="D269">
        <v>4132.1797824629894</v>
      </c>
      <c r="E269">
        <v>8770.4285132681543</v>
      </c>
      <c r="F269">
        <v>12055.112268926216</v>
      </c>
      <c r="G269">
        <v>40640.598171821839</v>
      </c>
      <c r="H269">
        <v>14787.200586224169</v>
      </c>
      <c r="I269">
        <v>3895.628971059678</v>
      </c>
      <c r="J269">
        <v>8269.4684697669309</v>
      </c>
      <c r="K269">
        <v>11366.533648449778</v>
      </c>
      <c r="L269">
        <v>38318.831675500551</v>
      </c>
    </row>
    <row r="270" spans="1:12" x14ac:dyDescent="0.25">
      <c r="A270" t="s">
        <v>62</v>
      </c>
      <c r="B270" t="s">
        <v>38</v>
      </c>
      <c r="C270">
        <v>3739361.4569145353</v>
      </c>
      <c r="D270">
        <v>0</v>
      </c>
      <c r="E270">
        <v>2979465.4738897323</v>
      </c>
      <c r="F270">
        <v>4095329.0634309025</v>
      </c>
      <c r="G270">
        <v>10814155.994235169</v>
      </c>
      <c r="H270">
        <v>3821031.0973591688</v>
      </c>
      <c r="I270">
        <v>0</v>
      </c>
      <c r="J270">
        <v>3075018.1821693182</v>
      </c>
      <c r="K270">
        <v>4183763.9014228508</v>
      </c>
      <c r="L270">
        <v>11079813.180951338</v>
      </c>
    </row>
    <row r="271" spans="1:12" x14ac:dyDescent="0.25">
      <c r="A271" t="s">
        <v>602</v>
      </c>
      <c r="B271" t="s">
        <v>603</v>
      </c>
      <c r="C271">
        <v>74850.496418573661</v>
      </c>
      <c r="D271">
        <v>19721.872207103839</v>
      </c>
      <c r="E271">
        <v>49261.45335705817</v>
      </c>
      <c r="F271">
        <v>67710.75664677177</v>
      </c>
      <c r="G271">
        <v>211544.57862950742</v>
      </c>
      <c r="H271">
        <v>67365.446776716301</v>
      </c>
      <c r="I271">
        <v>17749.684986393455</v>
      </c>
      <c r="J271">
        <v>44335.308021352357</v>
      </c>
      <c r="K271">
        <v>60939.680982094593</v>
      </c>
      <c r="L271">
        <v>190390.12076655671</v>
      </c>
    </row>
    <row r="272" spans="1:12" x14ac:dyDescent="0.25">
      <c r="A272" t="s">
        <v>235</v>
      </c>
      <c r="B272" t="s">
        <v>236</v>
      </c>
      <c r="C272">
        <v>332095.30594907381</v>
      </c>
      <c r="D272">
        <v>0</v>
      </c>
      <c r="E272">
        <v>0</v>
      </c>
      <c r="F272">
        <v>0</v>
      </c>
      <c r="G272">
        <v>332095.30594907381</v>
      </c>
      <c r="H272">
        <v>359757.98875851656</v>
      </c>
      <c r="I272">
        <v>0</v>
      </c>
      <c r="J272">
        <v>0</v>
      </c>
      <c r="K272">
        <v>0</v>
      </c>
      <c r="L272">
        <v>359757.98875851656</v>
      </c>
    </row>
    <row r="273" spans="1:12" x14ac:dyDescent="0.25">
      <c r="A273" t="s">
        <v>237</v>
      </c>
      <c r="B273" t="s">
        <v>238</v>
      </c>
      <c r="C273">
        <v>24089.814939311054</v>
      </c>
      <c r="D273">
        <v>6347.2692160794022</v>
      </c>
      <c r="E273">
        <v>12327.64326213934</v>
      </c>
      <c r="F273">
        <v>16944.568137296643</v>
      </c>
      <c r="G273">
        <v>59709.295554826436</v>
      </c>
      <c r="H273">
        <v>20476.342698414395</v>
      </c>
      <c r="I273">
        <v>5395.1788336674917</v>
      </c>
      <c r="J273">
        <v>10478.496772818438</v>
      </c>
      <c r="K273">
        <v>14402.882916702147</v>
      </c>
      <c r="L273">
        <v>50752.901221602471</v>
      </c>
    </row>
    <row r="274" spans="1:12" x14ac:dyDescent="0.25">
      <c r="A274" t="s">
        <v>304</v>
      </c>
      <c r="B274" t="s">
        <v>305</v>
      </c>
      <c r="C274">
        <v>167768.35404163055</v>
      </c>
      <c r="D274">
        <v>0</v>
      </c>
      <c r="E274">
        <v>80254.208984847195</v>
      </c>
      <c r="F274">
        <v>110310.85857464984</v>
      </c>
      <c r="G274">
        <v>358333.4216011276</v>
      </c>
      <c r="H274">
        <v>142603.10093538597</v>
      </c>
      <c r="I274">
        <v>0</v>
      </c>
      <c r="J274">
        <v>68216.077637120121</v>
      </c>
      <c r="K274">
        <v>93764.229788452358</v>
      </c>
      <c r="L274">
        <v>304583.40836095845</v>
      </c>
    </row>
    <row r="275" spans="1:12" x14ac:dyDescent="0.25">
      <c r="A275" t="s">
        <v>239</v>
      </c>
      <c r="B275" t="s">
        <v>240</v>
      </c>
      <c r="C275">
        <v>21508.763338670593</v>
      </c>
      <c r="D275">
        <v>5575.6129485546735</v>
      </c>
      <c r="E275">
        <v>10348.289260401387</v>
      </c>
      <c r="F275">
        <v>14269.604413175957</v>
      </c>
      <c r="G275">
        <v>51702.269960802609</v>
      </c>
      <c r="H275">
        <v>27807.380773605146</v>
      </c>
      <c r="I275">
        <v>7487.8001471733114</v>
      </c>
      <c r="J275">
        <v>13419.430756420139</v>
      </c>
      <c r="K275">
        <v>18258.015611714753</v>
      </c>
      <c r="L275">
        <v>66972.62728891334</v>
      </c>
    </row>
    <row r="276" spans="1:12" x14ac:dyDescent="0.25">
      <c r="A276" t="s">
        <v>241</v>
      </c>
      <c r="B276" t="s">
        <v>242</v>
      </c>
      <c r="C276">
        <v>75710.846952120482</v>
      </c>
      <c r="D276">
        <v>0</v>
      </c>
      <c r="E276">
        <v>36217.284054700278</v>
      </c>
      <c r="F276">
        <v>49781.310536252233</v>
      </c>
      <c r="G276">
        <v>161709.44154307299</v>
      </c>
      <c r="H276">
        <v>64354.21990930241</v>
      </c>
      <c r="I276">
        <v>0</v>
      </c>
      <c r="J276">
        <v>30784.691446495235</v>
      </c>
      <c r="K276">
        <v>42314.113955814399</v>
      </c>
      <c r="L276">
        <v>137453.02531161203</v>
      </c>
    </row>
    <row r="277" spans="1:12" x14ac:dyDescent="0.25">
      <c r="A277" t="s">
        <v>604</v>
      </c>
      <c r="B277" t="s">
        <v>605</v>
      </c>
      <c r="C277">
        <v>252476.14615052482</v>
      </c>
      <c r="D277">
        <v>65645.822170462285</v>
      </c>
      <c r="E277">
        <v>190657.2837303144</v>
      </c>
      <c r="F277">
        <v>258216.09230349341</v>
      </c>
      <c r="G277">
        <v>766995.34435479483</v>
      </c>
      <c r="H277">
        <v>234624.77527729337</v>
      </c>
      <c r="I277">
        <v>63178.313741774786</v>
      </c>
      <c r="J277">
        <v>171591.55535728298</v>
      </c>
      <c r="K277">
        <v>232394.48307314407</v>
      </c>
      <c r="L277">
        <v>701789.12744949525</v>
      </c>
    </row>
    <row r="278" spans="1:12" x14ac:dyDescent="0.25">
      <c r="A278" t="s">
        <v>606</v>
      </c>
      <c r="B278" t="s">
        <v>607</v>
      </c>
      <c r="C278">
        <v>621173.0852208063</v>
      </c>
      <c r="D278">
        <v>163668.87050033311</v>
      </c>
      <c r="E278">
        <v>353131.07211473311</v>
      </c>
      <c r="F278">
        <v>485385.03147813358</v>
      </c>
      <c r="G278">
        <v>1623358.059314006</v>
      </c>
      <c r="H278">
        <v>583954.99624570797</v>
      </c>
      <c r="I278">
        <v>157243.8030906395</v>
      </c>
      <c r="J278">
        <v>323029.51779662538</v>
      </c>
      <c r="K278">
        <v>439502.84375168482</v>
      </c>
      <c r="L278">
        <v>1503731.1608846576</v>
      </c>
    </row>
    <row r="279" spans="1:12" x14ac:dyDescent="0.25">
      <c r="A279" t="s">
        <v>243</v>
      </c>
      <c r="B279" t="s">
        <v>244</v>
      </c>
      <c r="C279">
        <v>24089.814939311054</v>
      </c>
      <c r="D279">
        <v>0</v>
      </c>
      <c r="E279">
        <v>11523.681290131903</v>
      </c>
      <c r="F279">
        <v>15839.507897898438</v>
      </c>
      <c r="G279">
        <v>51453.004127341395</v>
      </c>
      <c r="H279">
        <v>20855.535580203861</v>
      </c>
      <c r="I279">
        <v>0</v>
      </c>
      <c r="J279">
        <v>10064.573067315107</v>
      </c>
      <c r="K279">
        <v>13693.511708786062</v>
      </c>
      <c r="L279">
        <v>44613.620356305029</v>
      </c>
    </row>
    <row r="280" spans="1:12" x14ac:dyDescent="0.25">
      <c r="A280" t="s">
        <v>245</v>
      </c>
      <c r="B280" t="s">
        <v>246</v>
      </c>
      <c r="C280">
        <v>64526.290016011735</v>
      </c>
      <c r="D280">
        <v>0</v>
      </c>
      <c r="E280">
        <v>30867.003455710452</v>
      </c>
      <c r="F280">
        <v>42427.253297942247</v>
      </c>
      <c r="G280">
        <v>137820.54676966445</v>
      </c>
      <c r="H280">
        <v>61697.626091436417</v>
      </c>
      <c r="I280">
        <v>0</v>
      </c>
      <c r="J280">
        <v>29774.361990807181</v>
      </c>
      <c r="K280">
        <v>40509.972138492099</v>
      </c>
      <c r="L280">
        <v>131981.96022073569</v>
      </c>
    </row>
    <row r="281" spans="1:12" x14ac:dyDescent="0.25">
      <c r="A281" t="s">
        <v>608</v>
      </c>
      <c r="B281" t="s">
        <v>609</v>
      </c>
      <c r="C281">
        <v>34902.060722446069</v>
      </c>
      <c r="D281">
        <v>9141.0428606285368</v>
      </c>
      <c r="E281">
        <v>22232.007412531515</v>
      </c>
      <c r="F281">
        <v>30656.463411935518</v>
      </c>
      <c r="G281">
        <v>96931.57440754163</v>
      </c>
      <c r="H281">
        <v>35628.206616181604</v>
      </c>
      <c r="I281">
        <v>9593.7439385658035</v>
      </c>
      <c r="J281">
        <v>20190.498094619725</v>
      </c>
      <c r="K281">
        <v>27590.817070741967</v>
      </c>
      <c r="L281">
        <v>93003.265720109106</v>
      </c>
    </row>
    <row r="282" spans="1:12" x14ac:dyDescent="0.25">
      <c r="A282" t="s">
        <v>60</v>
      </c>
      <c r="B282" t="s">
        <v>42</v>
      </c>
      <c r="C282">
        <v>394644.16849933227</v>
      </c>
      <c r="D282">
        <v>103359.49179727057</v>
      </c>
      <c r="E282">
        <v>243411.91773993953</v>
      </c>
      <c r="F282">
        <v>335648.88728929288</v>
      </c>
      <c r="G282">
        <v>1077064.4653258352</v>
      </c>
      <c r="H282">
        <v>437868.56471221219</v>
      </c>
      <c r="I282">
        <v>117906.54898381492</v>
      </c>
      <c r="J282">
        <v>255735.96782630272</v>
      </c>
      <c r="K282">
        <v>347945.55579906079</v>
      </c>
      <c r="L282">
        <v>1159456.6373213907</v>
      </c>
    </row>
    <row r="283" spans="1:12" x14ac:dyDescent="0.25">
      <c r="A283" t="s">
        <v>247</v>
      </c>
      <c r="B283" t="s">
        <v>248</v>
      </c>
      <c r="C283">
        <v>565250.30054026283</v>
      </c>
      <c r="D283">
        <v>0</v>
      </c>
      <c r="E283">
        <v>270394.95027202356</v>
      </c>
      <c r="F283">
        <v>371662.73888997402</v>
      </c>
      <c r="G283">
        <v>1207307.9897022604</v>
      </c>
      <c r="H283">
        <v>550933.73157705215</v>
      </c>
      <c r="I283">
        <v>0</v>
      </c>
      <c r="J283">
        <v>265872.47186157398</v>
      </c>
      <c r="K283">
        <v>361736.93430709845</v>
      </c>
      <c r="L283">
        <v>1178543.1377457245</v>
      </c>
    </row>
    <row r="284" spans="1:12" x14ac:dyDescent="0.25">
      <c r="A284" t="s">
        <v>610</v>
      </c>
      <c r="B284" t="s">
        <v>611</v>
      </c>
      <c r="C284">
        <v>173790.80777645842</v>
      </c>
      <c r="D284">
        <v>45791.013630287074</v>
      </c>
      <c r="E284">
        <v>113604.25708854655</v>
      </c>
      <c r="F284">
        <v>156151.10155205624</v>
      </c>
      <c r="G284">
        <v>489337.18004734826</v>
      </c>
      <c r="H284">
        <v>218983.12359214059</v>
      </c>
      <c r="I284">
        <v>58966.426158989823</v>
      </c>
      <c r="J284">
        <v>170599.23125961638</v>
      </c>
      <c r="K284">
        <v>232111.44229753732</v>
      </c>
      <c r="L284">
        <v>680660.22330828407</v>
      </c>
    </row>
    <row r="285" spans="1:12" x14ac:dyDescent="0.25">
      <c r="A285" t="s">
        <v>249</v>
      </c>
      <c r="B285" t="s">
        <v>250</v>
      </c>
      <c r="C285">
        <v>397481.94649863243</v>
      </c>
      <c r="D285">
        <v>0</v>
      </c>
      <c r="E285">
        <v>190140.7412871765</v>
      </c>
      <c r="F285">
        <v>261351.88031532418</v>
      </c>
      <c r="G285">
        <v>848974.5681011331</v>
      </c>
      <c r="H285">
        <v>411896.8277090264</v>
      </c>
      <c r="I285">
        <v>0</v>
      </c>
      <c r="J285">
        <v>198775.31807947331</v>
      </c>
      <c r="K285">
        <v>270446.85624852474</v>
      </c>
      <c r="L285">
        <v>881119.00203702447</v>
      </c>
    </row>
    <row r="286" spans="1:12" x14ac:dyDescent="0.25">
      <c r="A286" t="s">
        <v>612</v>
      </c>
      <c r="B286" t="s">
        <v>613</v>
      </c>
      <c r="C286">
        <v>56783.13521409034</v>
      </c>
      <c r="D286">
        <v>14961.4202950443</v>
      </c>
      <c r="E286">
        <v>34546.955665293921</v>
      </c>
      <c r="F286">
        <v>47637.960112853594</v>
      </c>
      <c r="G286">
        <v>153929.47128728215</v>
      </c>
      <c r="H286">
        <v>66042.52933731224</v>
      </c>
      <c r="I286">
        <v>17783.525349536612</v>
      </c>
      <c r="J286">
        <v>45300.748215288077</v>
      </c>
      <c r="K286">
        <v>61634.638841993044</v>
      </c>
      <c r="L286">
        <v>190761.44174412999</v>
      </c>
    </row>
    <row r="287" spans="1:12" x14ac:dyDescent="0.25">
      <c r="A287" t="s">
        <v>63</v>
      </c>
      <c r="B287" t="s">
        <v>48</v>
      </c>
      <c r="C287">
        <v>2412367.6584831234</v>
      </c>
      <c r="D287">
        <v>0</v>
      </c>
      <c r="E287">
        <v>1708235.2358660235</v>
      </c>
      <c r="F287">
        <v>2348000.1597352899</v>
      </c>
      <c r="G287">
        <v>6468603.054084437</v>
      </c>
      <c r="H287">
        <v>2356238.1863017795</v>
      </c>
      <c r="I287">
        <v>0</v>
      </c>
      <c r="J287">
        <v>1664103.444454907</v>
      </c>
      <c r="K287">
        <v>2264121.8707306203</v>
      </c>
      <c r="L287">
        <v>6284463.5014873073</v>
      </c>
    </row>
    <row r="288" spans="1:12" x14ac:dyDescent="0.25">
      <c r="A288" t="s">
        <v>251</v>
      </c>
      <c r="B288" t="s">
        <v>252</v>
      </c>
      <c r="C288">
        <v>103696.28457698962</v>
      </c>
      <c r="D288">
        <v>0</v>
      </c>
      <c r="E288">
        <v>50406.183171632561</v>
      </c>
      <c r="F288">
        <v>69506.782786760334</v>
      </c>
      <c r="G288">
        <v>223609.25053538251</v>
      </c>
      <c r="H288">
        <v>96456.852058442862</v>
      </c>
      <c r="I288">
        <v>0</v>
      </c>
      <c r="J288">
        <v>46548.650436332347</v>
      </c>
      <c r="K288">
        <v>63332.491653135541</v>
      </c>
      <c r="L288">
        <v>206337.99414791077</v>
      </c>
    </row>
    <row r="289" spans="1:12" x14ac:dyDescent="0.25">
      <c r="A289" t="s">
        <v>614</v>
      </c>
      <c r="B289" t="s">
        <v>615</v>
      </c>
      <c r="C289">
        <v>94638.558690150574</v>
      </c>
      <c r="D289">
        <v>24935.700491740503</v>
      </c>
      <c r="E289">
        <v>55591.833338774835</v>
      </c>
      <c r="F289">
        <v>76411.978174215765</v>
      </c>
      <c r="G289">
        <v>251578.07069488167</v>
      </c>
      <c r="H289">
        <v>85174.702821135521</v>
      </c>
      <c r="I289">
        <v>22442.130442566453</v>
      </c>
      <c r="J289">
        <v>50032.650004897354</v>
      </c>
      <c r="K289">
        <v>68770.780356794188</v>
      </c>
      <c r="L289">
        <v>226420.26362539351</v>
      </c>
    </row>
    <row r="290" spans="1:12" x14ac:dyDescent="0.25">
      <c r="A290" t="s">
        <v>616</v>
      </c>
      <c r="B290" t="s">
        <v>617</v>
      </c>
      <c r="C290">
        <v>301983.03727493499</v>
      </c>
      <c r="D290">
        <v>79567.553387281034</v>
      </c>
      <c r="E290">
        <v>156042.08603766694</v>
      </c>
      <c r="F290">
        <v>214482.66330610073</v>
      </c>
      <c r="G290">
        <v>752075.34000598371</v>
      </c>
      <c r="H290">
        <v>260694.19475254824</v>
      </c>
      <c r="I290">
        <v>67632.420379188872</v>
      </c>
      <c r="J290">
        <v>132635.77313201691</v>
      </c>
      <c r="K290">
        <v>182310.26381018563</v>
      </c>
      <c r="L290">
        <v>643272.65207393956</v>
      </c>
    </row>
    <row r="291" spans="1:12" x14ac:dyDescent="0.25">
      <c r="A291" t="s">
        <v>618</v>
      </c>
      <c r="B291" t="s">
        <v>619</v>
      </c>
      <c r="C291">
        <v>26095.753734606653</v>
      </c>
      <c r="D291">
        <v>0</v>
      </c>
      <c r="E291">
        <v>12684.999738556538</v>
      </c>
      <c r="F291">
        <v>17491.773151635054</v>
      </c>
      <c r="G291">
        <v>56272.526624798244</v>
      </c>
      <c r="H291">
        <v>32152.284019480951</v>
      </c>
      <c r="I291">
        <v>0</v>
      </c>
      <c r="J291">
        <v>15516.216812110781</v>
      </c>
      <c r="K291">
        <v>21110.830551045183</v>
      </c>
      <c r="L291">
        <v>68779.331382636912</v>
      </c>
    </row>
    <row r="292" spans="1:12" x14ac:dyDescent="0.25">
      <c r="A292" t="s">
        <v>620</v>
      </c>
      <c r="B292" t="s">
        <v>1400</v>
      </c>
      <c r="C292">
        <v>708068.48910903581</v>
      </c>
      <c r="D292">
        <v>0</v>
      </c>
      <c r="E292">
        <v>365876.88096168806</v>
      </c>
      <c r="F292">
        <v>502904.37575827533</v>
      </c>
      <c r="G292">
        <v>1576849.7458289992</v>
      </c>
      <c r="H292">
        <v>925464.39137154631</v>
      </c>
      <c r="I292">
        <v>249203.34864811169</v>
      </c>
      <c r="J292">
        <v>525035.2283449379</v>
      </c>
      <c r="K292">
        <v>714344.86080833978</v>
      </c>
      <c r="L292">
        <v>2414047.8291729358</v>
      </c>
    </row>
    <row r="293" spans="1:12" x14ac:dyDescent="0.25">
      <c r="A293" t="s">
        <v>621</v>
      </c>
      <c r="B293" t="s">
        <v>622</v>
      </c>
      <c r="C293">
        <v>734739.35564898723</v>
      </c>
      <c r="D293">
        <v>193591.71109042165</v>
      </c>
      <c r="E293">
        <v>472661.99964679894</v>
      </c>
      <c r="F293">
        <v>649682.44851175009</v>
      </c>
      <c r="G293">
        <v>2050675.5148979579</v>
      </c>
      <c r="H293">
        <v>661265.42008408858</v>
      </c>
      <c r="I293">
        <v>177601.25974076692</v>
      </c>
      <c r="J293">
        <v>425395.79968211905</v>
      </c>
      <c r="K293">
        <v>584714.20366057509</v>
      </c>
      <c r="L293">
        <v>1848976.6831675498</v>
      </c>
    </row>
    <row r="294" spans="1:12" x14ac:dyDescent="0.25">
      <c r="A294" t="s">
        <v>623</v>
      </c>
      <c r="B294" t="s">
        <v>624</v>
      </c>
      <c r="C294">
        <v>150561.34337069414</v>
      </c>
      <c r="D294">
        <v>39670.432600496242</v>
      </c>
      <c r="E294">
        <v>84441.72956366041</v>
      </c>
      <c r="F294">
        <v>116066.68118122635</v>
      </c>
      <c r="G294">
        <v>390740.18671607715</v>
      </c>
      <c r="H294">
        <v>174665.11048420737</v>
      </c>
      <c r="I294">
        <v>47032.744674432353</v>
      </c>
      <c r="J294">
        <v>107951.25829301591</v>
      </c>
      <c r="K294">
        <v>146874.76652280343</v>
      </c>
      <c r="L294">
        <v>476523.87997445907</v>
      </c>
    </row>
    <row r="295" spans="1:12" x14ac:dyDescent="0.25">
      <c r="A295" t="s">
        <v>253</v>
      </c>
      <c r="B295" t="s">
        <v>254</v>
      </c>
      <c r="C295">
        <v>239177.44832601695</v>
      </c>
      <c r="D295">
        <v>0</v>
      </c>
      <c r="E295">
        <v>114413.69280916675</v>
      </c>
      <c r="F295">
        <v>157263.68555770593</v>
      </c>
      <c r="G295">
        <v>510854.82669288962</v>
      </c>
      <c r="H295">
        <v>219852.10424131571</v>
      </c>
      <c r="I295">
        <v>0</v>
      </c>
      <c r="J295">
        <v>106097.37441794672</v>
      </c>
      <c r="K295">
        <v>144352.43593011977</v>
      </c>
      <c r="L295">
        <v>470301.91458938218</v>
      </c>
    </row>
    <row r="296" spans="1:12" x14ac:dyDescent="0.25">
      <c r="A296" t="s">
        <v>625</v>
      </c>
      <c r="B296" t="s">
        <v>626</v>
      </c>
      <c r="C296">
        <v>0</v>
      </c>
      <c r="D296">
        <v>1818.4223737979735</v>
      </c>
      <c r="E296">
        <v>0</v>
      </c>
      <c r="F296">
        <v>0</v>
      </c>
      <c r="G296">
        <v>1818.4223737979735</v>
      </c>
      <c r="H296">
        <v>0</v>
      </c>
      <c r="I296">
        <v>1545.6590177282774</v>
      </c>
      <c r="J296">
        <v>0</v>
      </c>
      <c r="K296">
        <v>0</v>
      </c>
      <c r="L296">
        <v>1545.6590177282774</v>
      </c>
    </row>
    <row r="297" spans="1:12" x14ac:dyDescent="0.25">
      <c r="A297" t="s">
        <v>627</v>
      </c>
      <c r="B297" t="s">
        <v>628</v>
      </c>
      <c r="C297">
        <v>36134.722408966583</v>
      </c>
      <c r="D297">
        <v>9352.6410749949355</v>
      </c>
      <c r="E297">
        <v>17358.420694866847</v>
      </c>
      <c r="F297">
        <v>23936.110628553233</v>
      </c>
      <c r="G297">
        <v>86781.894807381599</v>
      </c>
      <c r="H297">
        <v>33890.245317831272</v>
      </c>
      <c r="I297">
        <v>7949.7449137456952</v>
      </c>
      <c r="J297">
        <v>16354.931234387044</v>
      </c>
      <c r="K297">
        <v>22251.956526777347</v>
      </c>
      <c r="L297">
        <v>80446.877992741356</v>
      </c>
    </row>
    <row r="298" spans="1:12" x14ac:dyDescent="0.25">
      <c r="A298" t="s">
        <v>629</v>
      </c>
      <c r="B298" t="s">
        <v>630</v>
      </c>
      <c r="C298">
        <v>58897.227469127742</v>
      </c>
      <c r="D298">
        <v>15425.509827310645</v>
      </c>
      <c r="E298">
        <v>40171.721489471565</v>
      </c>
      <c r="F298">
        <v>54884.318404265228</v>
      </c>
      <c r="G298">
        <v>169378.7771901752</v>
      </c>
      <c r="H298">
        <v>63435.58738978675</v>
      </c>
      <c r="I298">
        <v>17081.544085739108</v>
      </c>
      <c r="J298">
        <v>38954.940540973403</v>
      </c>
      <c r="K298">
        <v>53000.75133293117</v>
      </c>
      <c r="L298">
        <v>172472.82334943043</v>
      </c>
    </row>
    <row r="299" spans="1:12" x14ac:dyDescent="0.25">
      <c r="A299" t="s">
        <v>64</v>
      </c>
      <c r="B299" t="s">
        <v>1391</v>
      </c>
      <c r="C299">
        <v>773299.95182445808</v>
      </c>
      <c r="D299">
        <v>175350.9872106596</v>
      </c>
      <c r="E299">
        <v>445484.49322934798</v>
      </c>
      <c r="F299">
        <v>614293.56395284913</v>
      </c>
      <c r="G299">
        <v>2008428.9962173146</v>
      </c>
      <c r="H299">
        <v>922378.06902294874</v>
      </c>
      <c r="I299">
        <v>148924.58416689432</v>
      </c>
      <c r="J299">
        <v>525946.13174450735</v>
      </c>
      <c r="K299">
        <v>715584.20462194737</v>
      </c>
      <c r="L299">
        <v>2312832.9895562977</v>
      </c>
    </row>
    <row r="300" spans="1:12" x14ac:dyDescent="0.25">
      <c r="A300" t="s">
        <v>306</v>
      </c>
      <c r="B300" t="s">
        <v>1387</v>
      </c>
      <c r="C300">
        <v>374252.48209286825</v>
      </c>
      <c r="D300">
        <v>0</v>
      </c>
      <c r="E300">
        <v>179028.6200431207</v>
      </c>
      <c r="F300">
        <v>246078.06912806502</v>
      </c>
      <c r="G300">
        <v>799359.1712640539</v>
      </c>
      <c r="H300">
        <v>318114.609778938</v>
      </c>
      <c r="I300">
        <v>0</v>
      </c>
      <c r="J300">
        <v>152174.3270366526</v>
      </c>
      <c r="K300">
        <v>209166.35875885526</v>
      </c>
      <c r="L300">
        <v>679455.29557444586</v>
      </c>
    </row>
    <row r="301" spans="1:12" x14ac:dyDescent="0.25">
      <c r="A301" t="s">
        <v>255</v>
      </c>
      <c r="B301" t="s">
        <v>1386</v>
      </c>
      <c r="C301">
        <v>634938.69375755556</v>
      </c>
      <c r="D301">
        <v>0</v>
      </c>
      <c r="E301">
        <v>313402.97508698015</v>
      </c>
      <c r="F301">
        <v>430778.04515177343</v>
      </c>
      <c r="G301">
        <v>1379119.7139963091</v>
      </c>
      <c r="H301">
        <v>640438.73844209348</v>
      </c>
      <c r="I301">
        <v>0</v>
      </c>
      <c r="J301">
        <v>318711.48046497826</v>
      </c>
      <c r="K301">
        <v>433627.87077822542</v>
      </c>
      <c r="L301">
        <v>1392778.0896852971</v>
      </c>
    </row>
    <row r="302" spans="1:12" x14ac:dyDescent="0.25">
      <c r="A302" t="s">
        <v>68</v>
      </c>
      <c r="B302" t="s">
        <v>1384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</row>
    <row r="303" spans="1:12" x14ac:dyDescent="0.25">
      <c r="A303" t="s">
        <v>631</v>
      </c>
      <c r="B303" t="s">
        <v>632</v>
      </c>
      <c r="C303">
        <v>76913.800480945938</v>
      </c>
      <c r="D303">
        <v>20144.150007681394</v>
      </c>
      <c r="E303">
        <v>49307.294996912722</v>
      </c>
      <c r="F303">
        <v>67991.488891026995</v>
      </c>
      <c r="G303">
        <v>214356.73437656707</v>
      </c>
      <c r="H303">
        <v>81684.181022465127</v>
      </c>
      <c r="I303">
        <v>21995.412932321593</v>
      </c>
      <c r="J303">
        <v>45708.363424514333</v>
      </c>
      <c r="K303">
        <v>62189.226066198869</v>
      </c>
      <c r="L303">
        <v>211577.18344549992</v>
      </c>
    </row>
    <row r="304" spans="1:12" x14ac:dyDescent="0.25">
      <c r="A304" t="s">
        <v>256</v>
      </c>
      <c r="B304" t="s">
        <v>257</v>
      </c>
      <c r="C304">
        <v>197778.34409386094</v>
      </c>
      <c r="D304">
        <v>0</v>
      </c>
      <c r="E304">
        <v>0</v>
      </c>
      <c r="F304">
        <v>0</v>
      </c>
      <c r="G304">
        <v>197778.34409386094</v>
      </c>
      <c r="H304">
        <v>168111.5924797818</v>
      </c>
      <c r="I304">
        <v>0</v>
      </c>
      <c r="J304">
        <v>0</v>
      </c>
      <c r="K304">
        <v>0</v>
      </c>
      <c r="L304">
        <v>168111.5924797818</v>
      </c>
    </row>
    <row r="305" spans="1:12" x14ac:dyDescent="0.25">
      <c r="A305" t="s">
        <v>307</v>
      </c>
      <c r="B305" t="s">
        <v>308</v>
      </c>
      <c r="C305">
        <v>127331.87896492989</v>
      </c>
      <c r="D305">
        <v>0</v>
      </c>
      <c r="E305">
        <v>60910.886819268635</v>
      </c>
      <c r="F305">
        <v>83723.113174606042</v>
      </c>
      <c r="G305">
        <v>271965.87895880459</v>
      </c>
      <c r="H305">
        <v>130347.09737627412</v>
      </c>
      <c r="I305">
        <v>0</v>
      </c>
      <c r="J305">
        <v>62903.581670719403</v>
      </c>
      <c r="K305">
        <v>85584.448179912899</v>
      </c>
      <c r="L305">
        <v>278835.12722690642</v>
      </c>
    </row>
    <row r="306" spans="1:12" x14ac:dyDescent="0.25">
      <c r="A306" t="s">
        <v>70</v>
      </c>
      <c r="B306" t="s">
        <v>1397</v>
      </c>
      <c r="C306">
        <v>31042.97551993349</v>
      </c>
      <c r="D306">
        <v>8179.312435133852</v>
      </c>
      <c r="E306">
        <v>22654.083780661225</v>
      </c>
      <c r="F306">
        <v>31235.675075331794</v>
      </c>
      <c r="G306">
        <v>93112.046811060354</v>
      </c>
      <c r="H306">
        <v>23525.095025557534</v>
      </c>
      <c r="I306">
        <v>6334.6926281470951</v>
      </c>
      <c r="J306">
        <v>17790.036166994141</v>
      </c>
      <c r="K306">
        <v>24204.510904052524</v>
      </c>
      <c r="L306">
        <v>71854.334724751301</v>
      </c>
    </row>
    <row r="307" spans="1:12" x14ac:dyDescent="0.25">
      <c r="A307" t="s">
        <v>258</v>
      </c>
      <c r="B307" t="s">
        <v>259</v>
      </c>
      <c r="C307">
        <v>28391.56760704517</v>
      </c>
      <c r="D307">
        <v>0</v>
      </c>
      <c r="E307">
        <v>13581.4815205126</v>
      </c>
      <c r="F307">
        <v>18667.991451094585</v>
      </c>
      <c r="G307">
        <v>60641.040578652348</v>
      </c>
      <c r="H307">
        <v>25200.43882607967</v>
      </c>
      <c r="I307">
        <v>0</v>
      </c>
      <c r="J307">
        <v>12161.359123005754</v>
      </c>
      <c r="K307">
        <v>16546.326648116494</v>
      </c>
      <c r="L307">
        <v>53908.12459720191</v>
      </c>
    </row>
    <row r="308" spans="1:12" x14ac:dyDescent="0.25">
      <c r="A308" t="s">
        <v>633</v>
      </c>
      <c r="B308" t="s">
        <v>634</v>
      </c>
      <c r="C308">
        <v>43542.987524510827</v>
      </c>
      <c r="D308">
        <v>11321.525852586967</v>
      </c>
      <c r="E308">
        <v>23242.358577955023</v>
      </c>
      <c r="F308">
        <v>29333.116174164265</v>
      </c>
      <c r="G308">
        <v>107439.98812921709</v>
      </c>
      <c r="H308">
        <v>37011.539395834203</v>
      </c>
      <c r="I308">
        <v>9623.296974698922</v>
      </c>
      <c r="J308">
        <v>19756.00479126177</v>
      </c>
      <c r="K308">
        <v>24933.148748039624</v>
      </c>
      <c r="L308">
        <v>91323.989909834519</v>
      </c>
    </row>
    <row r="309" spans="1:12" x14ac:dyDescent="0.25">
      <c r="A309" t="s">
        <v>635</v>
      </c>
      <c r="B309" t="s">
        <v>636</v>
      </c>
      <c r="C309">
        <v>12905.258003202352</v>
      </c>
      <c r="D309">
        <v>2510.0445587040394</v>
      </c>
      <c r="E309">
        <v>6173.4006911420902</v>
      </c>
      <c r="F309">
        <v>8485.4506595884504</v>
      </c>
      <c r="G309">
        <v>30074.153912636932</v>
      </c>
      <c r="H309">
        <v>13903.690386802573</v>
      </c>
      <c r="I309">
        <v>2133.5378748984335</v>
      </c>
      <c r="J309">
        <v>6709.7153782100695</v>
      </c>
      <c r="K309">
        <v>9129.0078058573763</v>
      </c>
      <c r="L309">
        <v>31875.951445768449</v>
      </c>
    </row>
    <row r="310" spans="1:12" x14ac:dyDescent="0.25">
      <c r="A310" t="s">
        <v>637</v>
      </c>
      <c r="B310" t="s">
        <v>638</v>
      </c>
      <c r="C310">
        <v>88616.104955322837</v>
      </c>
      <c r="D310">
        <v>22063.996591020456</v>
      </c>
      <c r="E310">
        <v>42390.684745842365</v>
      </c>
      <c r="F310">
        <v>58266.761195840678</v>
      </c>
      <c r="G310">
        <v>211337.54748802632</v>
      </c>
      <c r="H310">
        <v>84291.122969990553</v>
      </c>
      <c r="I310">
        <v>18754.397102367388</v>
      </c>
      <c r="J310">
        <v>40677.649480398548</v>
      </c>
      <c r="K310">
        <v>55344.609823010338</v>
      </c>
      <c r="L310">
        <v>199067.77937576681</v>
      </c>
    </row>
    <row r="311" spans="1:12" x14ac:dyDescent="0.25">
      <c r="A311" t="s">
        <v>639</v>
      </c>
      <c r="B311" t="s">
        <v>640</v>
      </c>
      <c r="C311">
        <v>18067.361204483292</v>
      </c>
      <c r="D311">
        <v>0</v>
      </c>
      <c r="E311">
        <v>8642.7609675989261</v>
      </c>
      <c r="F311">
        <v>11879.630923423827</v>
      </c>
      <c r="G311">
        <v>38589.753095506043</v>
      </c>
      <c r="H311">
        <v>24331.4581769045</v>
      </c>
      <c r="I311">
        <v>6551.8251287766461</v>
      </c>
      <c r="J311">
        <v>13345.225497909249</v>
      </c>
      <c r="K311">
        <v>18157.054491011848</v>
      </c>
      <c r="L311">
        <v>62385.563294602245</v>
      </c>
    </row>
    <row r="312" spans="1:12" x14ac:dyDescent="0.25">
      <c r="A312" t="s">
        <v>641</v>
      </c>
      <c r="B312" t="s">
        <v>642</v>
      </c>
      <c r="C312">
        <v>13765.608536749176</v>
      </c>
      <c r="D312">
        <v>3627.0109806168002</v>
      </c>
      <c r="E312">
        <v>12395.519802738447</v>
      </c>
      <c r="F312">
        <v>17037.865667298818</v>
      </c>
      <c r="G312">
        <v>46826.004987403241</v>
      </c>
      <c r="H312">
        <v>26938.400124429987</v>
      </c>
      <c r="I312">
        <v>7253.8063925741435</v>
      </c>
      <c r="J312">
        <v>37318.724026345481</v>
      </c>
      <c r="K312">
        <v>50774.571459099359</v>
      </c>
      <c r="L312">
        <v>122285.50200244898</v>
      </c>
    </row>
    <row r="313" spans="1:12" x14ac:dyDescent="0.25">
      <c r="A313" t="s">
        <v>643</v>
      </c>
      <c r="B313" t="s">
        <v>644</v>
      </c>
      <c r="C313">
        <v>212506.58178606542</v>
      </c>
      <c r="D313">
        <v>0</v>
      </c>
      <c r="E313">
        <v>101655.33138080647</v>
      </c>
      <c r="F313">
        <v>139727.08752788982</v>
      </c>
      <c r="G313">
        <v>453889.00069476169</v>
      </c>
      <c r="H313">
        <v>228541.91073306731</v>
      </c>
      <c r="I313">
        <v>0</v>
      </c>
      <c r="J313">
        <v>110290.94652932802</v>
      </c>
      <c r="K313">
        <v>150058.06580878064</v>
      </c>
      <c r="L313">
        <v>488890.92307117593</v>
      </c>
    </row>
    <row r="314" spans="1:12" x14ac:dyDescent="0.25">
      <c r="A314" t="s">
        <v>645</v>
      </c>
      <c r="B314" t="s">
        <v>646</v>
      </c>
      <c r="C314">
        <v>3688322.7373152324</v>
      </c>
      <c r="D314">
        <v>971812.25461901387</v>
      </c>
      <c r="E314">
        <v>2921047.4270254001</v>
      </c>
      <c r="F314">
        <v>4015032.403761934</v>
      </c>
      <c r="G314">
        <v>11596214.82272158</v>
      </c>
      <c r="H314">
        <v>3848715.2951967875</v>
      </c>
      <c r="I314">
        <v>1036358.339119706</v>
      </c>
      <c r="J314">
        <v>3095485.2540161018</v>
      </c>
      <c r="K314">
        <v>4211610.6949335141</v>
      </c>
      <c r="L314">
        <v>12192169.583266109</v>
      </c>
    </row>
    <row r="315" spans="1:12" x14ac:dyDescent="0.25">
      <c r="A315" t="s">
        <v>647</v>
      </c>
      <c r="B315" t="s">
        <v>648</v>
      </c>
      <c r="C315">
        <v>530836.27919839008</v>
      </c>
      <c r="D315">
        <v>0</v>
      </c>
      <c r="E315">
        <v>256704.33681447321</v>
      </c>
      <c r="F315">
        <v>353978.25141071988</v>
      </c>
      <c r="G315">
        <v>1141518.8674235833</v>
      </c>
      <c r="H315">
        <v>476201.39574798814</v>
      </c>
      <c r="I315">
        <v>0</v>
      </c>
      <c r="J315">
        <v>229807.7517036949</v>
      </c>
      <c r="K315">
        <v>312668.51735061512</v>
      </c>
      <c r="L315">
        <v>1018677.6648022982</v>
      </c>
    </row>
    <row r="316" spans="1:12" x14ac:dyDescent="0.25">
      <c r="A316" t="s">
        <v>649</v>
      </c>
      <c r="B316" t="s">
        <v>650</v>
      </c>
      <c r="C316">
        <v>118728.37362946161</v>
      </c>
      <c r="D316">
        <v>28667.351012567196</v>
      </c>
      <c r="E316">
        <v>57416.314606098022</v>
      </c>
      <c r="F316">
        <v>79173.289002137608</v>
      </c>
      <c r="G316">
        <v>283985.3282502644</v>
      </c>
      <c r="H316">
        <v>130347.09737627412</v>
      </c>
      <c r="I316">
        <v>24367.248360682115</v>
      </c>
      <c r="J316">
        <v>62903.581670719403</v>
      </c>
      <c r="K316">
        <v>85584.448179912899</v>
      </c>
      <c r="L316">
        <v>303202.37558758853</v>
      </c>
    </row>
  </sheetData>
  <sheetProtection algorithmName="SHA-512" hashValue="Nt+/1a4Cf/psYlUzaHzvx6VIUfuU+iFcPtgnJoiMRIc9obV6FC+cDOvfSD/lxJHUtyowx11auNkJU9zLE9mC0A==" saltValue="XGJPOcRUI/29DTRCmOCqrg==" spinCount="100000" sheet="1" objects="1" scenarios="1"/>
  <phoneticPr fontId="2" type="noConversion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F R P L _ 6 d 9 4 2 e 1 6 - 2 2 d b - 4 f f a - b 3 c 4 - 7 8 e 5 f 7 7 f 3 d 9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 1 0 2 < / i n t > < / v a l u e > < / i t e m > < i t e m > < k e y > < s t r i n g > C C D D D < / s t r i n g > < / k e y > < v a l u e > < i n t > 7 9 < / i n t > < / v a l u e > < / i t e m > < i t e m > < k e y > < s t r i n g > D i s t r i c t N a m e < / s t r i n g > < / k e y > < v a l u e > < i n t > 1 1 7 < / i n t > < / v a l u e > < / i t e m > < i t e m > < k e y > < s t r i n g > T o t a l S t u d e n t s < / s t r i n g > < / k e y > < v a l u e > < i n t > 1 2 1 < / i n t > < / v a l u e > < / i t e m > < i t e m > < k e y > < s t r i n g > T o t a l S t u d e n t s I n P o v e r t y < / s t r i n g > < / k e y > < v a l u e > < i n t > 1 8 1 < / i n t > < / v a l u e > < / i t e m > < i t e m > < k e y > < s t r i n g > T o t a l P e r c e n t I n P o v e r t y < / s t r i n g > < / k e y > < v a l u e > < i n t > 1 7 4 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 C C D D D < / s t r i n g > < / k e y > < v a l u e > < i n t > 1 < / i n t > < / v a l u e > < / i t e m > < i t e m > < k e y > < s t r i n g > D i s t r i c t N a m e < / s t r i n g > < / k e y > < v a l u e > < i n t > 2 < / i n t > < / v a l u e > < / i t e m > < i t e m > < k e y > < s t r i n g > T o t a l S t u d e n t s < / s t r i n g > < / k e y > < v a l u e > < i n t > 3 < / i n t > < / v a l u e > < / i t e m > < i t e m > < k e y > < s t r i n g > T o t a l S t u d e n t s I n P o v e r t y < / s t r i n g > < / k e y > < v a l u e > < i n t > 4 < / i n t > < / v a l u e > < / i t e m > < i t e m > < k e y > < s t r i n g > T o t a l P e r c e n t I n P o v e r t y 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 F R P L _ 6 d 9 4 2 e 1 6 - 2 2 d b - 4 f f a - b 3 c 4 - 7 8 e 5 f 7 7 f 3 d 9 7 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 s u m i f _ c 9 c 1 6 b e 1 - 9 4 6 9 - 4 6 2 3 - 9 b 4 e - b c b 3 2 3 c c e 1 4 4 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5 3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 T a g s \ T a b l e s \ & l t ; T a b l e s \ F R P L & g t ; < / K e y > < / D i a g r a m O b j e c t K e y > < D i a g r a m O b j e c t K e y > < K e y > D y n a m i c   T a g s \ T a b l e s \ & l t ; T a b l e s \ C h a r t e r _ T r i b a l S e n d i n g   D i s t r i c t s & g t ; < / K e y > < / D i a g r a m O b j e c t K e y > < D i a g r a m O b j e c t K e y > < K e y > D y n a m i c   T a g s \ T a b l e s \ & l t ; T a b l e s \ C h a r t e r O n l y & g t ; < / K e y > < / D i a g r a m O b j e c t K e y > < D i a g r a m O b j e c t K e y > < K e y > D y n a m i c   T a g s \ T a b l e s \ & l t ; T a b l e s \ S e n d i n g O n l y & g t ; < / K e y > < / D i a g r a m O b j e c t K e y > < D i a g r a m O b j e c t K e y > < K e y > D y n a m i c   T a g s \ T a b l e s \ & l t ; T a b l e s \ A p p e n d 1 & g t ; < / K e y > < / D i a g r a m O b j e c t K e y > < D i a g r a m O b j e c t K e y > < K e y > D y n a m i c   T a g s \ T a b l e s \ & l t ; T a b l e s \ S p l i t   C a l c & g t ; < / K e y > < / D i a g r a m O b j e c t K e y > < D i a g r a m O b j e c t K e y > < K e y > D y n a m i c   T a g s \ T a b l e s \ & l t ; T a b l e s \ C C D D D   L E A i d & g t ; < / K e y > < / D i a g r a m O b j e c t K e y > < D i a g r a m O b j e c t K e y > < K e y > D y n a m i c   T a g s \ T a b l e s \ & l t ; T a b l e s \ A l l o c a t i o n   A d j u s t m e n t s & g t ; < / K e y > < / D i a g r a m O b j e c t K e y > < D i a g r a m O b j e c t K e y > < K e y > D y n a m i c   T a g s \ T a b l e s \ & l t ; T a b l e s \ A l l o c a t i o n   A d j u s t m e n t s   1 & g t ; < / K e y > < / D i a g r a m O b j e c t K e y > < D i a g r a m O b j e c t K e y > < K e y > D y n a m i c   T a g s \ T a b l e s \ & l t ; T a b l e s \ F o r m u l a   C o u n t s   A d j u s t m e n t s & g t ; < / K e y > < / D i a g r a m O b j e c t K e y > < D i a g r a m O b j e c t K e y > < K e y > D y n a m i c   T a g s \ T a b l e s \ & l t ; T a b l e s \ D O E   F o r m u l a   c o u n t s & g t ; < / K e y > < / D i a g r a m O b j e c t K e y > < D i a g r a m O b j e c t K e y > < K e y > D y n a m i c   T a g s \ T a b l e s \ & l t ; T a b l e s \ P r i o r   Y e a r   a d j u s t e d   a l l o c a t i o n s & g t ; < / K e y > < / D i a g r a m O b j e c t K e y > < D i a g r a m O b j e c t K e y > < K e y > D y n a m i c   T a g s \ T a b l e s \ & l t ; T a b l e s \ P r i o r   Y e a r   A d j u s t e d   F o r m u l a   c o u n t s & g t ; < / K e y > < / D i a g r a m O b j e c t K e y > < D i a g r a m O b j e c t K e y > < K e y > D y n a m i c   T a g s \ T a b l e s \ & l t ; T a b l e s \ D O E   A l l o c a t i o n & g t ; < / K e y > < / D i a g r a m O b j e c t K e y > < D i a g r a m O b j e c t K e y > < K e y > D y n a m i c   T a g s \ T a b l e s \ & l t ; T a b l e s \ N e w   O r   E x p n a d e d   H H   c a l c & g t ; < / K e y > < / D i a g r a m O b j e c t K e y > < D i a g r a m O b j e c t K e y > < K e y > D y n a m i c   T a g s \ T a b l e s \ & l t ; T a b l e s \ I n i t i a l   A d j u s t e d   F o r m u l a   C o u n t s & g t ; < / K e y > < / D i a g r a m O b j e c t K e y > < D i a g r a m O b j e c t K e y > < K e y > T a b l e s \ F R P L < / K e y > < / D i a g r a m O b j e c t K e y > < D i a g r a m O b j e c t K e y > < K e y > T a b l e s \ F R P L \ C o l u m n s \ s c h o o l Y e a r < / K e y > < / D i a g r a m O b j e c t K e y > < D i a g r a m O b j e c t K e y > < K e y > T a b l e s \ F R P L \ C o l u m n s \ C C D D D < / K e y > < / D i a g r a m O b j e c t K e y > < D i a g r a m O b j e c t K e y > < K e y > T a b l e s \ F R P L \ C o l u m n s \ D i s t r i c t N a m e < / K e y > < / D i a g r a m O b j e c t K e y > < D i a g r a m O b j e c t K e y > < K e y > T a b l e s \ F R P L \ C o l u m n s \ T o t a l S t u d e n t s < / K e y > < / D i a g r a m O b j e c t K e y > < D i a g r a m O b j e c t K e y > < K e y > T a b l e s \ F R P L \ C o l u m n s \ T o t a l S t u d e n t s I n P o v e r t y < / K e y > < / D i a g r a m O b j e c t K e y > < D i a g r a m O b j e c t K e y > < K e y > T a b l e s \ F R P L \ C o l u m n s \ T o t a l P e r c e n t I n P o v e r t y < / K e y > < / D i a g r a m O b j e c t K e y > < D i a g r a m O b j e c t K e y > < K e y > T a b l e s \ C h a r t e r _ T r i b a l S e n d i n g   D i s t r i c t s < / K e y > < / D i a g r a m O b j e c t K e y > < D i a g r a m O b j e c t K e y > < K e y > T a b l e s \ C h a r t e r _ T r i b a l S e n d i n g   D i s t r i c t s \ C o l u m n s \ C C D D D < / K e y > < / D i a g r a m O b j e c t K e y > < D i a g r a m O b j e c t K e y > < K e y > T a b l e s \ C h a r t e r _ T r i b a l S e n d i n g   D i s t r i c t s \ C o l u m n s \ C h a r t e r / T r i b a l < / K e y > < / D i a g r a m O b j e c t K e y > < D i a g r a m O b j e c t K e y > < K e y > T a b l e s \ C h a r t e r _ T r i b a l S e n d i n g   D i s t r i c t s \ C o l u m n s \ S e n d i n g   D i s t r i c t < / K e y > < / D i a g r a m O b j e c t K e y > < D i a g r a m O b j e c t K e y > < K e y > T a b l e s \ C h a r t e r _ T r i b a l S e n d i n g   D i s t r i c t s \ C o l u m n s \ S e n d i n g   D i s t r i c t   C C D D D < / K e y > < / D i a g r a m O b j e c t K e y > < D i a g r a m O b j e c t K e y > < K e y > T a b l e s \ C h a r t e r _ T r i b a l S e n d i n g   D i s t r i c t s \ C o l u m n s \ L E A I D < / K e y > < / D i a g r a m O b j e c t K e y > < D i a g r a m O b j e c t K e y > < K e y > T a b l e s \ C h a r t e r _ T r i b a l S e n d i n g   D i s t r i c t s \ C o l u m n s \ I s N e w < / K e y > < / D i a g r a m O b j e c t K e y > < D i a g r a m O b j e c t K e y > < K e y > T a b l e s \ C h a r t e r O n l y < / K e y > < / D i a g r a m O b j e c t K e y > < D i a g r a m O b j e c t K e y > < K e y > T a b l e s \ C h a r t e r O n l y \ C o l u m n s \ C C D D D < / K e y > < / D i a g r a m O b j e c t K e y > < D i a g r a m O b j e c t K e y > < K e y > T a b l e s \ C h a r t e r O n l y \ C o l u m n s \ D i s t r i c t N a m e < / K e y > < / D i a g r a m O b j e c t K e y > < D i a g r a m O b j e c t K e y > < K e y > T a b l e s \ C h a r t e r O n l y \ C o l u m n s \ L E A i d < / K e y > < / D i a g r a m O b j e c t K e y > < D i a g r a m O b j e c t K e y > < K e y > T a b l e s \ C h a r t e r O n l y \ C o l u m n s \ I s N e w < / K e y > < / D i a g r a m O b j e c t K e y > < D i a g r a m O b j e c t K e y > < K e y > T a b l e s \ C h a r t e r O n l y \ C o l u m n s \ S e n d i n g L E A i d < / K e y > < / D i a g r a m O b j e c t K e y > < D i a g r a m O b j e c t K e y > < K e y > T a b l e s \ C h a r t e r O n l y \ C o l u m n s \ D i s t r i c t T y p e < / K e y > < / D i a g r a m O b j e c t K e y > < D i a g r a m O b j e c t K e y > < K e y > T a b l e s \ S e n d i n g O n l y < / K e y > < / D i a g r a m O b j e c t K e y > < D i a g r a m O b j e c t K e y > < K e y > T a b l e s \ S e n d i n g O n l y \ C o l u m n s \ C C D D D < / K e y > < / D i a g r a m O b j e c t K e y > < D i a g r a m O b j e c t K e y > < K e y > T a b l e s \ S e n d i n g O n l y \ C o l u m n s \ D i s t r i c t N a m e < / K e y > < / D i a g r a m O b j e c t K e y > < D i a g r a m O b j e c t K e y > < K e y > T a b l e s \ S e n d i n g O n l y \ C o l u m n s \ S e n d i n g L E A i d < / K e y > < / D i a g r a m O b j e c t K e y > < D i a g r a m O b j e c t K e y > < K e y > T a b l e s \ S e n d i n g O n l y \ C o l u m n s \ D i s t r i c t T y p e < / K e y > < / D i a g r a m O b j e c t K e y > < D i a g r a m O b j e c t K e y > < K e y > T a b l e s \ S e n d i n g O n l y \ C o l u m n s \ L E A i d < / K e y > < / D i a g r a m O b j e c t K e y > < D i a g r a m O b j e c t K e y > < K e y > T a b l e s \ A p p e n d 1 < / K e y > < / D i a g r a m O b j e c t K e y > < D i a g r a m O b j e c t K e y > < K e y > T a b l e s \ A p p e n d 1 \ C o l u m n s \ C C D D D < / K e y > < / D i a g r a m O b j e c t K e y > < D i a g r a m O b j e c t K e y > < K e y > T a b l e s \ A p p e n d 1 \ C o l u m n s \ D i s t r i c t N a m e < / K e y > < / D i a g r a m O b j e c t K e y > < D i a g r a m O b j e c t K e y > < K e y > T a b l e s \ A p p e n d 1 \ C o l u m n s \ S e n d i n g L E A i d < / K e y > < / D i a g r a m O b j e c t K e y > < D i a g r a m O b j e c t K e y > < K e y > T a b l e s \ A p p e n d 1 \ C o l u m n s \ D i s t r i c t T y p e < / K e y > < / D i a g r a m O b j e c t K e y > < D i a g r a m O b j e c t K e y > < K e y > T a b l e s \ A p p e n d 1 \ C o l u m n s \ L E A i d < / K e y > < / D i a g r a m O b j e c t K e y > < D i a g r a m O b j e c t K e y > < K e y > T a b l e s \ A p p e n d 1 \ C o l u m n s \ I s N e w < / K e y > < / D i a g r a m O b j e c t K e y > < D i a g r a m O b j e c t K e y > < K e y > T a b l e s \ S p l i t   C a l c < / K e y > < / D i a g r a m O b j e c t K e y > < D i a g r a m O b j e c t K e y > < K e y > T a b l e s \ S p l i t   C a l c \ C o l u m n s \ C C D D D < / K e y > < / D i a g r a m O b j e c t K e y > < D i a g r a m O b j e c t K e y > < K e y > T a b l e s \ S p l i t   C a l c \ C o l u m n s \ C h a r t e r / T r i b a l < / K e y > < / D i a g r a m O b j e c t K e y > < D i a g r a m O b j e c t K e y > < K e y > T a b l e s \ S p l i t   C a l c \ C o l u m n s \ S e n d i n g   D i s t r i c t < / K e y > < / D i a g r a m O b j e c t K e y > < D i a g r a m O b j e c t K e y > < K e y > T a b l e s \ S p l i t   C a l c \ C o l u m n s \ S e n d i n g   D i s t r i c t   C C D D D < / K e y > < / D i a g r a m O b j e c t K e y > < D i a g r a m O b j e c t K e y > < K e y > T a b l e s \ S p l i t   C a l c \ C o l u m n s \ L E A I D < / K e y > < / D i a g r a m O b j e c t K e y > < D i a g r a m O b j e c t K e y > < K e y > T a b l e s \ S p l i t   C a l c \ C o l u m n s \ I s N e w < / K e y > < / D i a g r a m O b j e c t K e y > < D i a g r a m O b j e c t K e y > < K e y > T a b l e s \ S p l i t   C a l c \ C o l u m n s \ T o t a l S t u d e n t s I n P o v e r t y < / K e y > < / D i a g r a m O b j e c t K e y > < D i a g r a m O b j e c t K e y > < K e y > T a b l e s \ S p l i t   C a l c \ C o l u m n s \ S e n d i n g T o t a l S t u d e n t s I n P o v e r t y < / K e y > < / D i a g r a m O b j e c t K e y > < D i a g r a m O b j e c t K e y > < K e y > T a b l e s \ S p l i t   C a l c \ C o l u m n s \ S e n d i n g L E A I d < / K e y > < / D i a g r a m O b j e c t K e y > < D i a g r a m O b j e c t K e y > < K e y > T a b l e s \ C C D D D   L E A i d < / K e y > < / D i a g r a m O b j e c t K e y > < D i a g r a m O b j e c t K e y > < K e y > T a b l e s \ C C D D D   L E A i d \ C o l u m n s \ D i s t r i c t C o d e < / K e y > < / D i a g r a m O b j e c t K e y > < D i a g r a m O b j e c t K e y > < K e y > T a b l e s \ C C D D D   L E A i d \ C o l u m n s \ O r g a n i z a t i o n I d < / K e y > < / D i a g r a m O b j e c t K e y > < D i a g r a m O b j e c t K e y > < K e y > T a b l e s \ C C D D D   L E A i d \ C o l u m n s \ D i s t r i c t N a m e < / K e y > < / D i a g r a m O b j e c t K e y > < D i a g r a m O b j e c t K e y > < K e y > T a b l e s \ C C D D D   L E A i d \ C o l u m n s \ N C E S L E A N u m b e r < / K e y > < / D i a g r a m O b j e c t K e y > < D i a g r a m O b j e c t K e y > < K e y > T a b l e s \ C C D D D   L E A i d \ C o l u m n s \ N C E S L E A N a m e < / K e y > < / D i a g r a m O b j e c t K e y > < D i a g r a m O b j e c t K e y > < K e y > T a b l e s \ C C D D D   L E A i d \ C o l u m n s \ S c h o o l Y e a r I d < / K e y > < / D i a g r a m O b j e c t K e y > < D i a g r a m O b j e c t K e y > < K e y > T a b l e s \ A l l o c a t i o n   A d j u s t m e n t s < / K e y > < / D i a g r a m O b j e c t K e y > < D i a g r a m O b j e c t K e y > < K e y > T a b l e s \ A l l o c a t i o n   A d j u s t m e n t s \ C o l u m n s \ C C D D D < / K e y > < / D i a g r a m O b j e c t K e y > < D i a g r a m O b j e c t K e y > < K e y > T a b l e s \ A l l o c a t i o n   A d j u s t m e n t s \ C o l u m n s \ D i s t r i c t N a m e < / K e y > < / D i a g r a m O b j e c t K e y > < D i a g r a m O b j e c t K e y > < K e y > T a b l e s \ A l l o c a t i o n   A d j u s t m e n t s \ C o l u m n s \ S e n d i n g L E A i d < / K e y > < / D i a g r a m O b j e c t K e y > < D i a g r a m O b j e c t K e y > < K e y > T a b l e s \ A l l o c a t i o n   A d j u s t m e n t s \ C o l u m n s \ D i s t r i c t T y p e < / K e y > < / D i a g r a m O b j e c t K e y > < D i a g r a m O b j e c t K e y > < K e y > T a b l e s \ A l l o c a t i o n   A d j u s t m e n t s \ C o l u m n s \ L E A i d < / K e y > < / D i a g r a m O b j e c t K e y > < D i a g r a m O b j e c t K e y > < K e y > T a b l e s \ A l l o c a t i o n   A d j u s t m e n t s \ C o l u m n s \ I s N e w < / K e y > < / D i a g r a m O b j e c t K e y > < D i a g r a m O b j e c t K e y > < K e y > T a b l e s \ A l l o c a t i o n   A d j u s t m e n t s \ C o l u m n s \ M u l t i p l i e r < / K e y > < / D i a g r a m O b j e c t K e y > < D i a g r a m O b j e c t K e y > < K e y > T a b l e s \ A l l o c a t i o n   A d j u s t m e n t s \ C o l u m n s \ B a s i c   H o l d   H a r m l e s s   B a s e < / K e y > < / D i a g r a m O b j e c t K e y > < D i a g r a m O b j e c t K e y > < K e y > T a b l e s \ A l l o c a t i o n   A d j u s t m e n t s \ C o l u m n s \ C O N C .   H O L D   H a r m l e s s   B a s e < / K e y > < / D i a g r a m O b j e c t K e y > < D i a g r a m O b j e c t K e y > < K e y > T a b l e s \ A l l o c a t i o n   A d j u s t m e n t s \ C o l u m n s \ T A R G E T E D   H O L D   H a r m l e s s   B a s e < / K e y > < / D i a g r a m O b j e c t K e y > < D i a g r a m O b j e c t K e y > < K e y > T a b l e s \ A l l o c a t i o n   A d j u s t m e n t s \ C o l u m n s \ E F I G   H O L D   H a r m l e s s   B a s e < / K e y > < / D i a g r a m O b j e c t K e y > < D i a g r a m O b j e c t K e y > < K e y > T a b l e s \ A l l o c a t i o n   A d j u s t m e n t s \ C o l u m n s \ T O T A L   H O L D   H a r m l e s s   B a s e < / K e y > < / D i a g r a m O b j e c t K e y > < D i a g r a m O b j e c t K e y > < K e y > T a b l e s \ A l l o c a t i o n   A d j u s t m e n t s \ C o l u m n s \ B a s i c   A l l o c a t i o n < / K e y > < / D i a g r a m O b j e c t K e y > < D i a g r a m O b j e c t K e y > < K e y > T a b l e s \ A l l o c a t i o n   A d j u s t m e n t s \ C o l u m n s \ C o n c .   A l l o c a t i o n < / K e y > < / D i a g r a m O b j e c t K e y > < D i a g r a m O b j e c t K e y > < K e y > T a b l e s \ A l l o c a t i o n   A d j u s t m e n t s \ C o l u m n s \ T a r g e t e d   A l l o c a t i o n < / K e y > < / D i a g r a m O b j e c t K e y > < D i a g r a m O b j e c t K e y > < K e y > T a b l e s \ A l l o c a t i o n   A d j u s t m e n t s \ C o l u m n s \ E F I G   A l l o c a t i o n < / K e y > < / D i a g r a m O b j e c t K e y > < D i a g r a m O b j e c t K e y > < K e y > T a b l e s \ A l l o c a t i o n   A d j u s t m e n t s \ C o l u m n s \ T i t l e   I   A l l o c a t i o n < / K e y > < / D i a g r a m O b j e c t K e y > < D i a g r a m O b j e c t K e y > < K e y > T a b l e s \ A l l o c a t i o n   A d j u s t m e n t s \ C o l u m n s \ P e r c e n t a g e   o f   H o l d   H a r m l e s s   B a s e < / K e y > < / D i a g r a m O b j e c t K e y > < D i a g r a m O b j e c t K e y > < K e y > T a b l e s \ A l l o c a t i o n   A d j u s t m e n t s \ C o l u m n s \ R e s i d e n t   P o p < / K e y > < / D i a g r a m O b j e c t K e y > < D i a g r a m O b j e c t K e y > < K e y > T a b l e s \ A l l o c a t i o n   A d j u s t m e n t s   1 < / K e y > < / D i a g r a m O b j e c t K e y > < D i a g r a m O b j e c t K e y > < K e y > T a b l e s \ A l l o c a t i o n   A d j u s t m e n t s   1 \ C o l u m n s \ C C D D D < / K e y > < / D i a g r a m O b j e c t K e y > < D i a g r a m O b j e c t K e y > < K e y > T a b l e s \ A l l o c a t i o n   A d j u s t m e n t s   1 \ C o l u m n s \ D i s t r i c t N a m e < / K e y > < / D i a g r a m O b j e c t K e y > < D i a g r a m O b j e c t K e y > < K e y > T a b l e s \ A l l o c a t i o n   A d j u s t m e n t s   1 \ C o l u m n s \ S e n d i n g L E A i d < / K e y > < / D i a g r a m O b j e c t K e y > < D i a g r a m O b j e c t K e y > < K e y > T a b l e s \ A l l o c a t i o n   A d j u s t m e n t s   1 \ C o l u m n s \ D i s t r i c t T y p e < / K e y > < / D i a g r a m O b j e c t K e y > < D i a g r a m O b j e c t K e y > < K e y > T a b l e s \ A l l o c a t i o n   A d j u s t m e n t s   1 \ C o l u m n s \ L E A i d < / K e y > < / D i a g r a m O b j e c t K e y > < D i a g r a m O b j e c t K e y > < K e y > T a b l e s \ A l l o c a t i o n   A d j u s t m e n t s   1 \ C o l u m n s \ I s N e w < / K e y > < / D i a g r a m O b j e c t K e y > < D i a g r a m O b j e c t K e y > < K e y > T a b l e s \ A l l o c a t i o n   A d j u s t m e n t s   1 \ C o l u m n s \ M u l t i p l i e r < / K e y > < / D i a g r a m O b j e c t K e y > < D i a g r a m O b j e c t K e y > < K e y > T a b l e s \ A l l o c a t i o n   A d j u s t m e n t s   1 \ C o l u m n s \ B a s i c   H o l d   H a r m l e s s   B a s e < / K e y > < / D i a g r a m O b j e c t K e y > < D i a g r a m O b j e c t K e y > < K e y > T a b l e s \ A l l o c a t i o n   A d j u s t m e n t s   1 \ C o l u m n s \ C O N C .   H O L D   H a r m l e s s   B a s e < / K e y > < / D i a g r a m O b j e c t K e y > < D i a g r a m O b j e c t K e y > < K e y > T a b l e s \ A l l o c a t i o n   A d j u s t m e n t s   1 \ C o l u m n s \ T A R G E T E D   H O L D   H a r m l e s s   B a s e < / K e y > < / D i a g r a m O b j e c t K e y > < D i a g r a m O b j e c t K e y > < K e y > T a b l e s \ A l l o c a t i o n   A d j u s t m e n t s   1 \ C o l u m n s \ E F I G   H O L D   H a r m l e s s   B a s e < / K e y > < / D i a g r a m O b j e c t K e y > < D i a g r a m O b j e c t K e y > < K e y > T a b l e s \ A l l o c a t i o n   A d j u s t m e n t s   1 \ C o l u m n s \ T O T A L   H O L D   H a r m l e s s   B a s e < / K e y > < / D i a g r a m O b j e c t K e y > < D i a g r a m O b j e c t K e y > < K e y > T a b l e s \ A l l o c a t i o n   A d j u s t m e n t s   1 \ C o l u m n s \ B a s i c   A l l o c a t i o n < / K e y > < / D i a g r a m O b j e c t K e y > < D i a g r a m O b j e c t K e y > < K e y > T a b l e s \ A l l o c a t i o n   A d j u s t m e n t s   1 \ C o l u m n s \ C o n c .   A l l o c a t i o n < / K e y > < / D i a g r a m O b j e c t K e y > < D i a g r a m O b j e c t K e y > < K e y > T a b l e s \ A l l o c a t i o n   A d j u s t m e n t s   1 \ C o l u m n s \ T a r g e t e d   A l l o c a t i o n < / K e y > < / D i a g r a m O b j e c t K e y > < D i a g r a m O b j e c t K e y > < K e y > T a b l e s \ A l l o c a t i o n   A d j u s t m e n t s   1 \ C o l u m n s \ E F I G   A l l o c a t i o n < / K e y > < / D i a g r a m O b j e c t K e y > < D i a g r a m O b j e c t K e y > < K e y > T a b l e s \ A l l o c a t i o n   A d j u s t m e n t s   1 \ C o l u m n s \ T i t l e   I   A l l o c a t i o n < / K e y > < / D i a g r a m O b j e c t K e y > < D i a g r a m O b j e c t K e y > < K e y > T a b l e s \ A l l o c a t i o n   A d j u s t m e n t s   1 \ C o l u m n s \ P e r c e n t a g e   o f   H o l d   H a r m l e s s   B a s e < / K e y > < / D i a g r a m O b j e c t K e y > < D i a g r a m O b j e c t K e y > < K e y > T a b l e s \ A l l o c a t i o n   A d j u s t m e n t s   1 \ C o l u m n s \ R e s i d e n t   P o p < / K e y > < / D i a g r a m O b j e c t K e y > < D i a g r a m O b j e c t K e y > < K e y > T a b l e s \ F o r m u l a   C o u n t s   A d j u s t m e n t s < / K e y > < / D i a g r a m O b j e c t K e y > < D i a g r a m O b j e c t K e y > < K e y > T a b l e s \ F o r m u l a   C o u n t s   A d j u s t m e n t s \ C o l u m n s \ C C D D D < / K e y > < / D i a g r a m O b j e c t K e y > < D i a g r a m O b j e c t K e y > < K e y > T a b l e s \ F o r m u l a   C o u n t s   A d j u s t m e n t s \ C o l u m n s \ D i s t r i c t N a m e < / K e y > < / D i a g r a m O b j e c t K e y > < D i a g r a m O b j e c t K e y > < K e y > T a b l e s \ F o r m u l a   C o u n t s   A d j u s t m e n t s \ C o l u m n s \ S e n d i n g L E A i d < / K e y > < / D i a g r a m O b j e c t K e y > < D i a g r a m O b j e c t K e y > < K e y > T a b l e s \ F o r m u l a   C o u n t s   A d j u s t m e n t s \ C o l u m n s \ D i s t r i c t T y p e < / K e y > < / D i a g r a m O b j e c t K e y > < D i a g r a m O b j e c t K e y > < K e y > T a b l e s \ F o r m u l a   C o u n t s   A d j u s t m e n t s \ C o l u m n s \ L E A i d < / K e y > < / D i a g r a m O b j e c t K e y > < D i a g r a m O b j e c t K e y > < K e y > T a b l e s \ F o r m u l a   C o u n t s   A d j u s t m e n t s \ C o l u m n s \ I s N e w < / K e y > < / D i a g r a m O b j e c t K e y > < D i a g r a m O b j e c t K e y > < K e y > T a b l e s \ F o r m u l a   C o u n t s   A d j u s t m e n t s \ C o l u m n s \ M u l t i p l i e r < / K e y > < / D i a g r a m O b j e c t K e y > < D i a g r a m O b j e c t K e y > < K e y > T a b l e s \ F o r m u l a   C o u n t s   A d j u s t m e n t s \ C o l u m n s \ 2 0 2 0   P O V R T Y < / K e y > < / D i a g r a m O b j e c t K e y > < D i a g r a m O b j e c t K e y > < K e y > T a b l e s \ F o r m u l a   C o u n t s   A d j u s t m e n t s \ C o l u m n s \ 2 0 2 1   N E G < / K e y > < / D i a g r a m O b j e c t K e y > < D i a g r a m O b j e c t K e y > < K e y > T a b l e s \ F o r m u l a   C o u n t s   A d j u s t m e n t s \ C o l u m n s \ 2 0 2 1 _ 1   D E L . < / K e y > < / D i a g r a m O b j e c t K e y > < D i a g r a m O b j e c t K e y > < K e y > T a b l e s \ F o r m u l a   C o u n t s   A d j u s t m e n t s \ C o l u m n s \ 2 0 2 1 _ 2   F O R S T E R < / K e y > < / D i a g r a m O b j e c t K e y > < D i a g r a m O b j e c t K e y > < K e y > T a b l e s \ F o r m u l a   C o u n t s   A d j u s t m e n t s \ C o l u m n s \ 2 0 2 1 _ 3   T A N F < / K e y > < / D i a g r a m O b j e c t K e y > < D i a g r a m O b j e c t K e y > < K e y > T a b l e s \ F o r m u l a   C o u n t s   A d j u s t m e n t s \ C o l u m n s \ F O R M U L A   C O U N T < / K e y > < / D i a g r a m O b j e c t K e y > < D i a g r a m O b j e c t K e y > < K e y > T a b l e s \ F o r m u l a   C o u n t s   A d j u s t m e n t s \ C o l u m n s \ 5 - 1 7   P O P . < / K e y > < / D i a g r a m O b j e c t K e y > < D i a g r a m O b j e c t K e y > < K e y > T a b l e s \ F o r m u l a   C o u n t s   A d j u s t m e n t s \ C o l u m n s \ P E R C E N T   F O R M U L A < / K e y > < / D i a g r a m O b j e c t K e y > < D i a g r a m O b j e c t K e y > < K e y > T a b l e s \ F o r m u l a   C o u n t s   A d j u s t m e n t s \ C o l u m n s \ B A S I C   E l i g i b l e s < / K e y > < / D i a g r a m O b j e c t K e y > < D i a g r a m O b j e c t K e y > < K e y > T a b l e s \ F o r m u l a   C o u n t s   A d j u s t m e n t s \ C o l u m n s \ C O N C .   E l i g i b l e s < / K e y > < / D i a g r a m O b j e c t K e y > < D i a g r a m O b j e c t K e y > < K e y > T a b l e s \ F o r m u l a   C o u n t s   A d j u s t m e n t s \ C o l u m n s \ E F I G   E l i g i b l e s < / K e y > < / D i a g r a m O b j e c t K e y > < D i a g r a m O b j e c t K e y > < K e y > T a b l e s \ F o r m u l a   C o u n t s   A d j u s t m e n t s \ C o l u m n s \ C O U N T S   T a r g e t e d < / K e y > < / D i a g r a m O b j e c t K e y > < D i a g r a m O b j e c t K e y > < K e y > T a b l e s \ F o r m u l a   C o u n t s   A d j u s t m e n t s \ C o l u m n s \ C O U N T S   E F I G < / K e y > < / D i a g r a m O b j e c t K e y > < D i a g r a m O b j e c t K e y > < K e y > T a b l e s \ D O E   F o r m u l a   c o u n t s < / K e y > < / D i a g r a m O b j e c t K e y > < D i a g r a m O b j e c t K e y > < K e y > T a b l e s \ D O E   F o r m u l a   c o u n t s \ C o l u m n s \ L E A i d < / K e y > < / D i a g r a m O b j e c t K e y > < D i a g r a m O b j e c t K e y > < K e y > T a b l e s \ D O E   F o r m u l a   c o u n t s \ C o l u m n s \ L O C A L   E D U C A T I O N A L   A G E N C Y < / K e y > < / D i a g r a m O b j e c t K e y > < D i a g r a m O b j e c t K e y > < K e y > T a b l e s \ D O E   F o r m u l a   c o u n t s \ C o l u m n s \ 2 0 2 0   P O V R T Y < / K e y > < / D i a g r a m O b j e c t K e y > < D i a g r a m O b j e c t K e y > < K e y > T a b l e s \ D O E   F o r m u l a   c o u n t s \ C o l u m n s \ 2 0 2 1   N E G < / K e y > < / D i a g r a m O b j e c t K e y > < D i a g r a m O b j e c t K e y > < K e y > T a b l e s \ D O E   F o r m u l a   c o u n t s \ C o l u m n s \ 2 0 2 1 _ 1   D E L . < / K e y > < / D i a g r a m O b j e c t K e y > < D i a g r a m O b j e c t K e y > < K e y > T a b l e s \ D O E   F o r m u l a   c o u n t s \ C o l u m n s \ 2 0 2 1 _ 2   F O R S T E R < / K e y > < / D i a g r a m O b j e c t K e y > < D i a g r a m O b j e c t K e y > < K e y > T a b l e s \ D O E   F o r m u l a   c o u n t s \ C o l u m n s \ 2 0 2 1 _ 3   T A N F < / K e y > < / D i a g r a m O b j e c t K e y > < D i a g r a m O b j e c t K e y > < K e y > T a b l e s \ D O E   F o r m u l a   c o u n t s \ C o l u m n s \ F O R M U L A   C O U N T < / K e y > < / D i a g r a m O b j e c t K e y > < D i a g r a m O b j e c t K e y > < K e y > T a b l e s \ D O E   F o r m u l a   c o u n t s \ C o l u m n s \ 5 - 1 7   P O P . < / K e y > < / D i a g r a m O b j e c t K e y > < D i a g r a m O b j e c t K e y > < K e y > T a b l e s \ D O E   F o r m u l a   c o u n t s \ C o l u m n s \ P E R C E N T   F O R M U L A < / K e y > < / D i a g r a m O b j e c t K e y > < D i a g r a m O b j e c t K e y > < K e y > T a b l e s \ D O E   F o r m u l a   c o u n t s \ C o l u m n s \ B A S I C   E l i g i b l e s < / K e y > < / D i a g r a m O b j e c t K e y > < D i a g r a m O b j e c t K e y > < K e y > T a b l e s \ D O E   F o r m u l a   c o u n t s \ C o l u m n s \ C O N C .   E l i g i b l e s < / K e y > < / D i a g r a m O b j e c t K e y > < D i a g r a m O b j e c t K e y > < K e y > T a b l e s \ D O E   F o r m u l a   c o u n t s \ C o l u m n s \ & a m p ;   E F I G   E l i g i b l e s < / K e y > < / D i a g r a m O b j e c t K e y > < D i a g r a m O b j e c t K e y > < K e y > T a b l e s \ D O E   F o r m u l a   c o u n t s \ C o l u m n s \ C O U N T S   T a r g e t e d < / K e y > < / D i a g r a m O b j e c t K e y > < D i a g r a m O b j e c t K e y > < K e y > T a b l e s \ D O E   F o r m u l a   c o u n t s \ C o l u m n s \ C O U N T S   E F I G < / K e y > < / D i a g r a m O b j e c t K e y > < D i a g r a m O b j e c t K e y > < K e y > T a b l e s \ P r i o r   Y e a r   a d j u s t e d   a l l o c a t i o n s < / K e y > < / D i a g r a m O b j e c t K e y > < D i a g r a m O b j e c t K e y > < K e y > T a b l e s \ P r i o r   Y e a r   a d j u s t e d   a l l o c a t i o n s \ C o l u m n s \ L E A i d < / K e y > < / D i a g r a m O b j e c t K e y > < D i a g r a m O b j e c t K e y > < K e y > T a b l e s \ P r i o r   Y e a r   a d j u s t e d   a l l o c a t i o n s \ C o l u m n s \ W A S H I N G T O N < / K e y > < / D i a g r a m O b j e c t K e y > < D i a g r a m O b j e c t K e y > < K e y > T a b l e s \ P r i o r   Y e a r   a d j u s t e d   a l l o c a t i o n s \ C o l u m n s \ B A S I C   H O L D   H A R M L E S S   B A S E < / K e y > < / D i a g r a m O b j e c t K e y > < D i a g r a m O b j e c t K e y > < K e y > T a b l e s \ P r i o r   Y e a r   a d j u s t e d   a l l o c a t i o n s \ C o l u m n s \ C O N C .   H O L D     H A R M L E S S   B A S E < / K e y > < / D i a g r a m O b j e c t K e y > < D i a g r a m O b j e c t K e y > < K e y > T a b l e s \ P r i o r   Y e a r   a d j u s t e d   a l l o c a t i o n s \ C o l u m n s \ T A R G E T E D   H O L D   H A R M L E S S   B A S E < / K e y > < / D i a g r a m O b j e c t K e y > < D i a g r a m O b j e c t K e y > < K e y > T a b l e s \ P r i o r   Y e a r   a d j u s t e d   a l l o c a t i o n s \ C o l u m n s \ E F I G   H O L D   H A R M L E S S   B A S E < / K e y > < / D i a g r a m O b j e c t K e y > < D i a g r a m O b j e c t K e y > < K e y > T a b l e s \ P r i o r   Y e a r   a d j u s t e d   a l l o c a t i o n s \ C o l u m n s \ T O T A L   H O L D   H A R M L E S S   B A S E < / K e y > < / D i a g r a m O b j e c t K e y > < D i a g r a m O b j e c t K e y > < K e y > T a b l e s \ P r i o r   Y e a r   a d j u s t e d   a l l o c a t i o n s \ C o l u m n s \ B A S I C   A L L O C A T I O N < / K e y > < / D i a g r a m O b j e c t K e y > < D i a g r a m O b j e c t K e y > < K e y > T a b l e s \ P r i o r   Y e a r   a d j u s t e d   a l l o c a t i o n s \ C o l u m n s \ C O N C .   A L L O C A T I O N < / K e y > < / D i a g r a m O b j e c t K e y > < D i a g r a m O b j e c t K e y > < K e y > T a b l e s \ P r i o r   Y e a r   a d j u s t e d   a l l o c a t i o n s \ C o l u m n s \ T A R G E T E D   A L L O C A T I O N < / K e y > < / D i a g r a m O b j e c t K e y > < D i a g r a m O b j e c t K e y > < K e y > T a b l e s \ P r i o r   Y e a r   a d j u s t e d   a l l o c a t i o n s \ C o l u m n s \ E F I G   A l L O C A T I O N < / K e y > < / D i a g r a m O b j e c t K e y > < D i a g r a m O b j e c t K e y > < K e y > T a b l e s \ P r i o r   Y e a r   a d j u s t e d   a l l o c a t i o n s \ C o l u m n s \ T O T A L   T I T L e   I   A L L O C A T I O N < / K e y > < / D i a g r a m O b j e c t K e y > < D i a g r a m O b j e c t K e y > < K e y > T a b l e s \ P r i o r   Y e a r   a d j u s t e d   a l l o c a t i o n s \ C o l u m n s \ P E R C E N T A G E   O F   T O T A L   H O L D   H A R M L E S S   B A S E < / K e y > < / D i a g r a m O b j e c t K e y > < D i a g r a m O b j e c t K e y > < K e y > T a b l e s \ P r i o r   Y e a r   a d j u s t e d   a l l o c a t i o n s \ C o l u m n s \ R E S I D E N T   P O P . < / K e y > < / D i a g r a m O b j e c t K e y > < D i a g r a m O b j e c t K e y > < K e y > T a b l e s \ P r i o r   Y e a r   A d j u s t e d   F o r m u l a   c o u n t s < / K e y > < / D i a g r a m O b j e c t K e y > < D i a g r a m O b j e c t K e y > < K e y > T a b l e s \ P r i o r   Y e a r   A d j u s t e d   F o r m u l a   c o u n t s \ C o l u m n s \ L E A i d < / K e y > < / D i a g r a m O b j e c t K e y > < D i a g r a m O b j e c t K e y > < K e y > T a b l e s \ P r i o r   Y e a r   A d j u s t e d   F o r m u l a   c o u n t s \ C o l u m n s \ L E A N a m e < / K e y > < / D i a g r a m O b j e c t K e y > < D i a g r a m O b j e c t K e y > < K e y > T a b l e s \ P r i o r   Y e a r   A d j u s t e d   F o r m u l a   c o u n t s \ C o l u m n s \ C E N S U S   P o v e r t y < / K e y > < / D i a g r a m O b j e c t K e y > < D i a g r a m O b j e c t K e y > < K e y > T a b l e s \ P r i o r   Y e a r   A d j u s t e d   F o r m u l a   c o u n t s \ C o l u m n s \ N E G . < / K e y > < / D i a g r a m O b j e c t K e y > < D i a g r a m O b j e c t K e y > < K e y > T a b l e s \ P r i o r   Y e a r   A d j u s t e d   F o r m u l a   c o u n t s \ C o l u m n s \ D E L . < / K e y > < / D i a g r a m O b j e c t K e y > < D i a g r a m O b j e c t K e y > < K e y > T a b l e s \ P r i o r   Y e a r   A d j u s t e d   F o r m u l a   c o u n t s \ C o l u m n s \ F O S T E R < / K e y > < / D i a g r a m O b j e c t K e y > < D i a g r a m O b j e c t K e y > < K e y > T a b l e s \ P r i o r   Y e a r   A d j u s t e d   F o r m u l a   c o u n t s \ C o l u m n s \ T A N F < / K e y > < / D i a g r a m O b j e c t K e y > < D i a g r a m O b j e c t K e y > < K e y > T a b l e s \ P r i o r   Y e a r   A d j u s t e d   F o r m u l a   c o u n t s \ C o l u m n s \ T O T A L   F O R M U L A   C O U N T < / K e y > < / D i a g r a m O b j e c t K e y > < D i a g r a m O b j e c t K e y > < K e y > T a b l e s \ P r i o r   Y e a r   A d j u s t e d   F o r m u l a   c o u n t s \ C o l u m n s \ 5 - 1 7   P O P . < / K e y > < / D i a g r a m O b j e c t K e y > < D i a g r a m O b j e c t K e y > < K e y > T a b l e s \ P r i o r   Y e a r   A d j u s t e d   F o r m u l a   c o u n t s \ C o l u m n s \ P E R C E N T   F O R M U L A < / K e y > < / D i a g r a m O b j e c t K e y > < D i a g r a m O b j e c t K e y > < K e y > T a b l e s \ P r i o r   Y e a r   A d j u s t e d   F o r m u l a   c o u n t s \ C o l u m n s \ B A S I C   E L I G I B L E S < / K e y > < / D i a g r a m O b j e c t K e y > < D i a g r a m O b j e c t K e y > < K e y > T a b l e s \ P r i o r   Y e a r   A d j u s t e d   F o r m u l a   c o u n t s \ C o l u m n s \ C O N C .   E L I G I B L E S < / K e y > < / D i a g r a m O b j e c t K e y > < D i a g r a m O b j e c t K e y > < K e y > T a b l e s \ P r i o r   Y e a r   A d j u s t e d   F o r m u l a   c o u n t s \ C o l u m n s \ U N W E I G H T E D   T A R G E T E D   & a m p ;   E F I G   E L I G I B L E S < / K e y > < / D i a g r a m O b j e c t K e y > < D i a g r a m O b j e c t K e y > < K e y > T a b l e s \ P r i o r   Y e a r   A d j u s t e d   F o r m u l a   c o u n t s \ C o l u m n s \ W E I G H T E D   C O U N T S   T A R G E T E D < / K e y > < / D i a g r a m O b j e c t K e y > < D i a g r a m O b j e c t K e y > < K e y > T a b l e s \ P r i o r   Y e a r   A d j u s t e d   F o r m u l a   c o u n t s \ C o l u m n s \ W E I G H T E D   C O U N T S   E F I G < / K e y > < / D i a g r a m O b j e c t K e y > < D i a g r a m O b j e c t K e y > < K e y > T a b l e s \ D O E   A l l o c a t i o n < / K e y > < / D i a g r a m O b j e c t K e y > < D i a g r a m O b j e c t K e y > < K e y > T a b l e s \ D O E   A l l o c a t i o n \ C o l u m n s \ L E A i d < / K e y > < / D i a g r a m O b j e c t K e y > < D i a g r a m O b j e c t K e y > < K e y > T a b l e s \ D O E   A l l o c a t i o n \ C o l u m n s \ L E A N a n m e < / K e y > < / D i a g r a m O b j e c t K e y > < D i a g r a m O b j e c t K e y > < K e y > T a b l e s \ D O E   A l l o c a t i o n \ C o l u m n s \ B A S I C   H O L D   H s r m l e s s   B a s e < / K e y > < / D i a g r a m O b j e c t K e y > < D i a g r a m O b j e c t K e y > < K e y > T a b l e s \ D O E   A l l o c a t i o n \ C o l u m n s \ C O N C .   H O L D   H a r m l e s s   B a s e < / K e y > < / D i a g r a m O b j e c t K e y > < D i a g r a m O b j e c t K e y > < K e y > T a b l e s \ D O E   A l l o c a t i o n \ C o l u m n s \ T A R G E T E D   H O L D   H a r m l e s s   B a s e < / K e y > < / D i a g r a m O b j e c t K e y > < D i a g r a m O b j e c t K e y > < K e y > T a b l e s \ D O E   A l l o c a t i o n \ C o l u m n s \ E F I G   H O L D   H a r m l e s s   B a s e < / K e y > < / D i a g r a m O b j e c t K e y > < D i a g r a m O b j e c t K e y > < K e y > T a b l e s \ D O E   A l l o c a t i o n \ C o l u m n s \ T O T A L   H O L D   H a r m l e s s   B a s e < / K e y > < / D i a g r a m O b j e c t K e y > < D i a g r a m O b j e c t K e y > < K e y > T a b l e s \ D O E   A l l o c a t i o n \ C o l u m n s \ B a s i c   A l l o c a t i o n < / K e y > < / D i a g r a m O b j e c t K e y > < D i a g r a m O b j e c t K e y > < K e y > T a b l e s \ D O E   A l l o c a t i o n \ C o l u m n s \ C o n c .   A l l o c a t i o n < / K e y > < / D i a g r a m O b j e c t K e y > < D i a g r a m O b j e c t K e y > < K e y > T a b l e s \ D O E   A l l o c a t i o n \ C o l u m n s \ T a r g e t e d   A l l o c a t i o n < / K e y > < / D i a g r a m O b j e c t K e y > < D i a g r a m O b j e c t K e y > < K e y > T a b l e s \ D O E   A l l o c a t i o n \ C o l u m n s \ E F I G   A l l o c a t i o n < / K e y > < / D i a g r a m O b j e c t K e y > < D i a g r a m O b j e c t K e y > < K e y > T a b l e s \ D O E   A l l o c a t i o n \ C o l u m n s \ T i t l e   I   A l l o c a t i o n < / K e y > < / D i a g r a m O b j e c t K e y > < D i a g r a m O b j e c t K e y > < K e y > T a b l e s \ D O E   A l l o c a t i o n \ C o l u m n s \ P e r c e n t a g e   o f   H o l d   H a r m l e s s   B a s e < / K e y > < / D i a g r a m O b j e c t K e y > < D i a g r a m O b j e c t K e y > < K e y > T a b l e s \ D O E   A l l o c a t i o n \ C o l u m n s \ R e s i d e n t   P o p . < / K e y > < / D i a g r a m O b j e c t K e y > < D i a g r a m O b j e c t K e y > < K e y > T a b l e s \ N e w   O r   E x p n a d e d   H H   c a l c < / K e y > < / D i a g r a m O b j e c t K e y > < D i a g r a m O b j e c t K e y > < K e y > T a b l e s \ N e w   O r   E x p n a d e d   H H   c a l c \ C o l u m n s \ C C D D D < / K e y > < / D i a g r a m O b j e c t K e y > < D i a g r a m O b j e c t K e y > < K e y > T a b l e s \ N e w   O r   E x p n a d e d   H H   c a l c \ C o l u m n s \ D i s t r i c t N a m e < / K e y > < / D i a g r a m O b j e c t K e y > < D i a g r a m O b j e c t K e y > < K e y > T a b l e s \ N e w   O r   E x p n a d e d   H H   c a l c \ C o l u m n s \ L E A i d < / K e y > < / D i a g r a m O b j e c t K e y > < D i a g r a m O b j e c t K e y > < K e y > T a b l e s \ N e w   O r   E x p n a d e d   H H   c a l c \ C o l u m n s \ I s N e w < / K e y > < / D i a g r a m O b j e c t K e y > < D i a g r a m O b j e c t K e y > < K e y > T a b l e s \ N e w   O r   E x p n a d e d   H H   c a l c \ C o l u m n s \ F O R M U L A   C O U N T < / K e y > < / D i a g r a m O b j e c t K e y > < D i a g r a m O b j e c t K e y > < K e y > T a b l e s \ N e w   O r   E x p n a d e d   H H   c a l c \ C o l u m n s \ 5 - 1 7   P O P . < / K e y > < / D i a g r a m O b j e c t K e y > < D i a g r a m O b j e c t K e y > < K e y > T a b l e s \ N e w   O r   E x p n a d e d   H H   c a l c \ C o l u m n s \ P r i o r   Y e a r . T O T A L   F O R M U L A   C O U N T < / K e y > < / D i a g r a m O b j e c t K e y > < D i a g r a m O b j e c t K e y > < K e y > T a b l e s \ N e w   O r   E x p n a d e d   H H   c a l c \ C o l u m n s \ P r i o r   Y e a r . 5 - 1 7   P O P . < / K e y > < / D i a g r a m O b j e c t K e y > < D i a g r a m O b j e c t K e y > < K e y > T a b l e s \ N e w   O r   E x p n a d e d   H H   c a l c \ C o l u m n s \ F o r m u l a   C o u n t   I n c r e a s e < / K e y > < / D i a g r a m O b j e c t K e y > < D i a g r a m O b j e c t K e y > < K e y > T a b l e s \ N e w   O r   E x p n a d e d   H H   c a l c \ C o l u m n s \ P E R C E N T   F O R M U L A < / K e y > < / D i a g r a m O b j e c t K e y > < D i a g r a m O b j e c t K e y > < K e y > T a b l e s \ N e w   O r   E x p n a d e d   H H   c a l c \ C o l u m n s \ H o l d   H a r m l e s s   P e r c e n t a g e < / K e y > < / D i a g r a m O b j e c t K e y > < D i a g r a m O b j e c t K e y > < K e y > T a b l e s \ N e w   O r   E x p n a d e d   H H   c a l c \ C o l u m n s \ A d j u s t e d   A l l o c a t i o n . T O T A L   H O L D   H a r m l e s s   B a s e < / K e y > < / D i a g r a m O b j e c t K e y > < D i a g r a m O b j e c t K e y > < K e y > T a b l e s \ N e w   O r   E x p n a d e d   H H   c a l c \ C o l u m n s \ A d j u s t e d   A l l o c a t i o n . T i t l e   I   A l l o c a t i o n < / K e y > < / D i a g r a m O b j e c t K e y > < D i a g r a m O b j e c t K e y > < K e y > T a b l e s \ N e w   O r   E x p n a d e d   H H   c a l c \ C o l u m n s \ A b o v e   H H < / K e y > < / D i a g r a m O b j e c t K e y > < D i a g r a m O b j e c t K e y > < K e y > T a b l e s \ I n i t i a l   A d j u s t e d   F o r m u l a   C o u n t s < / K e y > < / D i a g r a m O b j e c t K e y > < D i a g r a m O b j e c t K e y > < K e y > T a b l e s \ I n i t i a l   A d j u s t e d   F o r m u l a   C o u n t s \ C o l u m n s \ L E A i d < / K e y > < / D i a g r a m O b j e c t K e y > < D i a g r a m O b j e c t K e y > < K e y > T a b l e s \ I n i t i a l   A d j u s t e d   F o r m u l a   C o u n t s \ C o l u m n s \ L E A N a m e < / K e y > < / D i a g r a m O b j e c t K e y > < D i a g r a m O b j e c t K e y > < K e y > T a b l e s \ I n i t i a l   A d j u s t e d   F o r m u l a   C o u n t s \ C o l u m n s \ 2 0 2 0   P O V R T Y < / K e y > < / D i a g r a m O b j e c t K e y > < D i a g r a m O b j e c t K e y > < K e y > T a b l e s \ I n i t i a l   A d j u s t e d   F o r m u l a   C o u n t s \ C o l u m n s \ 2 0 2 1   N E G < / K e y > < / D i a g r a m O b j e c t K e y > < D i a g r a m O b j e c t K e y > < K e y > T a b l e s \ I n i t i a l   A d j u s t e d   F o r m u l a   C o u n t s \ C o l u m n s \ 2 0 2 1 _ 1   D E L . . 1 < / K e y > < / D i a g r a m O b j e c t K e y > < D i a g r a m O b j e c t K e y > < K e y > T a b l e s \ I n i t i a l   A d j u s t e d   F o r m u l a   C o u n t s \ C o l u m n s \ 2 0 2 1 _ 2   F O R S T E R < / K e y > < / D i a g r a m O b j e c t K e y > < D i a g r a m O b j e c t K e y > < K e y > T a b l e s \ I n i t i a l   A d j u s t e d   F o r m u l a   C o u n t s \ C o l u m n s \ 2 0 2 1 _ 3   T A N F < / K e y > < / D i a g r a m O b j e c t K e y > < D i a g r a m O b j e c t K e y > < K e y > T a b l e s \ I n i t i a l   A d j u s t e d   F o r m u l a   C o u n t s \ C o l u m n s \ F O R M U L A   C O U N T < / K e y > < / D i a g r a m O b j e c t K e y > < D i a g r a m O b j e c t K e y > < K e y > T a b l e s \ I n i t i a l   A d j u s t e d   F o r m u l a   C o u n t s \ C o l u m n s \ 5 - 1 7   P O P . < / K e y > < / D i a g r a m O b j e c t K e y > < D i a g r a m O b j e c t K e y > < K e y > T a b l e s \ I n i t i a l   A d j u s t e d   F o r m u l a   C o u n t s \ C o l u m n s \ P E R C E N T   F O R M U L A < / K e y > < / D i a g r a m O b j e c t K e y > < D i a g r a m O b j e c t K e y > < K e y > T a b l e s \ I n i t i a l   A d j u s t e d   F o r m u l a   C o u n t s \ C o l u m n s \ B A S I C   E l i g i b l e s < / K e y > < / D i a g r a m O b j e c t K e y > < D i a g r a m O b j e c t K e y > < K e y > T a b l e s \ I n i t i a l   A d j u s t e d   F o r m u l a   C o u n t s \ C o l u m n s \ C O N C .   E l i g i b l e s < / K e y > < / D i a g r a m O b j e c t K e y > < D i a g r a m O b j e c t K e y > < K e y > T a b l e s \ I n i t i a l   A d j u s t e d   F o r m u l a   C o u n t s \ C o l u m n s \ E F I G   E l i g i b l e s < / K e y > < / D i a g r a m O b j e c t K e y > < D i a g r a m O b j e c t K e y > < K e y > T a b l e s \ I n i t i a l   A d j u s t e d   F o r m u l a   C o u n t s \ C o l u m n s \ C O U N T S   T a r g e t e d < / K e y > < / D i a g r a m O b j e c t K e y > < D i a g r a m O b j e c t K e y > < K e y > T a b l e s \ I n i t i a l   A d j u s t e d   F o r m u l a   C o u n t s \ C o l u m n s \ C O U N T S   E F I G 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 T a g s \ T a b l e s \ & l t ; T a b l e s \ F R P L & g t ; 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 T a g s \ T a b l e s \ & l t ; T a b l e s \ C h a r t e r _ T r i b a l S e n d i n g   D i s t r i c t s & g t ; 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 T a g s \ T a b l e s \ & l t ; T a b l e s \ S e n d i n g O n l y & g t ; 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 T a g s \ T a b l e s \ & l t ; T a b l e s \ A p p e n d 1 & g t ; 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 T a g s \ T a b l e s \ & l t ; T a b l e s \ S p l i t 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 T a g s \ T a b l e s \ & l t ; T a b l e s \ C C D D D   L E A i d & g t ; 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 T a g s \ T a b l e s \ & l t ; T a b l e s \ F o r m u l a   C o u n t s 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 a l l o c a t i o n s & g t ; 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 A l l o c a t i o n & g t ; 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 T a g s \ T a b l e s \ & l t ; T a b l e s \ N e w   O r   E x p n a d e d   H H 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 T a g s \ T a b l e s \ & l t ; T a b l e s \ I n i t i a l 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 T a b l e s \ F R P L 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 T a b l e s \ F R P L \ C o l u m n s \ T o t a l P e r c e n t I n P o v e r t y 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 1 3 1 9 . 6 1 5 2 4 2 2 7 0 6 6 3 2 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 1 6 4 9 . 5 1 9 0 5 2 8 3 8 3 2 9 1 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 L E A i d \ C o l u m n s \ O r g a n i z a t i o n I d 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 L E A i d \ C o l u m n s \ S c h o o l Y e a r I d 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 2 3 0 9 . 3 2 6 6 7 3 9 7 3 6 6 0 9 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 2 6 3 9 . 2 3 0 4 8 4 5 4 1 3 2 6 9 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 2 9 6 9 . 1 3 4 2 9 5 1 0 8 9 9 2 8 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 3 2 9 9 . 0 3 8 1 0 5 6 7 6 6 5 8 7 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 c o u n t s \ C o l u m n s \ L O C A L   E D U C A T I O N A L   A G E N C Y 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 3 6 2 8 . 9 4 1 9 1 6 2 4 4 3 2 4 6 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 a l l o c a t i o n s \ C o l u m n s \ W A S H I N G T O N 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 H O L D  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 a l l o c a t i o n s \ C o l u m n s \ P E R C E N T A G E   O F  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 c o u n t s \ C o l u m n s \ C E N S U S  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 c o u n t s \ C o l u m n s \ N E G . 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 c o u n t s \ C o l u m n s \ F O S T E R 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 c o u n t s \ C o l u m n s \ U N W E I G H T E D   T A R G E T E D  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 4 2 8 8 . 7 4 9 5 3 7 3 7 9 6 5 6 4 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 A l l o c a t i o n \ C o l u m n s \ L E A N a n m e 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 H O L D   H s r m l e s s 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 4 6 1 8 . 6 5 3 3 4 7 9 4 7 3 2 1 9 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  I n c r e a s e 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 c a l c \ C o l u m n s \ H o l d   H a r m l e s s  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 c a l c \ C o l u m n s \ A b o v e   H H 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 5 2 7 8 . 4 6 0 9 6 9 0 8 2 6 5 2 8 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 C o u n t s \ C o l u m n s \ 2 0 2 1 _ 1   D E L . . 1 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 F R P L 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 F R P L 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 C o l u m n s \ s c h o o l Y e a r < / K e y > < / D i a g r a m O b j e c t K e y > < D i a g r a m O b j e c t K e y > < K e y > C o l u m n s \ C C D D D < / K e y > < / D i a g r a m O b j e c t K e y > < D i a g r a m O b j e c t K e y > < K e y > C o l u m n s \ D i s t r i c t N a m e < / K e y > < / D i a g r a m O b j e c t K e y > < D i a g r a m O b j e c t K e y > < K e y > C o l u m n s \ T o t a l S t u d e n t s < / K e y > < / D i a g r a m O b j e c t K e y > < D i a g r a m O b j e c t K e y > < K e y > C o l u m n s \ T o t a l S t u d e n t s I n P o v e r t y < / K e y > < / D i a g r a m O b j e c t K e y > < D i a g r a m O b j e c t K e y > < K e y > C o l u m n s \ T o t a l P e r c e n t I n P o v e r t y 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 s u m i f 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 s u m i f 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 C o l u m n s \ S e n d i n g   D i s t r i c t   C C D D D < / K e y > < / D i a g r a m O b j e c t K e y > < D i a g r a m O b j e c t K e y > < K e y > C o l u m n s \ S u m T o t a l S t u d e n t s   i n  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 2 0 2 3 - 0 1 - 0 4 T 1 3 : 2 4 : 4 3 . 3 7 8 4 6 1 3 - 0 8 : 0 0 < / L a s t P r o c e s s e d T i m e > < / D a t a M o d e l i n g S a n d b o x . S e r i a l i z e d S a n d b o x E r r o r C a c h e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O r d e r " > < C u s t o m C o n t e n t > < ! [ C D A T A [ F R P L _ 6 d 9 4 2 e 1 6 - 2 2 d b - 4 f f a - b 3 c 4 - 7 8 e 5 f 7 7 f 3 d 9 7 , C h a r t e r _ T r i b a l S e n d i n g   D i s t r i c t s _ a d c 0 a f 9 0 - 1 c f 7 - 4 a f d - a 1 f 7 - 5 0 5 f 4 e 6 c d 8 3 a , C h a r t e r O n l y _ d 4 b 2 8 d b 4 - 5 9 5 5 - 4 8 2 1 - 8 a 9 1 - 0 8 5 6 5 0 4 1 f b b 0 , S e n d i n g O n l y _ 5 2 8 9 9 1 c 0 - 2 2 c f - 4 f 9 a - 9 1 0 7 - 2 1 e 3 0 a 0 d 6 3 5 9 , A p p e n d 1 _ b 3 4 8 9 1 a c - 6 a 3 8 - 4 0 e d - b 3 3 5 - 0 b b b 1 a 4 8 9 8 8 3 , S p l i t   C a l c _ 2 4 7 9 5 7 c 6 - f 8 0 a - 4 c f 9 - b f 6 2 - 8 3 0 d e e 1 7 a d a e , C C D D D   L E A i d _ 5 8 4 1 9 7 1 3 - e a 0 3 - 4 4 5 5 - 9 8 b b - 3 7 2 1 9 4 3 4 a 6 9 b , A l l o c a t i o n   A d j u s t m e n t s _ 8 f e 4 f 7 e 9 - e 0 a e - 4 d d d - b 7 3 4 - 2 4 6 7 4 4 8 3 0 3 6 3 , A l l o c a t i o n   A d j u s t m e n t s   1 _ 3 1 5 c 8 9 5 3 - 2 b 8 a - 4 0 3 4 - 8 9 4 8 - 0 3 a 4 2 e 1 3 f 8 6 f , F o r m u l a   C o u n t s   A d j u s t m e n t s _ 2 2 b 3 9 b f 5 - 5 f 1 a - 4 2 f b - b e f 1 - f 2 1 4 1 3 0 e 6 6 e 8 , D O E   F o r m u l a   c o u n t s _ 3 f 1 0 5 a e 7 - f e 3 7 - 4 b 9 a - a a 6 3 - 6 9 b 7 6 8 c b 6 c d c , P r i o r   Y e a r   a d j u s t e d   a l l o c a t i o n s _ 8 1 3 0 c 1 8 f - 6 f 1 7 - 4 e d 2 - b d 1 4 - 5 9 7 e 9 d 2 f c 0 d d , P r i o r   Y e a r   A d j u s t e d   F o r m u l a   c o u n t s _ 2 a 5 7 8 e 4 d - 5 3 4 5 - 4 c a 2 - b 6 b 0 - 1 2 d 6 c d b 6 e 7 9 b , D O E   A l l o c a t i o n _ e 2 0 0 d c 5 5 - e 8 3 5 - 4 8 5 f - b 9 a c - 8 6 4 e 5 e 0 8 6 a 2 b , N e w   O r   E x p n a d e d   H H   c a l c _ 7 9 e 3 5 7 e f - a b 8 d - 4 d c b - 9 a 9 b - e d a 3 0 6 b 3 d 2 7 3 , s u m i f _ c 9 c 1 6 b e 1 - 9 4 6 9 - 4 6 2 3 - 9 b 4 e - b c b 3 2 3 c c e 1 4 4 , A d j u s t e d   A l l o c a t i o n _ 1 6 a d 7 0 0 4 - c 0 8 7 - 4 f 8 e - b 5 d d - 1 9 7 2 1 d f e 9 2 b 0 , A d j u s t e d   F o r m u l a   C o u n t s _ f 8 e e 0 e d 7 - 5 4 d 0 - 4 1 3 4 - 9 2 8 b - 8 d 2 5 2 c 8 f 9 7 b 8 , A s s u m p t i o n s - 3 5 6 1 3 9 1 d - e 1 4 b - 4 8 7 5 - a c a 7 - 0 b 3 d b c 1 c 3 8 d 4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5.xml>��< ? x m l   v e r s i o n = " 1 . 0 "   e n c o d i n g = " U T F - 1 6 " ? > < G e m i n i   x m l n s = " h t t p : / / g e m i n i / p i v o t c u s t o m i z a t i o n / C l i e n t W i n d o w X M L " > < C u s t o m C o n t e n t > < ! [ C D A T A [ s u m i f _ c 9 c 1 6 b e 1 - 9 4 6 9 - 4 6 2 3 - 9 b 4 e - b c b 3 2 3 c c e 1 4 4 ] ] > < / C u s t o m C o n t e n t > < / G e m i n i > 
</file>

<file path=customXml/item6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7.xml>��< ? x m l   v e r s i o n = " 1 . 0 "   e n c o d i n g = " u t f - 1 6 " ? > < D a t a M a s h u p   s q m i d = " b 8 b b d 3 1 4 - 5 a 0 0 - 4 0 8 c - b 6 1 9 - 7 c 8 0 1 8 b 3 6 d 7 d "   x m l n s = " h t t p : / / s c h e m a s . m i c r o s o f t . c o m / D a t a M a s h u p " > A A A A A H k c A A B Q S w M E F A A C A A g A o V m 2 W i L k O f y j A A A A 9 g A A A B I A H A B D b 2 5 m a W c v U G F j a 2 F n Z S 5 4 b W w g o h g A K K A U A A A A A A A A A A A A A A A A A A A A A A A A A A A A h Y 9 B D o I w F E S v Q r q n h a q J I Z + y c C u J C d G 4 b W q F R v g Y W i x 3 c + G R v I I Y R d 2 5 n D d v M X O / 3 i A b m j q 4 6 M 6 a F l M S 0 4 g E G l V 7 M F i m p H f H c E k y A R u p T r L U w S i j T Q Z 7 S E n l 3 D l h z H t P / Y y 2 X c l 4 F M V s n 6 8 L V e l G k o 9 s / s u h Q e s k K k 0 E 7 F 5 j B K f x n F O + G D c B m y D k B r 8 C H 7 t n + w N h 1 d e u 7 7 T Q G G 4 L Y F M E 9 v 4 g H l B L A w Q U A A I A C A C h W b Z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o V m 2 W k F e P / B 0 G Q A A B M c A A B M A H A B G b 3 J t d W x h c y 9 T Z W N 0 a W 9 u M S 5 t I K I Y A C i g F A A A A A A A A A A A A A A A A A A A A A A A A A A A A O 0 9 a 3 M T O 7 L f q e I / 6 A 6 1 W w k Y E 5 u E x 9 0 9 p 8 o k D n g 3 x F n b 3 F O n j C v l x B O Y c 2 y P 7 3 j M g U 3 x 3 6 8 e 8 9 C j W 9 K M D Q v n w h e c U U v q b r V a 3 S 2 p t Q 6 v 0 y h e k q H 4 v / W 3 u 3 f u 3 l m / n y b h j N w L j u m P N E w u R 0 l 0 N Z 0 P w + U s W r 4 j J 9 E 6 T a L r d B 2 Q n 8 g 8 T O / e I f T f M N 4 k 1 y H 9 0 v 1 4 H c 6 b v 8 T J 7 1 d x / P v e a T Q P m 8 f x M g 2 X 6 X o v G P 7 3 2 8 5 q F S e s t w X 9 d H n e / e X t a T g L k + m c n G 5 E D 3 8 l n f k 8 v p 4 y o H V R u k r i d 8 l 0 S a Z F 2 d v 2 0 c P 2 k 7 c X S T i P F t F y m n x 6 O 4 r S e U h 6 D z s U n H 1 9 2 x 9 e 9 M h s m k 4 F M B H A R C X t c p 3 R N s t o a 3 6 c r z 8 G + w 2 y 3 M z n D Z I m m 3 C / k R H 6 P g z T 1 i X / j 5 I r 6 L 4 d 9 9 J w 8 V M g C o P G P 6 P l L P s r m H w e n 9 D + J 1 n 9 e 8 F F E i / i l H L 4 V T i l p H E + j q Z X l E 9 Z S f Z 9 T + 6 q Q c Z Z K e X N 8 H o 6 n y b r n x h e k / 2 i Y U r U 8 h 1 t d / R p F Z a N j i j T 1 j d x s j i O 5 5 v F k h W u 9 w A s G r e 3 w V m 3 0 z s J K M E U i K T h x / R z g 9 w G + s i T 4 3 g W O q E M g I z n j w T P i V l + f H K i d v 6 5 p G 0 Q L q c L i q 0 g Q u K Z K M g + 7 2 l M Y D R h 2 A M F H A G 5 V y q 9 F G P a 2 i D + Q + p z G M 7 p h G H f 9 k z M G i S c X r 8 n e 2 P e 3 I T 8 / W c u R f v 7 d + 9 E S 7 h h d d q d 9 L v S B P g u Z l l e m 0 + 0 X z r D V 7 3 z l 6 P + O T n 9 l b Q P 2 k f k Y t A 9 6 7 3 u n X c G v 1 q m V o k P M r 0 k r t i n 2 C B c x B + Y E M Q r f e h + j 1 Z 7 e k e N w 3 2 j K i B o r K A U N K O P B h V h X t p i 0 i V + t s u f j 4 M 6 4 q y j w y R a / D 5 k T d M J G 8 0 C M X 3 4 1 6 P s 6 z l t R f 7 + h H 1 / 0 R n 2 j s m r / t k J e T V N F v N w v S Y v p m s F 8 C n H u H 9 + 3 H Q A P m O A o 8 7 g Z X f U P X H A P m e w 3 d P e S w d c 6 4 A 3 2 h 9 1 z l y Q n M n 0 a 3 Q t T x Y Z I u P 9 8 r q J Q T z m v U 2 T d y F T h A j Q Y Y E 7 A s B Z n k 0 J D I a z / y K k s r x M p + 9 C E t + Q V / F 8 Z q G P j 8 M g X E c z W o V c x K u m o p k q 6 X p D R Q l V T y V H 1 8 G o h G S A y 8 3 i K k w E n p i M m K A 2 K T G h M T k B 2 s U E x Q Q 1 J A U g S B c V o E N A V h A C 7 O 2 Y 0 m I C O c X F r K L K i 1 m e K w Z 0 k V W U T Q t X f t o q m w v t s 1 L d t Z 5 L W v C A 6 j 5 5 + T M 6 0 g x P t n I + E h I K L n / D / 5 0 3 m c a / o m z Y C 9 b J h 4 f D f 5 0 J l T D s n A 7 Z v B 7 / a x M m n + g K 0 T 3 r H o / I S T N f 5 t n y 3 6 B / 9 5 N 3 0 2 X 0 b 8 7 9 3 q w h Q T A W N U i / e X 7 c H T K O c f 7 J H 3 j 5 8 P p 9 H M 9 / D a d J b 3 Z v b 3 6 z T 8 j p o P + a j D k G k + b 4 J E q o l R A n n / h v 0 f S E n G S w 8 / A m J b / F 0 R K u I G M 3 I X 1 C j X Q d Z c q H v v Y p a 5 u Q X 9 5 T 6 4 L W k J G k 8 O 3 n h I M E k y o 2 j m B 7 Z t f w B d v P l D k d X J x 9 D 9 a L 5 i N c n l L L R C D / R 5 S + J 9 F i t U l F R x b j 5 X V I V U P r k j P P M F x E Y W 6 0 c B j T a K m g 0 u X O m D K X Z d v Q 6 b J Y G 4 W j O K W u X b p h W o P Z r r 1 l + u S w y X o x i 3 v L C z p r k / Q T A p c p L B l M V 0 D r Q h 4 x H d S Z z Z h i 2 K z T e F F y g X 4 V 9 B u 6 h x R + A x f P E W 2 u e T G d D V P q b O y N Z c Z M G k c U + i D Y r 2 H s K V g 1 N I Y r G j R O Z n w 2 A E 3 y I p t p p 7 K n I E w f Q W P Q 8 G F C B k b X x j r S p k N y S i V w M 5 + S 6 3 i z / E 5 c / 9 0 4 J V T B K a Q L j y E w p r j G I L t / U s l 6 A / s v / Y B W P p O m y 0 + S A d m G P z 8 2 3 e 7 C m w D A j x D w J z D 4 U / j z M / j z c / g z d w K g 7 w i l L Y T U 1 m P k O 0 J r 6 w j 5 j h D b Q q h t K e T u J I a h + n a B N m 6 m F y j c j f 7 / d A e j X w 3 n 7 r z 7 s m k 4 c i f d s 6 b h s Z 3 2 h 6 P u A H D Q O u e n p j M m r P H T / u D 1 m 7 M O O e 6 / O R + Z / t j R w 9 Z T c t G / a J q O 2 E V 3 c N w 9 H + U t m E 6 Y c E 7 o p H 3 Z e 3 H W H Z p O m H B J Y I A n i r v 6 V 8 K N d B g 0 c 4 E p / k O S 1 w j 0 A c 4 B W D s B Z E Q j s Q f A G / s 6 0 Q f c M g f V U t v D q z R D E 7 B X m U u i a Q 9 w W T Q / c 2 k 0 P 2 f y C D m Y V C A x / 1 C V S B O q F E n A B 9 N k E n A s N a H E H G U b B C 6 W U G u q X K I Q X D D V U n X Z V 0 d b X f I v k i h O C D N E y H T 2 G z V 7 6 N d y 9 f 0 W 1 v / D h + 0 j a c 1 P w g / R m i J 5 Q 4 2 B O V W 8 M 7 6 I P 9 y s J B h e h w w y y F M G a V 3 4 e 8 s o j V h r A A c w M 8 B W Z 1 f 7 A l 6 Y / S c 3 D J i P 3 H n d x a J L S i S D u f B k T 8 j b J 1 P e 9 p F A D R A P I X v k U D Q x p + J 3 N b 3 + H a p c x q K A B l C x h 1 o S c S q U G M 9 W u I E O N A O A d m a / E Y 8 4 F g P z i G U x s C K e N X V B u m N a v D 1 O j D O 6 h e s h X A 1 1 c k 5 + c 5 7 I F 9 d E 2 W y / z I X p 8 k a w 4 J K z A A k 5 2 C v t L h T h g 5 x z a x E 2 G z A 1 w i R t J T x Z s i q C p O j c y g X m m C F E q D N r h i 9 K 2 b 2 R p Q s G X G F B E F b 4 k H B z Y h W v k F 6 E p Q K U n M a U f Q l c l t l D W g k z n p i G U U u 8 J 9 f o Y Y 8 M 0 2 k a 0 r m 1 I K R 1 c H C 4 d 7 X / D U y o i q 7 9 4 9 K j p 6 W M G O u q z o C a R C U + o / 2 / L j / O l w u 6 3 E a U h k 4 S T i 9 P Q j q N w x k P v B h T r E p L + Y S T G 6 y 6 b b k F 7 o 3 W f h 0 7 w / Q y P K w K b x 8 G s C h M b + W w / H l U / n w S V N 6 l 1 5 y V Y p d e + E Q T W i 0 o g 0 R y k L B a s E b B h S m + U W 9 0 1 i W 9 B r n o D E a k Q 4 R T Q n U b e T n o U E O 9 3 t r Y W a 8 3 i x W f S 9 / d h G 2 r E 7 Y E F k I t + G u b w h I c b 0 o 0 h J n k M H T F E w Q t Y y 5 a k W i 0 t 9 j r L / s s Y z / t M g C S i Y 0 e B G J u J n V V B 5 1 R r 3 8 O A K k B E L P 8 W b H P b Z b J + / K S 5 O 7 u q I x z E n o r F X 0 C m h p F U i N P y 5 / P Z Y 3 C 9 1 d m h G 0 h R q H U 2 X n I T J x / x N E S V C l l C I b y D l 1 g N T j a z g d m A h K C w r M O m b Q 2 z 8 K b t L + h 9 J W o d j + u q I 3 J 6 H U 0 U x A h a v D f x Z 6 K R r A X V h 6 q L d u U t r b U d L e i q E R v g l F X 4 j x M S R o X h / 2 + A Y v n K w Q z B I M G 4 T p M P t h D G C b k d q e t L H 1 / T b N k d 8 E O z Q z H 3 J R 8 + 0 4 D l w R R u B y l k J D O D Z 3 b x G Q X M Z s 5 3 i Q J O + n B G x J R g R c h J S Q E q k M x F L k 6 i x b Q P x K B R O 1 m i m h C 7 R b 4 8 l O / f 8 7 O K t V r j c V l y z E a o q m p q M 9 3 d E l v Q a f 9 B 6 Y p A C w y m I j D h A y I v H p F R n S t g V C m o F D 0 x R a a w T u 4 b C N d X D 6 2 d n J 5 W K 2 b I 2 A e s F 6 e 2 H t 5 W q 2 X Z x g x z + 3 d l D u O 8 t Y E X S W U 0 R N 9 p d P f w y W J N + B A 5 o t Q B I 7 C 5 i q V J G O K g L F Q I A t e s l A E m f 4 x T W Z r v g Q k 4 X X 8 j g V b + B B r z N T b 5 t W A x l / 3 C z 2 V b 1 r S T 1 S + Z 5 t r R H j O u y O 6 J J O T 3 n A 0 6 B 2 b 7 k o l C 1 A 7 u 8 H N v z H X q + V B a W N d 6 a f v w 8 S 0 / E T D F s s v 1 9 e S h q 6 q N u v q y R q K s a I m r K r 6 D H n 3 E X B N o g 1 Z M Y Q D 2 U x s e W 8 m q m M N B w 6 r G u o q J t m S 3 T s R R r p H i F m p 4 V f B y 2 L 3 i 2 5 X M d o 9 i T E C l Z Y A K B Z t h S O e d R q q 4 S l X Y S H 3 o S v O e h f I N i Z U 4 A t a 0 8 A K P K B q W F 6 B A 6 K O O R a 4 Q M C F W v o A G V n h g l s E w W f 9 k J s q W 6 p 3 O F z N o 5 Q c T + f X s D f o v g x X R S X l B 2 p z H 4 G S y Y 6 b K h 8 C 9 s V X k 3 D Y i r o i a 9 8 8 A o q d J h R H M G i t p l H D / C q f N U R Y 0 0 L U t U q V t E t k 3 N T a B d t a V f j W 2 i X j m i 0 H 6 y j A V s p R k M f 0 n 2 1 8 K u M t 4 1 d e o 6 t D O 1 R 1 t 7 d c r H c K 1 b F t e 1 g P D m l U b y 7 w g 0 z K O e H 8 T G 8 B 4 C W l 2 m 0 I X 1 k V h 7 8 0 f J Q r D U E Z p h A g T a 0 Y F b 6 W h / Q p X d / a + i k l g V l Z s w A f o 8 d o K F Z D z z 5 O 6 8 0 i u r G D B B z G d 4 g E c I X B 4 e H o v A v m v i 2 U S U C i p b T N b B S L g e P V m 4 6 q M F B Q 6 c C 9 R q Z A i N 1 J y t b E N R m c X p w 9 y J n J / i h 8 O y e S k w d j q w a Z w J i 2 Y F T V c / o k + E v / h u P D O t Q v e R c 4 I h 0 / G t / z I B S J M L o 9 H p U a N k M c y J b 3 w f K N f p A z b Z g z u h N k y v 5 f S M E R + 4 h U Z o y M 3 m P 3 w L U l E b s W H R A R 3 V j n 8 v O A 5 H 2 p B Q 6 5 Q 4 Q N Q f X Q j S q f x 0 N m R T J k h T n b X S b x f J 7 F + g Q 2 5 g I o M 7 E q j Y j I P a 4 k c o f i c r w F d U 9 5 O 3 L L 2 2 N Z 3 r Q u Q 5 N b 4 B D t n l + H l f h 1 p C Q T s B F h 4 Z v 3 L q a K Z 8 N H 2 e / 0 H D e s H K y U K S t w G z c Q V O R Y Z 8 g a x c y X T L 0 A q 5 9 D W Z a S z c 3 1 z + B q z 4 k y x 1 T U s L q P 6 n l p T s A P v / G H 3 / j D b / z h N / 7 w G 7 8 F v / F l E m 9 W x l 4 U / 1 r d X 7 x 1 e W j c b j m j 9 d g q t o c 5 F P v F 1 t l 8 z o + N K Z u D x u q n N Q r Y k F i D 6 t K l s E J e t j K C + 8 v 5 J 2 T x k s K i 9 X b l s h U L z A 6 F M n y 7 6 9 T 6 D h L W D Y B A z Q w 9 O o 5 w 1 q m 8 0 1 K q Q K Y o d 7 2 r X Y w 3 j 9 c V r c n 7 r X m 3 Q U 1 9 q d 2 F r 6 Q s f X X l t 6 k a v 0 / N G M 2 0 + 6 m a v L a s k 0 p X l L d 4 W g L t M o c q f B I G J x u q V q 6 n a d F u i U B R J A m 1 g S 7 Q l f w 3 e U h B V 5 + C O s 6 J i Z o 0 m Z X W y 2 v X g H 9 X N C M J P O N G t L x O T a 6 2 Z Z E H 8 + R I 7 c k K / P V m n k a 0 h A V g I A U u O j 6 O F 1 f R M t y 7 l f R 9 I 4 / c s D / q G U 6 5 a o f m f 7 Z j r t 3 p 2 d Y R Z s I H + x G g Q Y j 6 j 5 4 B T M 2 F R D 3 F b Y J V 1 g C M R 7 S h s p M E H l o u l a 2 8 4 N v j 4 w q k l 9 I t a 1 T 3 n R C 8 3 C N k c o z X L 5 p r 4 k 1 Z Y P z H w e W r y k y x j 8 V u W F 9 1 u d M Z b 3 A J l V + D 0 T Y G 4 6 1 I B 4 S z s y O l 1 n N s V y i 4 B y u z e m Y Q R T d k 7 J I I d j W B m d m E W p d L F V w F C + f r 0 K M 5 a Z A K Y s n C Q R n A A X Y w A 2 z A k z Z d k j 3 o 1 M f I h 2 a j m 7 q 7 J g i x d B X C 2 K A H L Z l Y g r L g E b d 1 r O v m Q T P A o / F N s Q f 0 2 f g C m g u Z i B U n q X d y P 8 n s q O F z O s y F w t v E Q 1 a O q F M 1 d 0 t f S m F 3 S 8 1 7 j J u l u F V q e l x G K m X c b 6 w i c X o g r L b b 7 u v b G M i p 5 n b P M O 6 D 3 L Y s T v Z q J v g 2 o b 8 W k s P G 8 0 6 m u J z z H 7 9 M 9 C e 8 j V l p U O 0 X M 8 2 8 a V p q s z b y 3 Z k 5 T f v u T J 2 m f X + K f H + G f H + O f C 8 v M + h O 1 z / D V U p O o 2 S d a m F R / u 3 c 8 L Z a N f w 1 v Y / G r T U X F X a 7 G 7 q h K S W X l T J Y t R y 5 Z f X U s i x 3 T J 4 f 5 h u 4 + V c 9 O 6 l I 7 X K W k W C Z m X y A L g 8 v W U q c y 5 x k J F s I C L u 7 J C E W V P D c I K 9 j K k R J y G w y a m F G 7 6 K r i F o G n 3 i K H 0 D 2 6 b i i W W y 8 c 2 J 0 F j x J y I o 6 8 f k x 8 s x b x 8 4 F a 9 n 6 6 2 3 n F k s b m G x T g Y A B C i + Q 5 a 7 F v E A 4 j 2 c V b x B B D s 3 8 Z 8 I 3 Q d g S 2 S y / k T k M w 3 I Y L C 4 f i K D Z 6 I 0 2 t v n J E z 2 7 0 u T R 2 I 8 E 2 Z 8 R q Z c q U u C k u 0 H c L e d k 6 N m f 6 p B R p j q v S I k H l l 6 N F 6 f z z J z r d e g R C a w q 0 u K H p 7 P t n B Q t i V Y d M r w X Y i d O 1 m T / t u z + j n T + l v z 9 t o T 9 U I Z + K C U / k o M f S L o P Z 9 n 3 S a t v 5 N H 3 V 2 T + l o i R w 0 + 9 M G V Z b n Q F t 9 2 S I 2 0 i S K H V c r 2 h 1 g 7 9 1 P J d Z H L w i i t L 2 Y u R s B y N 7 B S e G h z P A f z G a i 2 L w y Y + b c t h g 9 / K + 3 D 2 t a o k 2 b x H V 8 T u M k S 0 s N w 9 K W l p H n 5 T v t 0 f g 6 R N V E T z A w z I M d f f j J t 9 2 o k H H M E s 4 2 u O W / 7 n / b H J T Q 2 n 8 + 5 L H B / p Y L u U / M z J L J 5 l N s N F g x O / J y D o g Y r Z S f c M x 4 y h n T E p S 9 b m x I r D T e 7 e 8 U F L g d X w y h L H o a g x v D P U i h x z D u R E o l 0 I t 5 9 U z D J A A m P G k 9 2 h e B X I y I n x H I g x K J + B l O B 0 n I D L q S i K G V K W W 6 0 i g R H D R Z L P i Y z z Q T Y H 5 P J 9 8 k B U y q V Y J T O v U p T u Z + D 3 S g G D a 8 g A R S c l s + F K U r l S R z A R q 8 F L p Q x N W L J F n L n w N W G k H W I I R z n q T A K y c Q e M J 1 B c Z J l C 6 x y A 6 p K a U / n d Z d h o R L N O 4 p k r h X 2 I c I W f f d e W i L q J b W A 6 m B O O 4 m b Z F x E 2 m + S c u + 8 C c F O P G 5 5 y N W l s M S a Q n 3 9 q H f B M G G M Y V Q p B D p o H b T G s L W M I h T H Z d S F r 0 l Q Y o r w u h L N B E B O x F k d 2 z 0 L Q k 6 O D A x I n F o I O m q 2 j f Y y g w h J 2 D 4 B B u m x I d 6 s N x M + U N P t A U A g 6 E E c Y 3 t x U d + I M U p c b + t V l x 4 U z c S B N W b i O 5 9 G M x Z Z F v A q 2 7 k z s A q r B S R 7 i c q x v m W I T W j Y H Q Z H g S U 2 w A d e w b c h p U A o s Z I O 4 y M C S 4 a K W F S j V c U Y h v B v l T g t / 1 K J B p H c C 8 o c B 8 p c A y t T / e a 5 / J W 0 / k K c f S M w P Z O K 3 p t 4 H c u 1 r y f V 3 6 F A 4 4 m J b P i w k i 6 C c D k c / R w c n 9 J D M 7 n o L N 7 6 4 g G s B o m 4 x j W V O u t 2 d 4 9 U Z 1 9 v Z A 7 H j b B j K a c f V k / w 1 G I 4 6 o 6 5 I i B g A x W + W 4 s b T F f X F Z 8 h x X v e R C j N l r e T F m N m g C r f L M 9 s 2 A U B x K Y I g S / G D S h V x B T u C H w d R X B C / z Q L 9 n U L r Y w 9 I A M c R 9 i k l S w 1 R r 7 M K C y R W m Q d 2 A i 3 O l 6 X F U e 5 X Y q v k w z F q v B L Z 4 D z r T i O O N 3 + / E F 6 A b O h n M 0 l q Q j 6 s J G k k c 3 F k e c K y 0 0 Y y X N V T k B o F + Z E C 6 R P f i 7 H s B q l 7 M l Z A r x N 6 9 o 2 n S m c l H V h 7 b I b s M I b v j E O L u Y i i 3 P R B 1 1 L d h x J L d U 8 i L S 0 4 6 a 9 7 c t Q t n I Y 8 6 3 u V x r 6 i U u g l t + Z j 5 V X 3 E z W E v s o 2 Q L E 5 W X 5 r Q h 1 r I B A e G g i C l g Y F Y K m 3 A y B d s n 8 K v Q T j 3 h l V e 4 S e k 1 G i L K B X e 5 B H g q T g I L 7 m c J 8 8 U 9 9 b T P L J f W s f n q j 8 v U D F M f Q T F g X 7 c v j u Z / g 6 0 d A i l 4 B o g W M O S k d u u 4 M v / h R D D l n Y 8 q j 7 c d p r z D 1 U 6 x c e d m h n m T z Y s z V 2 f 1 u K s L G H c F G H X 9 c Z e F w V V k H w K 0 7 F y O s + V I 2 5 / n P O 5 7 o M d K y V k 2 0 H X N 9 / f 2 C d 5 C 5 s 7 H O c g M O s Y 1 D 1 U j k 8 i F h C U / g R O i y b K Q J d N Z U p 5 g x V u n / u Q w T y H B r 2 / p l F / Y F s 1 R O E Q 3 g 0 M R x 8 6 k E 4 + t R D a P C p a t C 4 o 9 y r 8 B j d 1 u d f r Z c C v U c M 4 W D d p w G 9 + w X M v j q P C G 6 d H 0 9 X G e q h W F V B 6 G V + 9 6 v 1 U 7 a V 8 u K Z 6 O i n O 8 s j n z l Y 0 w B R N 3 5 Y j n j + r K L d S t a 7 r v b W Z L G Y W l G D t 1 T r a I y J v v s K P C O J 7 g c V H C l C t + A j l C J k d K / e j J w 8 G N + r w k I O X 3 c a 8 s p 1 5 p N m a B l 6 2 b L L C 7 I M b E X 2 r P Y 8 B Y R H f I F Y O L f N 9 r + E I + Y K l 3 x h i 9 w Q c J c j t h 2 + m D F u m W d l 7 B T w 0 F G T H D V H k J a I N P F g N 5 0 L O y x n t A h Z 5 L I S 3 A j 1 3 t C z s q F x a + w r S d s G 8 u 4 C f g 7 o z 7 I T 5 Y r I m 5 H w / 8 / B U D M O 9 s 1 H 5 X R 7 x T B E 6 n o D u 9 v 8 h T Z + a z 7 F X c 0 e 2 u K x 7 Z q v a z u X Z S j g i a 7 X V V 1 G p 1 a v f 0 8 V 2 p v e 0 X P q 3 9 q L 6 N s 9 7 7 7 d c + r Y Z j U k H e B e 8 1 d 6 U F 3 v 3 / u C 2 3 n 4 B z t x V j g 8 1 A m 4 f h 9 i V y H l u w H + R x 7 y v e j s c U / 5 U j x / 4 V O / E L + L V z 7 h Q z X o c R w s N V X t h z + l G 3 y u H X 7 F v X Y C e / n b 7 r s k V X b l P A i w G F + I g c V F 2 t 5 y 0 9 K q R 0 3 7 2 0 I V c 8 j 6 D W I + 5 H + a R 6 R a g S 9 y u A z o 4 T C k D X S 0 P + t R D d W Q 7 y 2 v k 9 A d y f E i A u w g y j s o N F g 9 s Z 0 8 G t f n g n y y 3 m 9 r w M o r l 4 r C N w g c o P X U 0 z Z b A 0 7 c 6 5 q 2 W x i r 1 a z i P 6 d p C + p 3 2 c u p M S 6 u 8 W 7 W G D N n m 9 U G 0 9 p U z Z G 2 k 2 w R A 2 t F V E a c t U A B c t Z C p M t Z D x A 9 d 1 8 + L h e 1 f R 8 J J c N y d A h W U P v 3 h X s x c e g c q W V a V j Q s R 9 B Z S L S 3 z m H K 6 y F j 2 w o 0 + b l V 3 A D c + d S a 3 L f 3 T c p Y b m 9 N C R Q 4 e 6 G D h C z v 5 H f U d k + L M s i k H O R r 5 9 a P T S i U k W X F 2 r 7 J L k b W C n X f x a w q e y v b j S c Q Z / Y b z y o o Y s M 4 m q Z C l b i G E h t 6 Y y Q L 5 V S O 9 V e Y p 3 W W q 2 3 m a R 0 d X d 4 n 3 z 0 p 2 P i K d d K m i h 3 y I M Y X a / G r j G 2 t n U f X 2 G 4 x t P o u j 9 + w b r l / q g 6 C S H d c Y c 5 q o y a V 0 t 7 U 1 s o N M s v i y 3 f J L C o c K D c U A 4 X B k a x 7 D d f G J x b a t R J u v l R v 4 S E A b F e D 9 g r a C o g D A 4 Z Q r Y D l 6 3 g W z m t d r F F s t L o 5 U v I j M m j c V D 1 E b w H z 8 p R t 4 d k q I T w r u t Z B s o + 3 W 3 y 2 m d F a X V U N 6 b F E j M S m k z x X N Y R u n 2 o Y Q 7 C q D k 4 5 q m E s 9 O g N 5 6 1 + u x / I k G R 3 l i y y B 8 Z m 9 C U a n 2 y 2 o T X S q 9 Q 7 s F S s k r V w 0 M + c e b I O Z T Q e W q r M M H P t 0 x l W x V C v w i a z Z y C F g S + r c H Z Y 2 6 r D L d M S 0 D l W + 6 R a V f a Z q G j Z F H z Z Z + c R 2 p b E v h r a z O B b L S M z z 4 l T o / 9 K j x 2 j L A A D s K y M X + v P E k g i + o 0 a k Y j k 0 h L L o N B S B K F J v e M h W i r x H 2 d D / N f 3 H 9 Z E d W v C v u T X 1 + a 1 p + m 3 s F N S 4 7 w D d A D o x z z 9 M U + / g N V f I W G K + W 6 0 f e 5 h p Y H 1 P J Z 5 J d x 6 L M u 8 L e 4 4 n Q V e J b e c 0 z L u m H u d 1 g r Q 4 9 I 7 f b j W o m 0 9 z 9 l B h + q s u t j j F C D W L i Y P J q g h A z A 9 T T s I f A 4 Y J M D e D n r 0 v V 6 Q i w + F k e N + y w w y V R / N + W 7 P 6 F c 5 j I / m 7 e X J e L M g m p S R r n g 8 E T r 2 x w V A z Q Y 1 p w B v p M y / 7 N M b 9 u S w 1 k G j f I a k 0 q N D Z R e M Q E l i f h W v I i h X 0 I B r Q 9 n 2 w S j 8 m D Y H T B 7 3 + E 9 x e p P d S + I 4 T S h 6 B 0 G z G T w P P p P 9 x k H j M L v P H A S o 8 W J 5 W E h 3 O g D K 6 x y 8 b A V a k N a M F a t n m a B y r 7 A s G I S u E o + F M Y N X K g P W v O G g X 2 6 U B U F c r 3 D E 6 C B 8 g D c 0 X N J 0 o N 5 h d G O O 3 z V q 4 + K D k d j w 5 J U l J 3 s 7 + N v / A V B L A Q I t A B Q A A g A I A K F Z t l o i 5 D n 8 o w A A A P Y A A A A S A A A A A A A A A A A A A A A A A A A A A A B D b 2 5 m a W c v U G F j a 2 F n Z S 5 4 b W x Q S w E C L Q A U A A I A C A C h W b Z a D 8 r p q 6 Q A A A D p A A A A E w A A A A A A A A A A A A A A A A D v A A A A W 0 N v b n R l b n R f V H l w Z X N d L n h t b F B L A Q I t A B Q A A g A I A K F Z t l p B X j / w d B k A A A T H A A A T A A A A A A A A A A A A A A A A A O A B A A B G b 3 J t d W x h c y 9 T Z W N 0 a W 9 u M S 5 t U E s F B g A A A A A D A A M A w g A A A K E b A A A A A B E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5 X y Q E A A A A A A D X J A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X d B Q U F B Q U F B Q U N Q c 1 o v R G Q 2 V 0 h R T C 9 I b 1 Y r c W h K R W t F V k 5 2 Z F h K a l p Y T W d k R z h n Z F h C a 1 l Y U m x B Q U F B Q U F B Q U F B Q U F B Q W l v S E J I d E J a Z E Z 0 U 0 x 4 M X B E Z T V a Q V J V M 0 J z Y V h R Z 1 k y R n N Z M 1 Z z W V h S c G I y N E F B Q U V B Q U F B Q U F B Q U F x S D F K Z V N D Z W w w Z V p H d z Y x W m Z L V m x B M V N a U z F F Y n l C e G R X V n l h V 1 Z 6 Q U F B R E F B Q U E i I C 8 + P C 9 T d G F i b G V F b n R y a W V z P j w v S X R l b T 4 8 S X R l b T 4 8 S X R l b U x v Y 2 F 0 a W 9 u P j x J d G V t V H l w Z T 5 G b 3 J t d W x h P C 9 J d G V t V H l w Z T 4 8 S X R l b V B h d G g + U 2 V j d G l v b j E v R l J Q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A x Y z k 4 Z D M 0 L T B j M D c t N G F k M y 1 h O G J j L T l i Y j c 4 M j M 4 Z D J j O S I g L z 4 8 R W 5 0 c n k g V H l w Z T 0 i U X V l c n l H c m 9 1 c E l E I i B W Y W x 1 Z T 0 i c 2 M z O W Z i M T h m L W E 1 N z c t N D A 4 N y 1 i Z m M 3 L W E x N W Z h Y T g 0 O T E y N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R m l s b E x h c 3 R V c G R h d G V k I i B W Y W x 1 Z T 0 i Z D I w M j U t M D U t M j J U M T g 6 M T I 6 N T g u M z g w N z c 5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J n Q U d B d 0 1 G I i A v P j x F b n R y e S B U e X B l P S J G a W x s Q 2 9 1 b n Q i I F Z h b H V l P S J s M z M w I i A v P j x F b n R y e S B U e X B l P S J G a W x s Q 2 9 s d W 1 u T m F t Z X M i I F Z h b H V l P S J z W y Z x d W 9 0 O 3 N j a G 9 v b F l l Y X I m c X V v d D s s J n F 1 b 3 Q 7 Q 0 N E R E Q m c X V v d D s s J n F 1 b 3 Q 7 R G l z d H J p Y 3 R O Y W 1 l J n F 1 b 3 Q 7 L C Z x d W 9 0 O 1 R v d G F s U 3 R 1 Z G V u d H M m c X V v d D s s J n F 1 b 3 Q 7 V G 9 0 Y W x T d H V k Z W 5 0 c 0 l u U G 9 2 Z X J 0 e S Z x d W 9 0 O y w m c X V v d D t U b 3 R h b F B l c m N l b n R J b l B v d m V y d H k m c X V v d D t d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S U E w v Q 2 h h b m d l Z C B U e X B l L n t z Y 2 h v b 2 x Z Z W F y L D B 9 J n F 1 b 3 Q 7 L C Z x d W 9 0 O 1 N l Y 3 R p b 2 4 x L 0 Z S U E w v Q W R k Z W Q g Q 3 V z d G 9 t L n t D Q 0 R E R C w 2 f S Z x d W 9 0 O y w m c X V v d D t T Z W N 0 a W 9 u M S 9 G U l B M L 0 N o Y W 5 n Z W Q g V H l w Z S 5 7 R G l z d H J p Y 3 R O Y W 1 l L D J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Z S U E w v Q 2 h h b m d l Z C B U e X B l L n t U b 3 R h b F B l c m N l b n R J b l B v d m V y d H k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l J Q T C 9 D a G F u Z 2 V k I F R 5 c G U u e 3 N j a G 9 v b F l l Y X I s M H 0 m c X V v d D s s J n F 1 b 3 Q 7 U 2 V j d G l v b j E v R l J Q T C 9 B Z G R l Z C B D d X N 0 b 2 0 u e 0 N D R E R E L D Z 9 J n F 1 b 3 Q 7 L C Z x d W 9 0 O 1 N l Y 3 R p b 2 4 x L 0 Z S U E w v Q 2 h h b m d l Z C B U e X B l L n t E a X N 0 c m l j d E 5 h b W U s M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G V y Y 2 V u d E l u U G 9 2 Z X J 0 e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l J Q T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R 3 J v d X B J R C I g V m F s d W U 9 I n N j M z l m Y j E 4 Z i 1 h N T c 3 L T Q w O D c t Y m Z j N y 1 h M T V m Y W E 4 N D k x M j Q i I C 8 + P E V u d H J 5 I F R 5 c G U 9 I l F 1 Z X J 5 S U Q i I F Z h b H V l P S J z Y j l l Y m J i N D Q t Y j h j Z i 0 0 M D Z h L T g 5 Z T Q t M 2 U w O G J j N m F h Y j Y z I i A v P j x F b n R y e S B U e X B l P S J G a W x s Q 2 9 s d W 1 u V H l w Z X M i I F Z h b H V l P S J z Q m d Z R 0 J n W U F B Q T 0 9 I i A v P j x F b n R y e S B U e X B l P S J G a W x s T G F z d F V w Z G F 0 Z W Q i I F Z h b H V l P S J k M j A y N S 0 w N S 0 y M l Q x O D o x M j o 1 O C 4 z O D Y 3 N T k 3 W i I g L z 4 8 R W 5 0 c n k g V H l w Z T 0 i R m l s b E N v b H V t b k 5 h b W V z I i B W Y W x 1 Z T 0 i c 1 s m c X V v d D t D Q 0 R E R C Z x d W 9 0 O y w m c X V v d D t D a G F y d G V y L 1 R y a W J h b C A m c X V v d D s s J n F 1 b 3 Q 7 U 2 V u Z G l u Z y B E a X N 0 c m l j d C Z x d W 9 0 O y w m c X V v d D t T Z W 5 k a W 5 n I E R p c 3 R y a W N 0 I E N D R E R E J n F 1 b 3 Q 7 L C Z x d W 9 0 O 0 x F Q U l E J n F 1 b 3 Q 7 L C Z x d W 9 0 O 0 l z T m V 3 J n F 1 b 3 Q 7 L C Z x d W 9 0 O 0 l z R X h w Y W 5 k Z W Q m c X V v d D t d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8 L 0 l 0 Z W 1 Q Y X R o P j w v S X R l b U x v Y 2 F 0 a W 9 u P j x T d G F i b G V F b n R y a W V z P j x F b n R y e S B U e X B l P S J G a W x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l N m U 0 N z c 3 O S 1 h Y T l j L T Q 3 Z T A t O G M w N S 0 4 Y j V h N z h i M j A 3 M D I i I C 8 + P E V u d H J 5 I F R 5 c G U 9 I l F 1 Z X J 5 R 3 J v d X B J R C I g V m F s d W U 9 I n M x M T F j Y T g w O C 0 w N W V k L T Q 1 O T c t Y j U y M i 1 m M W Q 2 O T B k Z W U 1 O T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5 I i A v P j x F b n R y e S B U e X B l P S J B Z G R l Z F R v R G F 0 Y U 1 v Z G V s I i B W Y W x 1 Z T 0 i b D E i I C 8 + P E V u d H J 5 I F R 5 c G U 9 I k Z p b G x M Y X N 0 V X B k Y X R l Z C I g V m F s d W U 9 I m Q y M D I 1 L T A 1 L T I y V D E 4 O j E y O j U 4 L j M 5 N z c y M z N a I i A v P j x F b n R y e S B U e X B l P S J G a W x s Q 2 9 s d W 1 u V H l w Z X M i I F Z h b H V l P S J z Q m d Z R 0 F B Q U R B d 1 l G Q U F R R U F B U U V B Q T 0 9 I i A v P j x F b n R y e S B U e X B l P S J G a W x s Q 2 9 s d W 1 u T m F t Z X M i I F Z h b H V l P S J z W y Z x d W 9 0 O 0 N D R E R E J n F 1 b 3 Q 7 L C Z x d W 9 0 O 0 R p c 3 R y a W N 0 T m F t Z S Z x d W 9 0 O y w m c X V v d D t M R U F p Z C Z x d W 9 0 O y w m c X V v d D t J c 0 5 l d y Z x d W 9 0 O y w m c X V v d D t J c 0 V 4 c G F u Z G V k J n F 1 b 3 Q 7 L C Z x d W 9 0 O 0 Z S U E w u V G 9 0 Y W x T d H V k Z W 5 0 c y Z x d W 9 0 O y w m c X V v d D t T Z W 5 k a W 5 n V G 9 0 Y W x T d H V k Z W 5 0 c y Z x d W 9 0 O y w m c X V v d D t T Z W 5 k a W 5 n T E V B a W Q m c X V v d D s s J n F 1 b 3 Q 7 Q 2 h h c n R l c n N U b 3 R h b F N 0 d W R l b n R z J n F 1 b 3 Q 7 L C Z x d W 9 0 O 1 N 1 b S B v Z i B D a G F y d G V y c y B S R l B M K 1 N l b m R p b m c g U k Z Q T C Z x d W 9 0 O y w m c X V v d D t T a G F y Z S B v Z i B G U l B M J n F 1 b 3 Q 7 L C Z x d W 9 0 O 1 N l b m R p b m c g U 2 h h c m U g b 2 Y g R l J Q T C Z x d W 9 0 O y w m c X V v d D t T d W 0 g b 2 Y g Y 2 h h c n R l c i B 0 b 3 R h b C B z d H V k Z W 5 0 c y A r I F N l b m R p b m c g d G 9 0 Y W w g c 3 R 1 Z G V u d H M m c X V v d D s s J n F 1 b 3 Q 7 U 2 h h c m U g b 2 Y g V G 9 0 Y W w g R W 5 y b 2 x s b W V u d C Z x d W 9 0 O y w m c X V v d D t T Z W 5 k a W 5 n I F N o Y X J l I G 9 m I F R v d G F s I G V u c m 9 s b G 1 l b n Q m c X V v d D s s J n F 1 b 3 Q 7 R G l z d H J p Y 3 R U e X B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w b G l 0 I E N h b G M v Q 2 h h b m d l Z C B U e X B l L n t D Q 0 R E R C w w f S Z x d W 9 0 O y w m c X V v d D t T Z W N 0 a W 9 u M S 9 D a G F y d G V y X 1 R y a W J h b F N l b m R p b m c g R G l z d H J p Y 3 R z L 0 N o Y W 5 n Z W Q g V H l w Z S 5 7 Q 2 h h c n R l c i 9 U c m l i Y W w g L D F 9 J n F 1 b 3 Q 7 L C Z x d W 9 0 O 1 N l Y 3 R p b 2 4 x L 0 N o Y X J 0 Z X J P b m x 5 L 0 N o Y W 5 n Z W Q g V H l w Z S 5 7 T E V B a W Q s M n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M s M 3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s s J n F 1 b 3 Q 7 U 2 V j d G l v b j E v Q 2 h h c n R l c k 9 u b H k v Q W R k Z W Q g Q 3 V z d G 9 t L n t E a X N 0 c m l j d F R 5 c G U s M T d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T 2 5 s e S 9 D a G F u Z 2 V k I F R 5 c G U u e 0 x F Q W l k L D J 9 J n F 1 b 3 Q 7 L C Z x d W 9 0 O 1 N l Y 3 R p b 2 4 x L 0 N o Y X J 0 Z X J f V H J p Y m F s U 2 V u Z G l u Z y B E a X N 0 c m l j d H M v U H J v b W 9 0 Z W Q g S G V h Z G V y c y 5 7 S X N O Z X c s N X 0 m c X V v d D s s J n F 1 b 3 Q 7 U 2 V j d G l v b j E v Q 2 h h c n R l c l 9 U c m l i Y W x T Z W 5 k a W 5 n I E R p c 3 R y a W N 0 c y 9 Q c m 9 t b 3 R l Z C B I Z W F k Z X J z L n t J c 0 V 4 c G F u Z G V k L D Z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L D N 9 J n F 1 b 3 Q 7 L C Z x d W 9 0 O 1 N l Y 3 R p b 2 4 x L 0 N D R E R E X F w v T E V B a W Q v U 2 9 1 c m N l L n t O Q 0 V T T E V B T n V t Y m V y L D N 9 J n F 1 b 3 Q 7 L C Z x d W 9 0 O 1 N l Y 3 R p b 2 4 x L 3 N 1 b W l m L 0 d y b 3 V w Z W Q g U m 9 3 c y 5 7 U 3 V t V G 9 0 Y W x T d H V k Z W 5 0 c y w y f S Z x d W 9 0 O y w m c X V v d D t T Z W N 0 a W 9 u M S 9 T c G x p d C B D Y W x j L 0 F k Z G V k I E N 1 c 3 R v b S 5 7 U 3 V t I G 9 m I E N o Y X J 0 Z X J z I F J G U E w r U 2 V u Z G l u Z y B S R l B M L D E 0 f S Z x d W 9 0 O y w m c X V v d D t T Z W N 0 a W 9 u M S 9 T c G x p d C B D Y W x j L 0 N o Y W 5 n Z W Q g V H l w Z T E u e y V P Z i B S R l B M I G l u I H N l b m R p b m c g Z G l z d H J p Y 3 Q s M T V 9 J n F 1 b 3 Q 7 L C Z x d W 9 0 O 1 N l Y 3 R p b 2 4 x L 1 N w b G l 0 I E N h b G M v Q 2 h h b m d l Z C B U e X B l M i 5 7 U 2 V u Z G l u Z y B E a X N 0 c m l j d C A l I C w x N X 0 m c X V v d D s s J n F 1 b 3 Q 7 U 2 V j d G l v b j E v U 3 B s a X Q g Q 2 F s Y y 9 B Z G R l Z C B D d X N 0 b 2 0 z L n t T d W 0 g b 2 Y g Y 2 h h c n R l c i B 0 b 3 R h b C B z d H V k Z W 5 0 c y A r I F N l b m R p b m c g d G 9 0 Y W w g c 3 R 1 Z G V u d H M s M T d 9 J n F 1 b 3 Q 7 L C Z x d W 9 0 O 1 N l Y 3 R p b 2 4 x L 1 N w b G l 0 I E N h b G M v Q 2 h h b m d l Z C B U e X B l M y 5 7 U 2 h h c m U g b 2 Y g V G 9 0 Y W w g R W 5 y b 2 x s b W V u d C w x O H 0 m c X V v d D s s J n F 1 b 3 Q 7 U 2 V j d G l v b j E v U 3 B s a X Q g Q 2 F s Y y 9 D a G F u Z 2 V k I F R 5 c G U 0 L n t T Z W 5 k a W 5 n I F N o Y X J l I G 9 m I F R v d G F s I G V u c m 9 s b G 1 l b n Q s M T l 9 J n F 1 b 3 Q 7 L C Z x d W 9 0 O 1 N l Y 3 R p b 2 4 x L 0 N o Y X J 0 Z X J P b m x 5 L 0 F k Z G V k I E N 1 c 3 R v b S 5 7 R G l z d H J p Y 3 R U e X B l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h h c n R l c k 9 u b H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8 L 0 l 0 Z W 1 Q Y X R o P j w v S X R l b U x v Y 2 F 0 a W 9 u P j x T d G F i b G V F b n R y a W V z P j x F b n R y e S B U e X B l P S J G a W x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i Z T U 4 M G M z M C 0 3 Z T M x L T Q 0 Z T k t O T c 2 N i 0 3 M z Z j Y T Q z N T F l Z D Q i I C 8 + P E V u d H J 5 I F R 5 c G U 9 I l F 1 Z X J 5 R 3 J v d X B J R C I g V m F s d W U 9 I n M x M T F j Y T g w O C 0 w N W V k L T Q 1 O T c t Y j U y M i 1 m M W Q 2 O T B k Z W U 1 O T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w I i A v P j x F b n R y e S B U e X B l P S J B Z G R l Z F R v R G F 0 Y U 1 v Z G V s I i B W Y W x 1 Z T 0 i b D E i I C 8 + P E V u d H J 5 I F R 5 c G U 9 I k Z p b G x M Y X N 0 V X B k Y X R l Z C I g V m F s d W U 9 I m Q y M D I 1 L T A 1 L T I y V D E 4 O j E y O j U 4 L j Q w M j c w N j J a I i A v P j x F b n R y e S B U e X B l P S J G a W x s Q 2 9 s d W 1 u V H l w Z X M i I F Z h b H V l P S J z Q m d Z R 0 F B W T 0 i I C 8 + P E V u d H J 5 I F R 5 c G U 9 I k Z p b G x D b 2 x 1 b W 5 O Y W 1 l c y I g V m F s d W U 9 I n N b J n F 1 b 3 Q 7 Q 0 N E R E Q m c X V v d D s s J n F 1 b 3 Q 7 R G l z d H J p Y 3 R O Y W 1 l J n F 1 b 3 Q 7 L C Z x d W 9 0 O 1 N l b m R p b m d M R U F p Z C Z x d W 9 0 O y w m c X V v d D t E a X N 0 c m l j d F R 5 c G U m c X V v d D s s J n F 1 b 3 Q 7 T E V B a W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s m c X V v d D t D Q 0 R E R C Z x d W 9 0 O 1 0 s J n F 1 b 3 Q 7 c X V l c n l S Z W x h d G l v b n N o a X B z J n F 1 b 3 Q 7 O l t d L C Z x d W 9 0 O 2 N v b H V t b k l k Z W 5 0 a X R p Z X M m c X V v d D s 6 W y Z x d W 9 0 O 1 N l Y 3 R p b 2 4 x L 1 N l b m R p b m d P b m x 5 L 0 N o Y W 5 n Z W Q g V H l w Z S 5 7 Q 0 N E R E Q s M H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0 N E R E R c X C 9 M R U F p Z C 9 T b 3 V y Y 2 U u e 0 5 D R V N M R U F O d W 1 i Z X I s M 3 0 m c X V v d D s s J n F 1 b 3 Q 7 U 2 V j d G l v b j E v U 2 V u Z G l u Z 0 9 u b H k v Q W R k Z W Q g Q 3 V z d G 9 t L n t E a X N 0 c m l j d F R 5 c G U s M n 0 m c X V v d D s s J n F 1 b 3 Q 7 U 2 V j d G l v b j E v U 2 V u Z G l u Z 0 9 u b H k v R H V w b G l j Y X R l Z C B D b 2 x 1 b W 4 u e 1 N l b m R p b m d M R U F p Z C A t I E N v c H k s N H 0 m c X V v d D t d L C Z x d W 9 0 O 0 N v b H V t b k N v d W 5 0 J n F 1 b 3 Q 7 O j U s J n F 1 b 3 Q 7 S 2 V 5 Q 2 9 s d W 1 u T m F t Z X M m c X V v d D s 6 W y Z x d W 9 0 O 0 N D R E R E J n F 1 b 3 Q 7 X S w m c X V v d D t D b 2 x 1 b W 5 J Z G V u d G l 0 a W V z J n F 1 b 3 Q 7 O l s m c X V v d D t T Z W N 0 a W 9 u M S 9 T Z W 5 k a W 5 n T 2 5 s e S 9 D a G F u Z 2 V k I F R 5 c G U u e 0 N D R E R E L D B 9 J n F 1 b 3 Q 7 L C Z x d W 9 0 O 1 N l Y 3 R p b 2 4 x L 0 N o Y X J 0 Z X J f V H J p Y m F s U 2 V u Z G l u Z y B E a X N 0 c m l j d H M v Q 2 h h b m d l Z C B U e X B l L n t T Z W 5 k a W 5 n I E R p c 3 R y a W N 0 L D J 9 J n F 1 b 3 Q 7 L C Z x d W 9 0 O 1 N l Y 3 R p b 2 4 x L 0 N D R E R E X F w v T E V B a W Q v U 2 9 1 c m N l L n t O Q 0 V T T E V B T n V t Y m V y L D N 9 J n F 1 b 3 Q 7 L C Z x d W 9 0 O 1 N l Y 3 R p b 2 4 x L 1 N l b m R p b m d P b m x 5 L 0 F k Z G V k I E N 1 c 3 R v b S 5 7 R G l z d H J p Y 3 R U e X B l L D J 9 J n F 1 b 3 Q 7 L C Z x d W 9 0 O 1 N l Y 3 R p b 2 4 x L 1 N l b m R p b m d P b m x 5 L 0 R 1 c G x p Y 2 F 0 Z W Q g Q 2 9 s d W 1 u L n t T Z W 5 k a W 5 n T E V B a W Q g L S B D b 3 B 5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W 5 k a W 5 n T 2 5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0 R E R C U y R k x F Q W l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G Y x Z G Y w N G E t M D V m M C 0 0 O W E 0 L T g 0 M T k t Z T B k N W V m N z J k M 2 I z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G a W x s T G F z d F V w Z G F 0 Z W Q i I F Z h b H V l P S J k M j A y N S 0 w N S 0 y M l Q x O D o x M j o 1 O C 4 0 M T g 2 N T I 4 W i I g L z 4 8 R W 5 0 c n k g V H l w Z T 0 i R m l s b E N v b H V t b l R 5 c G V z I i B W Y W x 1 Z T 0 i c 0 J n S U d C Z 1 l D I i A v P j x F b n R y e S B U e X B l P S J G a W x s Q 2 9 s d W 1 u T m F t Z X M i I F Z h b H V l P S J z W y Z x d W 9 0 O 0 R p c 3 R y a W N 0 Q 2 9 k Z S Z x d W 9 0 O y w m c X V v d D t P c m d h b m l 6 Y X R p b 2 5 J Z C Z x d W 9 0 O y w m c X V v d D t E a X N 0 c m l j d E 5 h b W U m c X V v d D s s J n F 1 b 3 Q 7 T k N F U 0 x F Q U 5 1 b W J l c i Z x d W 9 0 O y w m c X V v d D t O Q 0 V T T E V B T m F t Z S Z x d W 9 0 O y w m c X V v d D t T Y 2 h v b 2 x Z Z W F y S W Q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y O T c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N E R E R c X C 9 M R U F p Z C 9 T b 3 V y Y 2 U u e 0 R p c 3 R y a W N 0 Q 2 9 k Z S w w f S Z x d W 9 0 O y w m c X V v d D t T Z W N 0 a W 9 u M S 9 D Q 0 R E R F x c L 0 x F Q W l k L 1 N v d X J j Z S 5 7 T 3 J n Y W 5 p e m F 0 a W 9 u S W Q s M X 0 m c X V v d D s s J n F 1 b 3 Q 7 U 2 V j d G l v b j E v Q 0 N E R E R c X C 9 M R U F p Z C 9 T b 3 V y Y 2 U u e 0 R p c 3 R y a W N 0 T m F t Z S w y f S Z x d W 9 0 O y w m c X V v d D t T Z W N 0 a W 9 u M S 9 D Q 0 R E R F x c L 0 x F Q W l k L 1 N v d X J j Z S 5 7 T k N F U 0 x F Q U 5 1 b W J l c i w z f S Z x d W 9 0 O y w m c X V v d D t T Z W N 0 a W 9 u M S 9 D Q 0 R E R F x c L 0 x F Q W l k L 1 N v d X J j Z S 5 7 T k N F U 0 x F Q U 5 h b W U s N H 0 m c X V v d D s s J n F 1 b 3 Q 7 U 2 V j d G l v b j E v Q 0 N E R E R c X C 9 M R U F p Z C 9 T b 3 V y Y 2 U u e 1 N j a G 9 v b F l l Y X J J Z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Q 0 R E R F x c L 0 x F Q W l k L 1 N v d X J j Z S 5 7 R G l z d H J p Y 3 R D b 2 R l L D B 9 J n F 1 b 3 Q 7 L C Z x d W 9 0 O 1 N l Y 3 R p b 2 4 x L 0 N D R E R E X F w v T E V B a W Q v U 2 9 1 c m N l L n t P c m d h b m l 6 Y X R p b 2 5 J Z C w x f S Z x d W 9 0 O y w m c X V v d D t T Z W N 0 a W 9 u M S 9 D Q 0 R E R F x c L 0 x F Q W l k L 1 N v d X J j Z S 5 7 R G l z d H J p Y 3 R O Y W 1 l L D J 9 J n F 1 b 3 Q 7 L C Z x d W 9 0 O 1 N l Y 3 R p b 2 4 x L 0 N D R E R E X F w v T E V B a W Q v U 2 9 1 c m N l L n t O Q 0 V T T E V B T n V t Y m V y L D N 9 J n F 1 b 3 Q 7 L C Z x d W 9 0 O 1 N l Y 3 R p b 2 4 x L 0 N D R E R E X F w v T E V B a W Q v U 2 9 1 c m N l L n t O Q 0 V T T E V B T m F t Z S w 0 f S Z x d W 9 0 O y w m c X V v d D t T Z W N 0 a W 9 u M S 9 D Q 0 R E R F x c L 0 x F Q W l k L 1 N v d X J j Z S 5 7 U 2 N o b 2 9 s W W V h c k l k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Q 0 R E R C U y R k x F Q W l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z w v S X R l b V B h d G g + P C 9 J d G V t T G 9 j Y X R p b 2 4 + P F N 0 Y W J s Z U V u d H J p Z X M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R W 5 h Y m x l Z C I g V m F s d W U 9 I m w x I i A v P j x F b n R y e S B U e X B l P S J J c 1 B y a X Z h d G U i I F Z h b H V l P S J s M C I g L z 4 8 R W 5 0 c n k g V H l w Z T 0 i U X V l c n l H c m 9 1 c E l E I i B W Y W x 1 Z T 0 i c z E x M W N h O D A 4 L T A 1 Z W Q t N D U 5 N y 1 i N T I y L W Y x Z D Y 5 M G R l Z T U 5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M R U E g U 3 B s a X Q g Q 2 F s Y y I g L z 4 8 R W 5 0 c n k g V H l w Z T 0 i R m l s b G V k Q 2 9 t c G x l d G V S Z X N 1 b H R U b 1 d v c m t z a G V l d C I g V m F s d W U 9 I m w x I i A v P j x F b n R y e S B U e X B l P S J R d W V y e U l E I i B W Y W x 1 Z T 0 i c z U x N D c 4 M T A 3 L T d m N z k t N D B l Y y 1 i M W F i L T U y N W Q 5 O G I 0 N 2 Z h O S I g L z 4 8 R W 5 0 c n k g V H l w Z T 0 i R m l s b F R v R G F 0 Y U 1 v Z G V s R W 5 h Y m x l Z C I g V m F s d W U 9 I m w x I i A v P j x F b n R y e S B U e X B l P S J G a W x s V G F y Z 2 V 0 I i B W Y W x 1 Z T 0 i c 1 N w b G l 0 X 0 N h b G M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O S I g L z 4 8 R W 5 0 c n k g V H l w Z T 0 i Q W R k Z W R U b 0 R h d G F N b 2 R l b C I g V m F s d W U 9 I m w x I i A v P j x F b n R y e S B U e X B l P S J G a W x s T G F z d F V w Z G F 0 Z W Q i I F Z h b H V l P S J k M j A y N S 0 w N S 0 y M l Q x O D o x M j o 1 O C 4 z O T I 3 M z k 3 W i I g L z 4 8 R W 5 0 c n k g V H l w Z T 0 i R m l s b E N v b H V t b l R 5 c G V z I i B W Y W x 1 Z T 0 i c 0 J n W U d C Z 1 l B Q U F N R E F 3 T U d C U U F F Q k F B R U J B P T 0 i I C 8 + P E V u d H J 5 I F R 5 c G U 9 I k Z p b G x D b 2 x 1 b W 5 O Y W 1 l c y I g V m F s d W U 9 I n N b J n F 1 b 3 Q 7 Q 0 N E R E Q m c X V v d D s s J n F 1 b 3 Q 7 Q 2 h h c n R l c i 9 U c m l i Y W w g J n F 1 b 3 Q 7 L C Z x d W 9 0 O 1 N l b m R p b m c g R G l z d H J p Y 3 Q m c X V v d D s s J n F 1 b 3 Q 7 U 2 V u Z G l u Z y B E a X N 0 c m l j d C B D Q 0 R E R C Z x d W 9 0 O y w m c X V v d D t M R U F J R C Z x d W 9 0 O y w m c X V v d D t J c 0 5 l d y Z x d W 9 0 O y w m c X V v d D t J c 0 V 4 c G F u Z G V k J n F 1 b 3 Q 7 L C Z x d W 9 0 O 0 Z S U E w u V G 9 0 Y W x T d H V k Z W 5 0 c y Z x d W 9 0 O y w m c X V v d D t U b 3 R h b F N 0 d W R l b n R z S W 5 Q b 3 Z l c n R 5 J n F 1 b 3 Q 7 L C Z x d W 9 0 O 1 N l b m R p b m d U b 3 R h b F N 0 d W R l b n R z J n F 1 b 3 Q 7 L C Z x d W 9 0 O 1 N l b m R p b m d U b 3 R h b F N 0 d W R l b n R z S W 5 Q b 3 Z l c n R 5 J n F 1 b 3 Q 7 L C Z x d W 9 0 O 1 N l b m R p b m d M R U F J Z C Z x d W 9 0 O y w m c X V v d D t D a G F y d G V y c 1 R v d G F s U 3 R 1 Z G V u d H M m c X V v d D s s J n F 1 b 3 Q 7 U 3 V t I G 9 m I E N o Y X J 0 Z X J z I F J G U E w r U 2 V u Z G l u Z y B S R l B M J n F 1 b 3 Q 7 L C Z x d W 9 0 O 1 N o Y X J l I G 9 m I E Z S U E w m c X V v d D s s J n F 1 b 3 Q 7 U 2 V u Z G l u Z y B T a G F y Z S B v Z i B G U l B M J n F 1 b 3 Q 7 L C Z x d W 9 0 O 1 N 1 b S B v Z i B j a G F y d G V y I H R v d G F s I H N 0 d W R l b n R z I C s g U 2 V u Z G l u Z y B 0 b 3 R h b C B z d H V k Z W 5 0 c y Z x d W 9 0 O y w m c X V v d D t T a G F y Z S B v Z i B U b 3 R h b C B F b n J v b G x t Z W 5 0 J n F 1 b 3 Q 7 L C Z x d W 9 0 O 1 N l b m R p b m c g U 2 h h c m U g b 2 Y g V G 9 0 Y W w g Z W 5 y b 2 x s b W V u d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D Q 0 R E R F x c L 0 x F Q W l k L 1 N v d X J j Z S 5 7 T k N F U 0 x F Q U 5 1 b W J l c i w z f S Z x d W 9 0 O y w m c X V v d D t T Z W N 0 a W 9 u M S 9 z d W 1 p Z i 9 H c m 9 1 c G V k I F J v d 3 M u e 1 N 1 b V R v d G F s U 3 R 1 Z G V u d H M s M n 0 m c X V v d D s s J n F 1 b 3 Q 7 U 2 V j d G l v b j E v U 3 B s a X Q g Q 2 F s Y y 9 B Z G R l Z C B D d X N 0 b 2 0 u e 1 N 1 b S B v Z i B D a G F y d G V y c y B S R l B M K 1 N l b m R p b m c g U k Z Q T C w x N H 0 m c X V v d D s s J n F 1 b 3 Q 7 U 2 V j d G l v b j E v U 3 B s a X Q g Q 2 F s Y y 9 D a G F u Z 2 V k I F R 5 c G U x L n s l T 2 Y g U k Z Q T C B p b i B z Z W 5 k a W 5 n I G R p c 3 R y a W N 0 L D E 1 f S Z x d W 9 0 O y w m c X V v d D t T Z W N 0 a W 9 u M S 9 T c G x p d C B D Y W x j L 0 N o Y W 5 n Z W Q g V H l w Z T I u e 1 N l b m R p b m c g R G l z d H J p Y 3 Q g J S A s M T V 9 J n F 1 b 3 Q 7 L C Z x d W 9 0 O 1 N l Y 3 R p b 2 4 x L 1 N w b G l 0 I E N h b G M v Q W R k Z W Q g Q 3 V z d G 9 t M y 5 7 U 3 V t I G 9 m I G N o Y X J 0 Z X I g d G 9 0 Y W w g c 3 R 1 Z G V u d H M g K y B T Z W 5 k a W 5 n I H R v d G F s I H N 0 d W R l b n R z L D E 3 f S Z x d W 9 0 O y w m c X V v d D t T Z W N 0 a W 9 u M S 9 T c G x p d C B D Y W x j L 0 N o Y W 5 n Z W Q g V H l w Z T M u e 1 N o Y X J l I G 9 m I F R v d G F s I E V u c m 9 s b G 1 l b n Q s M T h 9 J n F 1 b 3 Q 7 L C Z x d W 9 0 O 1 N l Y 3 R p b 2 4 x L 1 N w b G l 0 I E N h b G M v Q 2 h h b m d l Z C B U e X B l N C 5 7 U 2 V u Z G l u Z y B T a G F y Z S B v Z i B U b 3 R h b C B l b n J v b G x t Z W 5 0 L D E 5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U 3 B s a X Q g Q 2 F s Y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2 h h c n R l c l 9 U c m l i Y W x T Z W 5 k a W 5 n I E R p c 3 R y a W N 0 c y 9 D a G F u Z 2 V k I F R 5 c G U u e 1 N l b m R p b m c g R G l z d H J p Y 3 Q g Q 2 9 k Z S w z f S Z x d W 9 0 O y w m c X V v d D t T Z W N 0 a W 9 u M S 9 D a G F y d G V y X 1 R y a W J h b F N l b m R p b m c g R G l z d H J p Y 3 R z L 0 N o Y W 5 n Z W Q g V H l w Z S 5 7 T E V B S U Q s N H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w b G l 0 J T I w Q 2 F s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R X h w Y W 5 k Z W Q l M j B D Q 0 R E R C U y R k x F Q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0 R 1 c G x p Y 2 F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G Z k N j N k M j U t Z j I 1 N y 0 0 N W M 0 L T g w M 2 Q t M z d j N z Z j Z G F l O W Q 5 I i A v P j x F b n R y e S B U e X B l P S J R d W V y e U d y b 3 V w S U Q i I F Z h b H V l P S J z Y z M 5 Z m I x O G Y t Y T U 3 N y 0 0 M D g 3 L W J m Y z c t Y T E 1 Z m F h O D Q 5 M T I 0 I i A v P j x F b n R y e S B U e X B l P S J G a W x s T G F z d F V w Z G F 0 Z W Q i I F Z h b H V l P S J k M j A y N S 0 w N S 0 y M l Q x O D o x M j o 1 O C 4 0 M T M 2 N j k 4 W i I g L z 4 8 R W 5 0 c n k g V H l w Z T 0 i R m l s b E N v b H V t b l R 5 c G V z I i B W Y W x 1 Z T 0 i c 0 J n W U Z C U V V G Q l F V R k J R V U Z C U V U 9 I i A v P j x F b n R y e S B U e X B l P S J S Z W N v d m V y e V R h c m d l d E N v b H V t b i I g V m F s d W U 9 I m w x I i A v P j x F b n R y e S B U e X B l P S J S Z W N v d m V y e V R h c m d l d F N o Z W V 0 I i B W Y W x 1 Z T 0 i c 0 R P R S B B b G x v Y 2 F 0 a W 9 u I i A v P j x F b n R y e S B U e X B l P S J S Z W N v d m V y e V R h c m d l d F J v d y I g V m F s d W U 9 I m w x I i A v P j x F b n R y e S B U e X B l P S J G a W x s Q 2 9 s d W 1 u T m F t Z X M i I F Z h b H V l P S J z W y Z x d W 9 0 O 0 x F Q W l k J n F 1 b 3 Q 7 L C Z x d W 9 0 O 0 x F Q U 5 h b W U m c X V v d D s s J n F 1 b 3 Q 7 Q k F T S U M g S E 9 M R C B I Y X J t b G V z c y B C Y X N l J n F 1 b 3 Q 7 L C Z x d W 9 0 O 0 N P T k M u I E h P T E Q g S G F y b W x l c 3 M g Q m F z Z S Z x d W 9 0 O y w m c X V v d D t U Q V J H R V R F R C B I T 0 x E I E h h c m 1 s Z X N z I E J h c 2 U m c X V v d D s s J n F 1 b 3 Q 7 R U Z J R y B I T 0 x E I E h h c m 1 s Z X N z I E J h c 2 U m c X V v d D s s J n F 1 b 3 Q 7 V E 9 U Q U w g S E 9 M R C B I Y X J t b G V z c y B C Y X N l J n F 1 b 3 Q 7 L C Z x d W 9 0 O 0 J h c 2 l j I E F s b G 9 j Y X R p b 2 4 m c X V v d D s s J n F 1 b 3 Q 7 Q 2 9 u Y y 4 g Q W x s b 2 N h d G l v b i Z x d W 9 0 O y w m c X V v d D t U Y X J n Z X R l Z C B B b G x v Y 2 F 0 a W 9 u J n F 1 b 3 Q 7 L C Z x d W 9 0 O 0 V G S U c g Q W x s b 2 N h d G l v b i Z x d W 9 0 O y w m c X V v d D t U a X R s Z S B J I E F s b G 9 j Y X R p b 2 4 m c X V v d D s s J n F 1 b 3 Q 7 U G V y Y 2 V u d G F n Z S B v Z i B I b 2 x k I E h h c m 1 s Z X N z I E J h c 2 U m c X V v d D s s J n F 1 b 3 Q 7 U m V z a W R l b n Q g U G 9 w L i Z x d W 9 0 O 1 0 i I C 8 + P E V u d H J 5 I F R 5 c G U 9 I k Z p b G x U b 0 R h d G F N b 2 R l b E V u Y W J s Z W Q i I F Z h b H V l P S J s M S I g L z 4 8 R W 5 0 c n k g V H l w Z T 0 i R m l s b F N 0 Y X R 1 c y I g V m F s d W U 9 I n N D b 2 1 w b G V 0 Z S I g L z 4 8 R W 5 0 c n k g V H l w Z T 0 i R m l s b E 9 i a m V j d F R 5 c G U i I F Z h b H V l P S J z Q 2 9 u b m V j d G l v b k 9 u b H k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5 O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R E 9 F I E F s b G 9 j Y X R p b 2 4 v Q 2 h h b m d l Z C B U e X B l L n t C Q V N J Q y B I T 0 x E I E h h c m 1 s Z X N z I E J h c 2 U s M n 0 m c X V v d D s s J n F 1 b 3 Q 7 U 2 V j d G l v b j E v R E 9 F I E F s b G 9 j Y X R p b 2 4 v Q 2 h h b m d l Z C B U e X B l L n t D T 0 5 D L i B I T 0 x E I E h h c m 1 s Z X N z I E J h c 2 U s M 3 0 m c X V v d D s s J n F 1 b 3 Q 7 U 2 V j d G l v b j E v R E 9 F I E F s b G 9 j Y X R p b 2 4 v Q 2 h h b m d l Z C B U e X B l L n t U Q V J H R V R F R C B I T 0 x E I E h h c m 1 s Z X N z I E J h c 2 U s N H 0 m c X V v d D s s J n F 1 b 3 Q 7 U 2 V j d G l v b j E v R E 9 F I E F s b G 9 j Y X R p b 2 4 v Q 2 h h b m d l Z C B U e X B l L n t F R k l H I E h P T E Q g S G F y b W x l c 3 M g Q m F z Z S w 1 f S Z x d W 9 0 O y w m c X V v d D t T Z W N 0 a W 9 u M S 9 E T 0 U g Q W x s b 2 N h d G l v b i 9 D a G F u Z 2 V k I F R 5 c G U u e 1 R P V E F M I E h P T E Q g S G F y b W x l c 3 M g Q m F z Z S w 2 f S Z x d W 9 0 O y w m c X V v d D t T Z W N 0 a W 9 u M S 9 E T 0 U g Q W x s b 2 N h d G l v b i 9 D a G F u Z 2 V k I F R 5 c G U u e 0 J h c 2 l j I E F s b G 9 j Y X R p b 2 4 s N 3 0 m c X V v d D s s J n F 1 b 3 Q 7 U 2 V j d G l v b j E v R E 9 F I E F s b G 9 j Y X R p b 2 4 v Q 2 h h b m d l Z C B U e X B l L n t D b 2 5 j L i B B b G x v Y 2 F 0 a W 9 u L D h 9 J n F 1 b 3 Q 7 L C Z x d W 9 0 O 1 N l Y 3 R p b 2 4 x L 0 R P R S B B b G x v Y 2 F 0 a W 9 u L 0 N o Y W 5 n Z W Q g V H l w Z S 5 7 V G F y Z 2 V 0 Z W Q g Q W x s b 2 N h d G l v b i w 5 f S Z x d W 9 0 O y w m c X V v d D t T Z W N 0 a W 9 u M S 9 E T 0 U g Q W x s b 2 N h d G l v b i 9 D a G F u Z 2 V k I F R 5 c G U u e 0 V G S U c g Q W x s b 2 N h d G l v b i w x M H 0 m c X V v d D s s J n F 1 b 3 Q 7 U 2 V j d G l v b j E v R E 9 F I E F s b G 9 j Y X R p b 2 4 v Q 2 h h b m d l Z C B U e X B l L n t U a X R s Z S B J I E F s b G 9 j Y X R p b 2 4 s M T F 9 J n F 1 b 3 Q 7 L C Z x d W 9 0 O 1 N l Y 3 R p b 2 4 x L 0 R P R S B B b G x v Y 2 F 0 a W 9 u L 0 N o Y W 5 n Z W Q g V H l w Z S 5 7 U G V y Y 2 V u d G F n Z S B v Z i B I b 2 x k I E h h c m 1 s Z X N z I E J h c 2 U s M T J 9 J n F 1 b 3 Q 7 L C Z x d W 9 0 O 1 N l Y 3 R p b 2 4 x L 0 R P R S B B b G x v Y 2 F 0 a W 9 u L 0 N o Y W 5 n Z W Q g V H l w Z S 5 7 U m V z a W R l b n Q g U G 9 w L i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0 R P R S B B b G x v Y 2 F 0 a W 9 u L 0 N o Y W 5 n Z W Q g V H l w Z S 5 7 T E V B a W Q s M H 0 m c X V v d D s s J n F 1 b 3 Q 7 U 2 V j d G l v b j E v R E 9 F I E F s b G 9 j Y X R p b 2 4 v Q 2 h h b m d l Z C B U e X B l L n t M R U F O Y W 1 l L D F 9 J n F 1 b 3 Q 7 L C Z x d W 9 0 O 1 N l Y 3 R p b 2 4 x L 0 R P R S B B b G x v Y 2 F 0 a W 9 u L 0 N o Y W 5 n Z W Q g V H l w Z S 5 7 Q k F T S U M g S E 9 M R C B I Y X J t b G V z c y B C Y X N l L D J 9 J n F 1 b 3 Q 7 L C Z x d W 9 0 O 1 N l Y 3 R p b 2 4 x L 0 R P R S B B b G x v Y 2 F 0 a W 9 u L 0 N o Y W 5 n Z W Q g V H l w Z S 5 7 Q 0 9 O Q y 4 g S E 9 M R C B I Y X J t b G V z c y B C Y X N l L D N 9 J n F 1 b 3 Q 7 L C Z x d W 9 0 O 1 N l Y 3 R p b 2 4 x L 0 R P R S B B b G x v Y 2 F 0 a W 9 u L 0 N o Y W 5 n Z W Q g V H l w Z S 5 7 V E F S R 0 V U R U Q g S E 9 M R C B I Y X J t b G V z c y B C Y X N l L D R 9 J n F 1 b 3 Q 7 L C Z x d W 9 0 O 1 N l Y 3 R p b 2 4 x L 0 R P R S B B b G x v Y 2 F 0 a W 9 u L 0 N o Y W 5 n Z W Q g V H l w Z S 5 7 R U Z J R y B I T 0 x E I E h h c m 1 s Z X N z I E J h c 2 U s N X 0 m c X V v d D s s J n F 1 b 3 Q 7 U 2 V j d G l v b j E v R E 9 F I E F s b G 9 j Y X R p b 2 4 v Q 2 h h b m d l Z C B U e X B l L n t U T 1 R B T C B I T 0 x E I E h h c m 1 s Z X N z I E J h c 2 U s N n 0 m c X V v d D s s J n F 1 b 3 Q 7 U 2 V j d G l v b j E v R E 9 F I E F s b G 9 j Y X R p b 2 4 v Q 2 h h b m d l Z C B U e X B l L n t C Y X N p Y y B B b G x v Y 2 F 0 a W 9 u L D d 9 J n F 1 b 3 Q 7 L C Z x d W 9 0 O 1 N l Y 3 R p b 2 4 x L 0 R P R S B B b G x v Y 2 F 0 a W 9 u L 0 N o Y W 5 n Z W Q g V H l w Z S 5 7 Q 2 9 u Y y 4 g Q W x s b 2 N h d G l v b i w 4 f S Z x d W 9 0 O y w m c X V v d D t T Z W N 0 a W 9 u M S 9 E T 0 U g Q W x s b 2 N h d G l v b i 9 D a G F u Z 2 V k I F R 5 c G U u e 1 R h c m d l d G V k I E F s b G 9 j Y X R p b 2 4 s O X 0 m c X V v d D s s J n F 1 b 3 Q 7 U 2 V j d G l v b j E v R E 9 F I E F s b G 9 j Y X R p b 2 4 v Q 2 h h b m d l Z C B U e X B l L n t F R k l H I E F s b G 9 j Y X R p b 2 4 s M T B 9 J n F 1 b 3 Q 7 L C Z x d W 9 0 O 1 N l Y 3 R p b 2 4 x L 0 R P R S B B b G x v Y 2 F 0 a W 9 u L 0 N o Y W 5 n Z W Q g V H l w Z S 5 7 V G l 0 b G U g S S B B b G x v Y 2 F 0 a W 9 u L D E x f S Z x d W 9 0 O y w m c X V v d D t T Z W N 0 a W 9 u M S 9 E T 0 U g Q W x s b 2 N h d G l v b i 9 D a G F u Z 2 V k I F R 5 c G U u e 1 B l c m N l b n R h Z 2 U g b 2 Y g S G 9 s Z C B I Y X J t b G V z c y B C Y X N l L D E y f S Z x d W 9 0 O y w m c X V v d D t T Z W N 0 a W 9 u M S 9 E T 0 U g Q W x s b 2 N h d G l v b i 9 D a G F u Z 2 V k I F R 5 c G U u e 1 J l c 2 l k Z W 5 0 I F B v c C 4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T 0 U l M j B B b G x v Y 2 F 0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v Q W x s b 2 N h d G l v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M 2 M z F k Z D c 3 Z S 1 l O D I 1 L T R l M G I t Y W J j M i 0 2 M 2 U 3 O T g 1 N z N m M T U i I C 8 + P E V u d H J 5 I F R 5 c G U 9 I l F 1 Z X J 5 R 3 J v d X B J R C I g V m F s d W U 9 I n N j M z l m Y j E 4 Z i 1 h N T c 3 L T Q w O D c t Y m Z j N y 1 h M T V m Y W E 4 N D k x M j Q i I C 8 + P E V u d H J 5 I F R 5 c G U 9 I k Z p b G x M Y X N 0 V X B k Y X R l Z C I g V m F s d W U 9 I m Q y M D I 1 L T A 1 L T I y V D E 4 O j E y O j U 4 L j Q y M j Y z O T Z a I i A v P j x F b n R y e S B U e X B l P S J G a W x s Q 2 9 s d W 1 u V H l w Z X M i I F Z h b H V l P S J z Q m d Z R k J R V U Z C U V V G Q l F V R k J R V U Y i I C 8 + P E V u d H J 5 I F R 5 c G U 9 I l J l Y 2 9 2 Z X J 5 V G F y Z 2 V 0 Q 2 9 s d W 1 u I i B W Y W x 1 Z T 0 i b D E i I C 8 + P E V u d H J 5 I F R 5 c G U 9 I l J l Y 2 9 2 Z X J 5 V G F y Z 2 V 0 U 2 h l Z X Q i I F Z h b H V l P S J z R E 9 F I E Z v c m 1 1 b G E g Y 2 9 1 b n R z I i A v P j x F b n R y e S B U e X B l P S J G a W x s V G 9 E Y X R h T W 9 k Z W x F b m F i b G V k I i B W Y W x 1 Z T 0 i b D E i I C 8 + P E V u d H J 5 I F R 5 c G U 9 I l J l Y 2 9 2 Z X J 5 V G F y Z 2 V 0 U m 9 3 I i B W Y W x 1 Z T 0 i b D E i I C 8 + P E V u d H J 5 I F R 5 c G U 9 I k Z p b G x D b 2 x 1 b W 5 O Y W 1 l c y I g V m F s d W U 9 I n N b J n F 1 b 3 Q 7 T E V B a W Q m c X V v d D s s J n F 1 b 3 Q 7 T E V B J n F 1 b 3 Q 7 L C Z x d W 9 0 O 1 B P V k V S V F k m c X V v d D s s J n F 1 b 3 Q 7 T k V H L i Z x d W 9 0 O y w m c X V v d D t E R U w u J n F 1 b 3 Q 7 L C Z x d W 9 0 O 0 Z P U 1 R F U i Z x d W 9 0 O y w m c X V v d D t U Q U 5 G J n F 1 b 3 Q 7 L C Z x d W 9 0 O 1 R P V E F M I E Z P U k 1 V T E E g Q 0 9 V T l Q m c X V v d D s s J n F 1 b 3 Q 7 N S 0 x N y B Q T 1 A u J n F 1 b 3 Q 7 L C Z x d W 9 0 O 1 B F U k N F T l Q g R k 9 S T V V M Q S Z x d W 9 0 O y w m c X V v d D t C Q V N J Q y B F T E l H S U J M R V M m c X V v d D s s J n F 1 b 3 Q 7 Q 0 9 O Q y 4 g R U x J R 0 l C T E V T J n F 1 b 3 Q 7 L C Z x d W 9 0 O 1 R B U k d F V E V E I F x 1 M D A y N i B F R k l H I E V M S U d J Q k x F U y Z x d W 9 0 O y w m c X V v d D t D T 1 V O V F M g V E F S R 0 V U R U Q m c X V v d D s s J n F 1 b 3 Q 7 Q 0 9 V T l R T I E V G S U c m c X V v d D t d I i A v P j x F b n R y e S B U e X B l P S J G a W x s T 2 J q Z W N 0 V H l w Z S I g V m F s d W U 9 I n N D b 2 5 u Z W N 0 a W 9 u T 2 5 s e S I g L z 4 8 R W 5 0 c n k g V H l w Z T 0 i R m l s b F N 0 Y X R 1 c y I g V m F s d W U 9 I n N D b 2 1 w b G V 0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k 5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T 0 U g R m 9 y b X V s Y S B j b 3 V u d H M v Q 2 h h b m d l Z C B U e X B l M i 5 7 T E V B a W Q s M H 0 m c X V v d D s s J n F 1 b 3 Q 7 U 2 V j d G l v b j E v R E 9 F I E Z v c m 1 1 b G E g Y 2 9 1 b n R z L 0 N o Y W 5 n Z W Q g V H l w Z S 5 7 Q 2 9 s d W 1 u N S w 0 f S Z x d W 9 0 O y w m c X V v d D t T Z W N 0 a W 9 u M S 9 E T 0 U g R m 9 y b X V s Y S B j b 3 V u d H M v Q 2 h h b m d l Z C B U e X B l M i 5 7 U E 9 W R V J U W S w y f S Z x d W 9 0 O y w m c X V v d D t T Z W N 0 a W 9 u M S 9 E T 0 U g R m 9 y b X V s Y S B j b 3 V u d H M v Q 2 h h b m d l Z C B U e X B l M i 5 7 T k V H L i w z f S Z x d W 9 0 O y w m c X V v d D t T Z W N 0 a W 9 u M S 9 E T 0 U g R m 9 y b X V s Y S B j b 3 V u d H M v Q 2 h h b m d l Z C B U e X B l M i 5 7 R E V M L i w 0 f S Z x d W 9 0 O y w m c X V v d D t T Z W N 0 a W 9 u M S 9 E T 0 U g R m 9 y b X V s Y S B j b 3 V u d H M v Q 2 h h b m d l Z C B U e X B l M i 5 7 R k 9 T V E V S L D V 9 J n F 1 b 3 Q 7 L C Z x d W 9 0 O 1 N l Y 3 R p b 2 4 x L 0 R P R S B G b 3 J t d W x h I G N v d W 5 0 c y 9 D a G F u Z 2 V k I F R 5 c G U y L n t U Q U 5 G L D Z 9 J n F 1 b 3 Q 7 L C Z x d W 9 0 O 1 N l Y 3 R p b 2 4 x L 0 R P R S B G b 3 J t d W x h I G N v d W 5 0 c y 9 D a G F u Z 2 V k I F R 5 c G U y L n t U T 1 R B T C B G T 1 J N V U x B I E N P V U 5 U L D d 9 J n F 1 b 3 Q 7 L C Z x d W 9 0 O 1 N l Y 3 R p b 2 4 x L 0 R P R S B G b 3 J t d W x h I G N v d W 5 0 c y 9 D a G F u Z 2 V k I F R 5 c G U y L n s 1 L T E 3 I F B P U C 4 s O H 0 m c X V v d D s s J n F 1 b 3 Q 7 U 2 V j d G l v b j E v R E 9 F I E Z v c m 1 1 b G E g Y 2 9 1 b n R z L 0 N o Y W 5 n Z W Q g V H l w Z T I u e 1 B F U k N F T l Q g R k 9 S T V V M Q S w 5 f S Z x d W 9 0 O y w m c X V v d D t T Z W N 0 a W 9 u M S 9 E T 0 U g R m 9 y b X V s Y S B j b 3 V u d H M v Q 2 h h b m d l Z C B U e X B l M i 5 7 Q k F T S U M g R U x J R 0 l C T E V T L D E w f S Z x d W 9 0 O y w m c X V v d D t T Z W N 0 a W 9 u M S 9 E T 0 U g R m 9 y b X V s Y S B j b 3 V u d H M v Q 2 h h b m d l Z C B U e X B l M i 5 7 Q 0 9 O Q y 4 g R U x J R 0 l C T E V T L D E x f S Z x d W 9 0 O y w m c X V v d D t T Z W N 0 a W 9 u M S 9 E T 0 U g R m 9 y b X V s Y S B j b 3 V u d H M v Q 2 h h b m d l Z C B U e X B l M i 5 7 V E F S R 0 V U R U Q g X H U w M D I 2 I E V G S U c g R U x J R 0 l C T E V T L D E y f S Z x d W 9 0 O y w m c X V v d D t T Z W N 0 a W 9 u M S 9 E T 0 U g R m 9 y b X V s Y S B j b 3 V u d H M v Q 2 h h b m d l Z C B U e X B l M i 5 7 Q 0 9 V T l R T I F R B U k d F V E V E L D E z f S Z x d W 9 0 O y w m c X V v d D t T Z W N 0 a W 9 u M S 9 E T 0 U g R m 9 y b X V s Y S B j b 3 V u d H M v Q 2 h h b m d l Z C B U e X B l M i 5 7 Q 0 9 V T l R T I E V G S U c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E T 0 U g R m 9 y b X V s Y S B j b 3 V u d H M v Q 2 h h b m d l Z C B U e X B l M i 5 7 T E V B a W Q s M H 0 m c X V v d D s s J n F 1 b 3 Q 7 U 2 V j d G l v b j E v R E 9 F I E Z v c m 1 1 b G E g Y 2 9 1 b n R z L 0 N o Y W 5 n Z W Q g V H l w Z S 5 7 Q 2 9 s d W 1 u N S w 0 f S Z x d W 9 0 O y w m c X V v d D t T Z W N 0 a W 9 u M S 9 E T 0 U g R m 9 y b X V s Y S B j b 3 V u d H M v Q 2 h h b m d l Z C B U e X B l M i 5 7 U E 9 W R V J U W S w y f S Z x d W 9 0 O y w m c X V v d D t T Z W N 0 a W 9 u M S 9 E T 0 U g R m 9 y b X V s Y S B j b 3 V u d H M v Q 2 h h b m d l Z C B U e X B l M i 5 7 T k V H L i w z f S Z x d W 9 0 O y w m c X V v d D t T Z W N 0 a W 9 u M S 9 E T 0 U g R m 9 y b X V s Y S B j b 3 V u d H M v Q 2 h h b m d l Z C B U e X B l M i 5 7 R E V M L i w 0 f S Z x d W 9 0 O y w m c X V v d D t T Z W N 0 a W 9 u M S 9 E T 0 U g R m 9 y b X V s Y S B j b 3 V u d H M v Q 2 h h b m d l Z C B U e X B l M i 5 7 R k 9 T V E V S L D V 9 J n F 1 b 3 Q 7 L C Z x d W 9 0 O 1 N l Y 3 R p b 2 4 x L 0 R P R S B G b 3 J t d W x h I G N v d W 5 0 c y 9 D a G F u Z 2 V k I F R 5 c G U y L n t U Q U 5 G L D Z 9 J n F 1 b 3 Q 7 L C Z x d W 9 0 O 1 N l Y 3 R p b 2 4 x L 0 R P R S B G b 3 J t d W x h I G N v d W 5 0 c y 9 D a G F u Z 2 V k I F R 5 c G U y L n t U T 1 R B T C B G T 1 J N V U x B I E N P V U 5 U L D d 9 J n F 1 b 3 Q 7 L C Z x d W 9 0 O 1 N l Y 3 R p b 2 4 x L 0 R P R S B G b 3 J t d W x h I G N v d W 5 0 c y 9 D a G F u Z 2 V k I F R 5 c G U y L n s 1 L T E 3 I F B P U C 4 s O H 0 m c X V v d D s s J n F 1 b 3 Q 7 U 2 V j d G l v b j E v R E 9 F I E Z v c m 1 1 b G E g Y 2 9 1 b n R z L 0 N o Y W 5 n Z W Q g V H l w Z T I u e 1 B F U k N F T l Q g R k 9 S T V V M Q S w 5 f S Z x d W 9 0 O y w m c X V v d D t T Z W N 0 a W 9 u M S 9 E T 0 U g R m 9 y b X V s Y S B j b 3 V u d H M v Q 2 h h b m d l Z C B U e X B l M i 5 7 Q k F T S U M g R U x J R 0 l C T E V T L D E w f S Z x d W 9 0 O y w m c X V v d D t T Z W N 0 a W 9 u M S 9 E T 0 U g R m 9 y b X V s Y S B j b 3 V u d H M v Q 2 h h b m d l Z C B U e X B l M i 5 7 Q 0 9 O Q y 4 g R U x J R 0 l C T E V T L D E x f S Z x d W 9 0 O y w m c X V v d D t T Z W N 0 a W 9 u M S 9 E T 0 U g R m 9 y b X V s Y S B j b 3 V u d H M v Q 2 h h b m d l Z C B U e X B l M i 5 7 V E F S R 0 V U R U Q g X H U w M D I 2 I E V G S U c g R U x J R 0 l C T E V T L D E y f S Z x d W 9 0 O y w m c X V v d D t T Z W N 0 a W 9 u M S 9 E T 0 U g R m 9 y b X V s Y S B j b 3 V u d H M v Q 2 h h b m d l Z C B U e X B l M i 5 7 Q 0 9 V T l R T I F R B U k d F V E V E L D E z f S Z x d W 9 0 O y w m c X V v d D t T Z W N 0 a W 9 u M S 9 E T 0 U g R m 9 y b X V s Y S B j b 3 V u d H M v Q 2 h h b m d l Z C B U e X B l M i 5 7 Q 0 9 V T l R T I E V G S U c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T 0 U l M j B G b 3 J t d W x h J T I w Y 2 9 1 b n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R m 9 y b X V s Y S U y M G N v d W 5 0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h Z G p 1 c 3 R l Z C U y M G F s b G 9 j Y X R p b 2 5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W J j M D k 0 Z G Q t M D V m M i 0 0 Y T J i L W F h M z M t M m V l Y m Y 3 M m F k M 2 E w I i A v P j x F b n R y e S B U e X B l P S J R d W V y e U d y b 3 V w S U Q i I F Z h b H V l P S J z Y z M 5 Z m I x O G Y t Y T U 3 N y 0 0 M D g 3 L W J m Y z c t Y T E 1 Z m F h O D Q 5 M T I 0 I i A v P j x F b n R y e S B U e X B l P S J G a W x s T G F z d F V w Z G F 0 Z W Q i I F Z h b H V l P S J k M j A y N S 0 w N S 0 y M l Q x O D o x M j o 1 O C 4 0 M j c 2 M j M w W i I g L z 4 8 R W 5 0 c n k g V H l w Z T 0 i R m l s b E N v b H V t b l R 5 c G V z I i B W Y W x 1 Z T 0 i c 0 J n W U Z C U V V G Q l F V R k J R V U Y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G J h c 2 U g K F B y a W 9 y I H l l Y X I g Y W R q d X N 0 Z W Q g Y W x s b 2 M p J n F 1 b 3 Q 7 L C Z x d W 9 0 O 0 N v b m M g S G 9 s Z C B I Y X J t b G V z c y B C Y X N l I C g g N C B 5 Z W F y I G x v b 2 t i Y W N r K S Z x d W 9 0 O y w m c X V v d D t U Q V J H R V R F R C B I b 2 x k I E h h c m 1 s Z X N z I E J h c 2 U g K F B y a W 9 y I F l l Y X I g Y W R q d X N 0 Z W Q g Y W x s b 2 M p J n F 1 b 3 Q 7 L C Z x d W 9 0 O 0 V G S U c g S G 9 s Z C B I Y X J t b G V z c y B i Y X N l I C h Q c m l v c i B Z Z W F y I G F k a n V z d G V k I G F s b G 9 j K S Z x d W 9 0 O y w m c X V v d D t U b 3 R h b C B I b 2 x k I E h h c m 1 s Z X N z I G J h c 2 U m c X V v d D s s J n F 1 b 3 Q 7 Q W R q I E J h c 2 l j I E F s b G 9 j Y X R p b 2 4 m c X V v d D s s J n F 1 b 3 Q 7 Q W R q I E N v b m M u I E F s b G 9 j Y X R p b 2 4 m c X V v d D s s J n F 1 b 3 Q 7 Q W R q I F R h c m d l d G V k I G F s b G 9 j Y X R p b 2 4 m c X V v d D s s J n F 1 b 3 Q 7 Q W R q I E V G S U c g Q W x s b 2 N h d G l v b i Z x d W 9 0 O y w m c X V v d D t B Z G o g V G 9 0 Y W w g V G l 0 b G U g S S B B b G x v Y 2 F 0 a W 9 u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z E 2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G F k a n V z d G V k I G F s b G 9 j Y X R p b 2 5 z L 0 N o Y W 5 n Z W Q g V H l w Z S 5 7 T E V B S U Q s M H 0 m c X V v d D s s J n F 1 b 3 Q 7 U 2 V j d G l v b j E v U H J p b 3 I g W W V h c i B h Z G p 1 c 3 R l Z C B h b G x v Y 2 F 0 a W 9 u c y 9 D a G F u Z 2 V k I F R 5 c G U u e 0 x F Q U 5 B T U U s M X 0 m c X V v d D s s J n F 1 b 3 Q 7 U 2 V j d G l v b j E v U H J p b 3 I g W W V h c i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U H J p b 3 I g W W V h c i B h Z G p 1 c 3 R l Z C B h b G x v Y 2 F 0 a W 9 u c y 9 D a G F u Z 2 V k I F R 5 c G U u e 0 N v b m M g S G 9 s Z C B I Y X J t b G V z c y B C Y X N l I C g g N C B 5 Z W F y I G x v b 2 t i Y W N r K S w z f S Z x d W 9 0 O y w m c X V v d D t T Z W N 0 a W 9 u M S 9 Q c m l v c i B Z Z W F y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Q c m l v c i B Z Z W F y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1 B y a W 9 y I F l l Y X I g Y W R q d X N 0 Z W Q g Y W x s b 2 N h d G l v b n M v Q 2 h h b m d l Z C B U e X B l L n t U b 3 R h b C B I b 2 x k I E h h c m 1 s Z X N z I G J h c 2 U s N n 0 m c X V v d D s s J n F 1 b 3 Q 7 U 2 V j d G l v b j E v U H J p b 3 I g W W V h c i B h Z G p 1 c 3 R l Z C B h b G x v Y 2 F 0 a W 9 u c y 9 D a G F u Z 2 V k I F R 5 c G U u e 0 F k a i B C Y X N p Y y B B b G x v Y 2 F 0 a W 9 u L D d 9 J n F 1 b 3 Q 7 L C Z x d W 9 0 O 1 N l Y 3 R p b 2 4 x L 1 B y a W 9 y I F l l Y X I g Y W R q d X N 0 Z W Q g Y W x s b 2 N h d G l v b n M v Q 2 h h b m d l Z C B U e X B l L n t B Z G o g Q 2 9 u Y y 4 g Q W x s b 2 N h d G l v b i w 4 f S Z x d W 9 0 O y w m c X V v d D t T Z W N 0 a W 9 u M S 9 Q c m l v c i B Z Z W F y I G F k a n V z d G V k I G F s b G 9 j Y X R p b 2 5 z L 0 N o Y W 5 n Z W Q g V H l w Z S 5 7 Q W R q I F R h c m d l d G V k I G F s b G 9 j Y X R p b 2 4 s O X 0 m c X V v d D s s J n F 1 b 3 Q 7 U 2 V j d G l v b j E v U H J p b 3 I g W W V h c i B h Z G p 1 c 3 R l Z C B h b G x v Y 2 F 0 a W 9 u c y 9 D a G F u Z 2 V k I F R 5 c G U u e 0 F k a i B F R k l H I E F s b G 9 j Y X R p b 2 4 s M T B 9 J n F 1 b 3 Q 7 L C Z x d W 9 0 O 1 N l Y 3 R p b 2 4 x L 1 B y a W 9 y I F l l Y X I g Y W R q d X N 0 Z W Q g Y W x s b 2 N h d G l v b n M v Q 2 h h b m d l Z C B U e X B l L n t B Z G o g V G 9 0 Y W w g V G l 0 b G U g S S B B b G x v Y 2 F 0 a W 9 u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U H J p b 3 I g W W V h c i B h Z G p 1 c 3 R l Z C B h b G x v Y 2 F 0 a W 9 u c y 9 D a G F u Z 2 V k I F R 5 c G U u e 0 x F Q U l E L D B 9 J n F 1 b 3 Q 7 L C Z x d W 9 0 O 1 N l Y 3 R p b 2 4 x L 1 B y a W 9 y I F l l Y X I g Y W R q d X N 0 Z W Q g Y W x s b 2 N h d G l v b n M v Q 2 h h b m d l Z C B U e X B l L n t M R U F O Q U 1 F L D F 9 J n F 1 b 3 Q 7 L C Z x d W 9 0 O 1 N l Y 3 R p b 2 4 x L 1 B y a W 9 y I F l l Y X I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1 B y a W 9 y I F l l Y X I g Y W R q d X N 0 Z W Q g Y W x s b 2 N h d G l v b n M v Q 2 h h b m d l Z C B U e X B l L n t D b 2 5 j I E h v b G Q g S G F y b W x l c 3 M g Q m F z Z S A o I D Q g e W V h c i B s b 2 9 r Y m F j a y k s M 3 0 m c X V v d D s s J n F 1 b 3 Q 7 U 2 V j d G l v b j E v U H J p b 3 I g W W V h c i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U H J p b 3 I g W W V h c i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Q c m l v c i B Z Z W F y I G F k a n V z d G V k I G F s b G 9 j Y X R p b 2 5 z L 0 N o Y W 5 n Z W Q g V H l w Z S 5 7 V G 9 0 Y W w g S G 9 s Z C B I Y X J t b G V z c y B i Y X N l L D Z 9 J n F 1 b 3 Q 7 L C Z x d W 9 0 O 1 N l Y 3 R p b 2 4 x L 1 B y a W 9 y I F l l Y X I g Y W R q d X N 0 Z W Q g Y W x s b 2 N h d G l v b n M v Q 2 h h b m d l Z C B U e X B l L n t B Z G o g Q m F z a W M g Q W x s b 2 N h d G l v b i w 3 f S Z x d W 9 0 O y w m c X V v d D t T Z W N 0 a W 9 u M S 9 Q c m l v c i B Z Z W F y I G F k a n V z d G V k I G F s b G 9 j Y X R p b 2 5 z L 0 N o Y W 5 n Z W Q g V H l w Z S 5 7 Q W R q I E N v b m M u I E F s b G 9 j Y X R p b 2 4 s O H 0 m c X V v d D s s J n F 1 b 3 Q 7 U 2 V j d G l v b j E v U H J p b 3 I g W W V h c i B h Z G p 1 c 3 R l Z C B h b G x v Y 2 F 0 a W 9 u c y 9 D a G F u Z 2 V k I F R 5 c G U u e 0 F k a i B U Y X J n Z X R l Z C B h b G x v Y 2 F 0 a W 9 u L D l 9 J n F 1 b 3 Q 7 L C Z x d W 9 0 O 1 N l Y 3 R p b 2 4 x L 1 B y a W 9 y I F l l Y X I g Y W R q d X N 0 Z W Q g Y W x s b 2 N h d G l v b n M v Q 2 h h b m d l Z C B U e X B l L n t B Z G o g R U Z J R y B B b G x v Y 2 F 0 a W 9 u L D E w f S Z x d W 9 0 O y w m c X V v d D t T Z W N 0 a W 9 u M S 9 Q c m l v c i B Z Z W F y I G F k a n V z d G V k I G F s b G 9 j Y X R p b 2 5 z L 0 N o Y W 5 n Z W Q g V H l w Z S 5 7 Q W R q I F R v d G F s I F R p d G x l I E k g Q W x s b 2 N h d G l v b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Q W R q d X N 0 Z W Q l M j B G b 3 J t d W x h J T I w Y 2 9 1 b n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O T Y z N m E x Z j k t M D g z N S 0 0 Z j Y z L W E w M D k t N 2 I 1 Z D k w N T V j N G V i I i A v P j x F b n R y e S B U e X B l P S J R d W V y e U d y b 3 V w S U Q i I F Z h b H V l P S J z Y z M 5 Z m I x O G Y t Y T U 3 N y 0 0 M D g 3 L W J m Y z c t Y T E 1 Z m F h O D Q 5 M T I 0 I i A v P j x F b n R y e S B U e X B l P S J G a W x s T G F z d F V w Z G F 0 Z W Q i I F Z h b H V l P S J k M j A y N S 0 w N S 0 y M l Q x O D o x M j o 1 O C 4 0 M z I 2 M D U 5 W i I g L z 4 8 R W 5 0 c n k g V H l w Z T 0 i R m l s b E N v b H V t b l R 5 c G V z I i B W Y W x 1 Z T 0 i c 0 J n W U d B d 0 1 E Q X d N R E F 3 T U Z B Q U F B Q U E 9 P S I g L z 4 8 R W 5 0 c n k g V H l w Z T 0 i R m l s b E N v b H V t b k 5 h b W V z I i B W Y W x 1 Z T 0 i c 1 s m c X V v d D t M R U F J R C Z x d W 9 0 O y w m c X V v d D t M R U F O Q U 1 F J n F 1 b 3 Q 7 L C Z x d W 9 0 O 1 N l b m R p b m d M R U F p Z C Z x d W 9 0 O y w m c X V v d D t O R U c u I G F k a i Z x d W 9 0 O y w m c X V v d D t B Z G o g R E V M L i Z x d W 9 0 O y w m c X V v d D t B Z G o g R m 9 z d G V y J n F 1 b 3 Q 7 L C Z x d W 9 0 O 0 F k a i B U Q U 5 G J n F 1 b 3 Q 7 L C Z x d W 9 0 O 0 F k a i A t I D U t M T c g c G 9 w J n F 1 b 3 Q 7 L C Z x d W 9 0 O 0 F k a i B w b 3 Z l c n R 5 J n F 1 b 3 Q 7 L C Z x d W 9 0 O 0 F k a i B U b 3 R h b C B m b 3 J t d W x h I G N v d W 5 0 J n F 1 b 3 Q 7 L C Z x d W 9 0 O 1 R v d G F s I E Z v c m 1 1 b G E g Q 2 9 1 b n Q g R E 9 F J n F 1 b 3 Q 7 L C Z x d W 9 0 O 0 F k a i B w b 3 Z l c n R 5 I H B l c m N l b n R h Z 2 U m c X V v d D s s J n F 1 b 3 Q 7 Q k F T S U M g Z W x p Z 2 l i a W x p d H k m c X V v d D s s J n F 1 b 3 Q 7 Q 2 9 u Y y 4 g R W x p Z 2 l n a W J p b G l 0 e S Z x d W 9 0 O y w m c X V v d D t U Y X J n Z X R l Z C B F b G l n a W J p b G l 0 e S Z x d W 9 0 O y w m c X V v d D t F R k l H I G V s a W d p Y m l s a X R 5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z E 2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c m l v c i B Z Z W F y I E F k a n V z d G V k I E Z v c m 1 1 b G E g Y 2 9 1 b n R z L 0 N o Y W 5 n Z W Q g V H l w Z S 5 7 T E V B S U Q s M H 0 m c X V v d D s s J n F 1 b 3 Q 7 U 2 V j d G l v b j E v U H J p b 3 I g W W V h c i B B Z G p 1 c 3 R l Z C B G b 3 J t d W x h I G N v d W 5 0 c y 9 D a G F u Z 2 V k I F R 5 c G U u e 0 x F Q U 5 B T U U s M X 0 m c X V v d D s s J n F 1 b 3 Q 7 U 2 V j d G l v b j E v U H J p b 3 I g W W V h c i B B Z G p 1 c 3 R l Z C B G b 3 J t d W x h I G N v d W 5 0 c y 9 D a G F u Z 2 V k I F R 5 c G U u e 1 N l b m R p b m d M R U F p Z C w y f S Z x d W 9 0 O y w m c X V v d D t T Z W N 0 a W 9 u M S 9 Q c m l v c i B Z Z W F y I E F k a n V z d G V k I E Z v c m 1 1 b G E g Y 2 9 1 b n R z L 0 N o Y W 5 n Z W Q g V H l w Z S 5 7 T k V H L i B h Z G o s M 3 0 m c X V v d D s s J n F 1 b 3 Q 7 U 2 V j d G l v b j E v U H J p b 3 I g W W V h c i B B Z G p 1 c 3 R l Z C B G b 3 J t d W x h I G N v d W 5 0 c y 9 D a G F u Z 2 V k I F R 5 c G U u e 0 F k a i B E R U w u L D R 9 J n F 1 b 3 Q 7 L C Z x d W 9 0 O 1 N l Y 3 R p b 2 4 x L 1 B y a W 9 y I F l l Y X I g Q W R q d X N 0 Z W Q g R m 9 y b X V s Y S B j b 3 V u d H M v Q 2 h h b m d l Z C B U e X B l L n t B Z G o g R m 9 z d G V y L D V 9 J n F 1 b 3 Q 7 L C Z x d W 9 0 O 1 N l Y 3 R p b 2 4 x L 1 B y a W 9 y I F l l Y X I g Q W R q d X N 0 Z W Q g R m 9 y b X V s Y S B j b 3 V u d H M v Q 2 h h b m d l Z C B U e X B l L n t B Z G o g V E F O R i w 2 f S Z x d W 9 0 O y w m c X V v d D t T Z W N 0 a W 9 u M S 9 Q c m l v c i B Z Z W F y I E F k a n V z d G V k I E Z v c m 1 1 b G E g Y 2 9 1 b n R z L 0 N o Y W 5 n Z W Q g V H l w Z S 5 7 Q W R q I C 0 g N S 0 x N y B w b 3 A s N 3 0 m c X V v d D s s J n F 1 b 3 Q 7 U 2 V j d G l v b j E v U H J p b 3 I g W W V h c i B B Z G p 1 c 3 R l Z C B G b 3 J t d W x h I G N v d W 5 0 c y 9 D a G F u Z 2 V k I F R 5 c G U u e 0 F k a i B w b 3 Z l c n R 5 L D h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V G 9 0 Y W w g R m 9 y b X V s Y S B D b 3 V u d C B E T 0 U s M T B 9 J n F 1 b 3 Q 7 L C Z x d W 9 0 O 1 N l Y 3 R p b 2 4 x L 1 B y a W 9 y I F l l Y X I g Q W R q d X N 0 Z W Q g R m 9 y b X V s Y S B j b 3 V u d H M v Q 2 h h b m d l Z C B U e X B l L n t B Z G o g c G 9 2 Z X J 0 e S B w Z X J j Z W 5 0 Y W d l L D E x f S Z x d W 9 0 O y w m c X V v d D t T Z W N 0 a W 9 u M S 9 Q c m l v c i B Z Z W F y I E F k a n V z d G V k I E Z v c m 1 1 b G E g Y 2 9 1 b n R z L 0 l u a X R p Y W x f Y W R q d X N 0 Z W R f Z m 9 y b X V s Y V 9 j b 3 V u d F 9 U Y W J s Z S 5 7 Q k F T S U M g Z W x p Z 2 l i a W x p d H k s M T J 9 J n F 1 b 3 Q 7 L C Z x d W 9 0 O 1 N l Y 3 R p b 2 4 x L 1 B y a W 9 y I F l l Y X I g Q W R q d X N 0 Z W Q g R m 9 y b X V s Y S B j b 3 V u d H M v S W 5 p d G l h b F 9 h Z G p 1 c 3 R l Z F 9 m b 3 J t d W x h X 2 N v d W 5 0 X 1 R h Y m x l L n t D b 2 5 j L i B F b G l n a W d p Y m l s a X R 5 L D E z f S Z x d W 9 0 O y w m c X V v d D t T Z W N 0 a W 9 u M S 9 Q c m l v c i B Z Z W F y I E F k a n V z d G V k I E Z v c m 1 1 b G E g Y 2 9 1 b n R z L 0 l u a X R p Y W x f Y W R q d X N 0 Z W R f Z m 9 y b X V s Y V 9 j b 3 V u d F 9 U Y W J s Z S 5 7 V G F y Z 2 V 0 Z W Q g R W x p Z 2 l i a W x p d H k s M T R 9 J n F 1 b 3 Q 7 L C Z x d W 9 0 O 1 N l Y 3 R p b 2 4 x L 1 B y a W 9 y I F l l Y X I g Q W R q d X N 0 Z W Q g R m 9 y b X V s Y S B j b 3 V u d H M v S W 5 p d G l h b F 9 h Z G p 1 c 3 R l Z F 9 m b 3 J t d W x h X 2 N v d W 5 0 X 1 R h Y m x l L n t F R k l H I G V s a W d p Y m l s a X R 5 L D E 1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U H J p b 3 I g W W V h c i B B Z G p 1 c 3 R l Z C B G b 3 J t d W x h I G N v d W 5 0 c y 9 D a G F u Z 2 V k I F R 5 c G U u e 0 x F Q U l E L D B 9 J n F 1 b 3 Q 7 L C Z x d W 9 0 O 1 N l Y 3 R p b 2 4 x L 1 B y a W 9 y I F l l Y X I g Q W R q d X N 0 Z W Q g R m 9 y b X V s Y S B j b 3 V u d H M v Q 2 h h b m d l Z C B U e X B l L n t M R U F O Q U 1 F L D F 9 J n F 1 b 3 Q 7 L C Z x d W 9 0 O 1 N l Y 3 R p b 2 4 x L 1 B y a W 9 y I F l l Y X I g Q W R q d X N 0 Z W Q g R m 9 y b X V s Y S B j b 3 V u d H M v Q 2 h h b m d l Z C B U e X B l L n t T Z W 5 k a W 5 n T E V B a W Q s M n 0 m c X V v d D s s J n F 1 b 3 Q 7 U 2 V j d G l v b j E v U H J p b 3 I g W W V h c i B B Z G p 1 c 3 R l Z C B G b 3 J t d W x h I G N v d W 5 0 c y 9 D a G F u Z 2 V k I F R 5 c G U u e 0 5 F R y 4 g Y W R q L D N 9 J n F 1 b 3 Q 7 L C Z x d W 9 0 O 1 N l Y 3 R p b 2 4 x L 1 B y a W 9 y I F l l Y X I g Q W R q d X N 0 Z W Q g R m 9 y b X V s Y S B j b 3 V u d H M v Q 2 h h b m d l Z C B U e X B l L n t B Z G o g R E V M L i w 0 f S Z x d W 9 0 O y w m c X V v d D t T Z W N 0 a W 9 u M S 9 Q c m l v c i B Z Z W F y I E F k a n V z d G V k I E Z v c m 1 1 b G E g Y 2 9 1 b n R z L 0 N o Y W 5 n Z W Q g V H l w Z S 5 7 Q W R q I E Z v c 3 R l c i w 1 f S Z x d W 9 0 O y w m c X V v d D t T Z W N 0 a W 9 u M S 9 Q c m l v c i B Z Z W F y I E F k a n V z d G V k I E Z v c m 1 1 b G E g Y 2 9 1 b n R z L 0 N o Y W 5 n Z W Q g V H l w Z S 5 7 Q W R q I F R B T k Y s N n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c G 9 2 Z X J 0 e S w 4 f S Z x d W 9 0 O y w m c X V v d D t T Z W N 0 a W 9 u M S 9 Q c m l v c i B Z Z W F y I E F k a n V z d G V k I E Z v c m 1 1 b G E g Y 2 9 1 b n R z L 0 N o Y W 5 n Z W Q g V H l w Z S 5 7 Q W R q I F R v d G F s I G Z v c m 1 1 b G E g Y 2 9 1 b n Q s O X 0 m c X V v d D s s J n F 1 b 3 Q 7 U 2 V j d G l v b j E v U H J p b 3 I g W W V h c i B B Z G p 1 c 3 R l Z C B G b 3 J t d W x h I G N v d W 5 0 c y 9 D a G F u Z 2 V k I F R 5 c G U u e 1 R v d G F s I E Z v c m 1 1 b G E g Q 2 9 1 b n Q g R E 9 F L D E w f S Z x d W 9 0 O y w m c X V v d D t T Z W N 0 a W 9 u M S 9 Q c m l v c i B Z Z W F y I E F k a n V z d G V k I E Z v c m 1 1 b G E g Y 2 9 1 b n R z L 0 N o Y W 5 n Z W Q g V H l w Z S 5 7 Q W R q I H B v d m V y d H k g c G V y Y 2 V u d G F n Z S w x M X 0 m c X V v d D s s J n F 1 b 3 Q 7 U 2 V j d G l v b j E v U H J p b 3 I g W W V h c i B B Z G p 1 c 3 R l Z C B G b 3 J t d W x h I G N v d W 5 0 c y 9 J b m l 0 a W F s X 2 F k a n V z d G V k X 2 Z v c m 1 1 b G F f Y 2 9 1 b n R f V G F i b G U u e 0 J B U 0 l D I G V s a W d p Y m l s a X R 5 L D E y f S Z x d W 9 0 O y w m c X V v d D t T Z W N 0 a W 9 u M S 9 Q c m l v c i B Z Z W F y I E F k a n V z d G V k I E Z v c m 1 1 b G E g Y 2 9 1 b n R z L 0 l u a X R p Y W x f Y W R q d X N 0 Z W R f Z m 9 y b X V s Y V 9 j b 3 V u d F 9 U Y W J s Z S 5 7 Q 2 9 u Y y 4 g R W x p Z 2 l n a W J p b G l 0 e S w x M 3 0 m c X V v d D s s J n F 1 b 3 Q 7 U 2 V j d G l v b j E v U H J p b 3 I g W W V h c i B B Z G p 1 c 3 R l Z C B G b 3 J t d W x h I G N v d W 5 0 c y 9 J b m l 0 a W F s X 2 F k a n V z d G V k X 2 Z v c m 1 1 b G F f Y 2 9 1 b n R f V G F i b G U u e 1 R h c m d l d G V k I E V s a W d p Y m l s a X R 5 L D E 0 f S Z x d W 9 0 O y w m c X V v d D t T Z W N 0 a W 9 u M S 9 Q c m l v c i B Z Z W F y I E F k a n V z d G V k I E Z v c m 1 1 b G E g Y 2 9 1 b n R z L 0 l u a X R p Y W x f Y W R q d X N 0 Z W R f Z m 9 y b X V s Y V 9 j b 3 V u d F 9 U Y W J s Z S 5 7 R U Z J R y B l b G l n a W J p b G l 0 e S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a W 9 y J T I w W W V h c i U y M E F k a n V z d G V k J T I w R m 9 y b X V s Y S U y M G N v d W 5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G U l B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V 4 c G F u Z G V k J T I w R l J Q T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D Q 0 R E R C U y R k x F Q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F b m F i b G V k I i B W Y W x 1 Z T 0 i b D A i I C 8 + P E V u d H J 5 I F R 5 c G U 9 I k l z U H J p d m F 0 Z S I g V m F s d W U 9 I m w w I i A v P j x F b n R y e S B U e X B l P S J R d W V y e U d y b 3 V w S U Q i I F Z h b H V l P S J z M T E x Y 2 E 4 M D g t M D V l Z C 0 0 N T k 3 L W I 1 M j I t Z j F k N j k w Z G V l N T k w I i A v P j x F b n R y e S B U e X B l P S J S Z W N v d m V y e V R h c m d l d F N o Z W V 0 I i B W Y W x 1 Z T 0 i c 3 N 1 b W l m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x v Y W R l Z F R v Q W 5 h b H l z a X N T Z X J 2 a W N l c y I g V m F s d W U 9 I m w w I i A v P j x F b n R y e S B U e X B l P S J R d W V y e U l E I i B W Y W x 1 Z T 0 i c z d j Y T N m M G F k L T F h N G I t N D R k O S 1 i Y z U x L T J h M D J l N j M z M m N k Y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A i I C 8 + P E V u d H J 5 I F R 5 c G U 9 I k F k Z G V k V G 9 E Y X R h T W 9 k Z W w i I F Z h b H V l P S J s M S I g L z 4 8 R W 5 0 c n k g V H l w Z T 0 i R m l s b E x h c 3 R V c G R h d G V k I i B W Y W x 1 Z T 0 i Z D I w M j U t M D U t M j J U M T g 6 M T I 6 N T g u N D M 3 N T g 5 N F o i I C 8 + P E V u d H J 5 I F R 5 c G U 9 I k Z p b G x D b 2 x 1 b W 5 U e X B l c y I g V m F s d W U 9 I n N C Z 1 V G I i A v P j x F b n R y e S B U e X B l P S J G a W x s Q 2 9 s d W 1 u T m F t Z X M i I F Z h b H V l P S J z W y Z x d W 9 0 O 1 N l b m R p b m c g R G l z d H J p Y 3 Q g Q 0 N E R E Q m c X V v d D s s J n F 1 b 3 Q 7 U 3 V t V G 9 0 Y W x T d H V k Z W 5 0 c y B p b i B w b 3 Z l c n R 5 J n F 1 b 3 Q 7 L C Z x d W 9 0 O 1 N 1 b V R v d G F s U 3 R 1 Z G V u d H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s m c X V v d D t T Z W 5 k a W 5 n I E R p c 3 R y a W N 0 I E N D R E R E J n F 1 b 3 Q 7 X S w m c X V v d D t x d W V y e V J l b G F 0 a W 9 u c 2 h p c H M m c X V v d D s 6 W 1 0 s J n F 1 b 3 Q 7 Y 2 9 s d W 1 u S W R l b n R p d G l l c y Z x d W 9 0 O z p b J n F 1 b 3 Q 7 U 2 V j d G l v b j E v c 3 V t a W Y v R 3 J v d X B l Z C B S b 3 d z L n t T Z W 5 k a W 5 n I E R p c 3 R y a W N 0 I E N D R E R E L D B 9 J n F 1 b 3 Q 7 L C Z x d W 9 0 O 1 N l Y 3 R p b 2 4 x L 3 N 1 b W l m L 0 d y b 3 V w Z W Q g U m 9 3 c y 5 7 U 3 V t V G 9 0 Y W x T d H V k Z W 5 0 c y B p b i B w b 3 Z l c n R 5 L D F 9 J n F 1 b 3 Q 7 L C Z x d W 9 0 O 1 N l Y 3 R p b 2 4 x L 3 N 1 b W l m L 0 d y b 3 V w Z W Q g U m 9 3 c y 5 7 U 3 V t V G 9 0 Y W x T d H V k Z W 5 0 c y w y f S Z x d W 9 0 O 1 0 s J n F 1 b 3 Q 7 Q 2 9 s d W 1 u Q 2 9 1 b n Q m c X V v d D s 6 M y w m c X V v d D t L Z X l D b 2 x 1 b W 5 O Y W 1 l c y Z x d W 9 0 O z p b J n F 1 b 3 Q 7 U 2 V u Z G l u Z y B E a X N 0 c m l j d C B D Q 0 R E R C Z x d W 9 0 O 1 0 s J n F 1 b 3 Q 7 Q 2 9 s d W 1 u S W R l b n R p d G l l c y Z x d W 9 0 O z p b J n F 1 b 3 Q 7 U 2 V j d G l v b j E v c 3 V t a W Y v R 3 J v d X B l Z C B S b 3 d z L n t T Z W 5 k a W 5 n I E R p c 3 R y a W N 0 I E N D R E R E L D B 9 J n F 1 b 3 Q 7 L C Z x d W 9 0 O 1 N l Y 3 R p b 2 4 x L 3 N 1 b W l m L 0 d y b 3 V w Z W Q g U m 9 3 c y 5 7 U 3 V t V G 9 0 Y W x T d H V k Z W 5 0 c y B p b i B w b 3 Z l c n R 5 L D F 9 J n F 1 b 3 Q 7 L C Z x d W 9 0 O 1 N l Y 3 R p b 2 4 x L 3 N 1 b W l m L 0 d y b 3 V w Z W Q g U m 9 3 c y 5 7 U 3 V t V G 9 0 Y W x T d H V k Z W 5 0 c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3 V t a W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V 4 c G F u Z G V k J T I w R l J Q T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X h w Y W 5 k Z W Q l M j B G U l B M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V 4 c G F u Z G V k J T I w Q 0 N E R E Q l M k Z M R U F p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d y b 3 V w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1 l c m d l Z C U y M F F 1 Z X J p Z X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V 4 c G F u Z G V k J T I w c 3 V t a W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F R h c m d l d C I g V m F s d W U 9 I n N B c 3 N 1 b X B 0 a W 9 u c y I g L z 4 8 R W 5 0 c n k g V H l w Z T 0 i U X V l c n l J R C I g V m F s d W U 9 I n M 0 N T M x M j B k Y S 1 i M T l m L T Q 5 M z k t Y m M y Z i 0 5 N T c 1 O G F j M 2 Q x Y z E i I C 8 + P E V u d H J 5 I F R 5 c G U 9 I l F 1 Z X J 5 R 3 J v d X B J R C I g V m F s d W U 9 I n N j M z l m Y j E 4 Z i 1 h N T c 3 L T Q w O D c t Y m Z j N y 1 h M T V m Y W E 4 N D k x M j Q i I C 8 + P E V u d H J 5 I F R 5 c G U 9 I l J l Y 2 9 2 Z X J 5 V G F y Z 2 V 0 U 2 h l Z X Q i I F Z h b H V l P S J z Q X N z d W 1 w d G l v b n M g I i A v P j x F b n R y e S B U e X B l P S J S Z W N v d m V y e V R h c m d l d E N v b H V t b i I g V m F s d W U 9 I m w z I i A v P j x F b n R y e S B U e X B l P S J S Z W N v d m V y e V R h c m d l d F J v d y I g V m F s d W U 9 I m w x I i A v P j x F b n R y e S B U e X B l P S J G a W x s T G F z d F V w Z G F 0 Z W Q i I F Z h b H V l P S J k M j A y N S 0 w N S 0 y M l Q x O D o x M j o 1 O C 4 0 N D Q 1 N j U 4 W i I g L z 4 8 R W 5 0 c n k g V H l w Z T 0 i R m l s b E N v b H V t b l R 5 c G V z I i B W Y W x 1 Z T 0 i c 0 F B Q U F B Q U F B Q l E 9 P S I g L z 4 8 R W 5 0 c n k g V H l w Z T 0 i R m l s b E N v b H V t b k 5 h b W V z I i B W Y W x 1 Z T 0 i c 1 s m c X V v d D t D b 2 x 1 b W 4 x J n F 1 b 3 Q 7 L C Z x d W 9 0 O 0 J B U 0 l D I E d S Q U 5 U U y Z x d W 9 0 O y w m c X V v d D t D T 0 5 D R U 5 U U k F U S U 9 O I E d S Q U 5 U U y Z x d W 9 0 O y w m c X V v d D t U Q V J H R V R F R C B H U k F O V F M m c X V v d D s s J n F 1 b 3 Q 7 R U Z J R y B H U k F O V F M m c X V v d D s s J n F 1 b 3 Q 7 V E 9 U Q U w g T E V B I E d S Q U 5 U U y Z x d W 9 0 O y w m c X V v d D t S Z X Y g R m l u I C B U L U k g U 3 R h d G U g Q W R t I C A x M D A 0 K G I p L l R J V E x F I E k s I F B B U l Q g Q S B U T 1 R B T C B M R U E g R 1 J B T l R T J n F 1 b 3 Q 7 X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1 b n Q i I F Z h b H V l P S J s M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3 N 1 b X B 0 a W 9 u c y 9 T d G F 0 Z S B U Y W J s Z S B G W S A y N S B Q c m V s X 1 N o Z W V 0 L n t D b 2 x 1 b W 4 x L D B 9 J n F 1 b 3 Q 7 L C Z x d W 9 0 O 1 N l Y 3 R p b 2 4 x L 0 F z c 3 V t c H R p b 2 5 z L 1 N 0 Y X R l I F R h Y m x l I E Z Z I D I 1 I F B y Z W x f U 2 h l Z X Q u e 0 N v b H V t b j I s M X 0 m c X V v d D s s J n F 1 b 3 Q 7 U 2 V j d G l v b j E v Q X N z d W 1 w d G l v b n M v U 3 R h d G U g V G F i b G U g R l k g M j U g U H J l b F 9 T a G V l d C 5 7 Q 2 9 s d W 1 u N C w z f S Z x d W 9 0 O y w m c X V v d D t T Z W N 0 a W 9 u M S 9 B c 3 N 1 b X B 0 a W 9 u c y 9 T d G F 0 Z S B U Y W J s Z S B G W S A y N S B Q c m V s X 1 N o Z W V 0 L n t D b 2 x 1 b W 4 2 L D V 9 J n F 1 b 3 Q 7 L C Z x d W 9 0 O 1 N l Y 3 R p b 2 4 x L 0 F z c 3 V t c H R p b 2 5 z L 1 N 0 Y X R l I F R h Y m x l I E Z Z I D I 1 I F B y Z W x f U 2 h l Z X Q u e 0 N v b H V t b j g s N 3 0 m c X V v d D s s J n F 1 b 3 Q 7 U 2 V j d G l v b j E v Q X N z d W 1 w d G l v b n M v U 3 R h d G U g V G F i b G U g R l k g M j U g U H J l b F 9 T a G V l d C 5 7 Q 2 9 s d W 1 u M T A s O X 0 m c X V v d D s s J n F 1 b 3 Q 7 U 2 V j d G l v b j E v V C 1 J I F N 0 Y X R l I E F k b S A g M T A w N C h i K S 9 D a G F u Z 2 V k I F R 5 c G U u e 1 R J V E x F I E k s I F B B U l Q g Q S B U T 1 R B T C B M R U E g R 1 J B T l R T L D F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z c 3 V t c H R p b 2 5 z L 1 N 0 Y X R l I F R h Y m x l I E Z Z I D I 1 I F B y Z W x f U 2 h l Z X Q u e 0 N v b H V t b j E s M H 0 m c X V v d D s s J n F 1 b 3 Q 7 U 2 V j d G l v b j E v Q X N z d W 1 w d G l v b n M v U 3 R h d G U g V G F i b G U g R l k g M j U g U H J l b F 9 T a G V l d C 5 7 Q 2 9 s d W 1 u M i w x f S Z x d W 9 0 O y w m c X V v d D t T Z W N 0 a W 9 u M S 9 B c 3 N 1 b X B 0 a W 9 u c y 9 T d G F 0 Z S B U Y W J s Z S B G W S A y N S B Q c m V s X 1 N o Z W V 0 L n t D b 2 x 1 b W 4 0 L D N 9 J n F 1 b 3 Q 7 L C Z x d W 9 0 O 1 N l Y 3 R p b 2 4 x L 0 F z c 3 V t c H R p b 2 5 z L 1 N 0 Y X R l I F R h Y m x l I E Z Z I D I 1 I F B y Z W x f U 2 h l Z X Q u e 0 N v b H V t b j Y s N X 0 m c X V v d D s s J n F 1 b 3 Q 7 U 2 V j d G l v b j E v Q X N z d W 1 w d G l v b n M v U 3 R h d G U g V G F i b G U g R l k g M j U g U H J l b F 9 T a G V l d C 5 7 Q 2 9 s d W 1 u O C w 3 f S Z x d W 9 0 O y w m c X V v d D t T Z W N 0 a W 9 u M S 9 B c 3 N 1 b X B 0 a W 9 u c y 9 T d G F 0 Z S B U Y W J s Z S B G W S A y N S B Q c m V s X 1 N o Z W V 0 L n t D b 2 x 1 b W 4 x M C w 5 f S Z x d W 9 0 O y w m c X V v d D t T Z W N 0 a W 9 u M S 9 U L U k g U 3 R h d G U g Q W R t I C A x M D A 0 K G I p L 0 N o Y W 5 n Z W Q g V H l w Z S 5 7 V E l U T E U g S S w g U E F S V C B B I F R P V E F M I E x F Q S B H U k F O V F M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z c 3 V t c H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1 J l b W 9 2 Z W Q l M j B U b 3 A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F 1 Z X J 5 S U Q i I F Z h b H V l P S J z Y j g z Z j M w Y j U t O D Y 3 Z i 0 0 Y m V h L W E w M j Y t M W Y x Z m F j Z D N k M j Q y I i A v P j x F b n R y e S B U e X B l P S J R d W V y e U d y b 3 V w S U Q i I F Z h b H V l P S J z Y z M 5 Z m I x O G Y t Y T U 3 N y 0 0 M D g 3 L W J m Y z c t Y T E 1 Z m F h O D Q 5 M T I 0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y a W 9 y I F l l Y X I g T m V 0 I H R v I G R p c 3 R y a W N 0 I i A v P j x F b n R y e S B U e X B l P S J G a W x s V G F y Z 2 V 0 I i B W Y W x 1 Z T 0 i c 1 R h Y m x l X 1 B y a W 9 y X 1 l l Y X J f T m V 0 X 3 R v X 2 R p c 3 R y a W N 0 I i A v P j x F b n R y e S B U e X B l P S J G a W x s T G F z d F V w Z G F 0 Z W Q i I F Z h b H V l P S J k M j A y N S 0 w N S 0 y M l Q x O D o x M j o 1 O C 4 0 N T A 1 N D Y w W i I g L z 4 8 R W 5 0 c n k g V H l w Z T 0 i R m l s b E N v b H V t b l R 5 c G V z I i B W Y W x 1 Z T 0 i c 0 J n W U Z C U V V G Q l F V R k J R V U Z B d 0 1 G I i A v P j x F b n R y e S B U e X B l P S J G a W x s Q 2 9 s d W 1 u T m F t Z X M i I F Z h b H V l P S J z W y Z x d W 9 0 O 0 x F Q U l E J n F 1 b 3 Q 7 L C Z x d W 9 0 O 0 x F Q U 5 B T U U m c X V v d D s s J n F 1 b 3 Q 7 Q m F z a W M g Q m V m b 3 J l I F N 0 Y X R l I F J l c 2 V y d m F 0 a W 9 u c y Z x d W 9 0 O y w m c X V v d D t D b 2 5 j Z W 5 0 c m F 0 a W 9 u I E J l Z m 9 y Z S B T d G F 0 Z S B S Z X N l c n Z h d G l v b n M m c X V v d D s s J n F 1 b 3 Q 7 V G F y Z 2 V 0 Z W Q g Q m V m b 3 J l I F N 0 Y X R l I F J l c 2 V y d m F 0 a W 9 u c y Z x d W 9 0 O y w m c X V v d D t F R k l H I E J l Z m 9 y Z S B T d G F 0 Z S B S Z X N l c n Z h d G l v b n M m c X V v d D s s J n F 1 b 3 Q 7 V G 9 0 Y W w g Q m V m b 3 J l I F N 0 Y X R l I F J l c 2 V y d m F 0 a W 9 u c y Z x d W 9 0 O y w m c X V v d D t B b G x v Y 2 F 0 a W 9 u I G F m d G V y I F N j a G 9 v b C B J b X B y b 3 Z l b W 5 0 I E h I J n F 1 b 3 Q 7 L C Z x d W 9 0 O 0 5 l d C B T Y 2 h v b 2 w g S W 1 w c m 9 2 Z W 1 l b n Q g d G F r Z W 4 g b 3 V 0 J n F 1 b 3 Q 7 L C Z x d W 9 0 O 1 N 0 Y X R l I E F k b W l u J n F 1 b 3 Q 7 L C Z x d W 9 0 O 0 1 P R S B S Z W R 1 Y 3 R p b 2 4 m c X V v d D s s J n F 1 b 3 Q 7 T k V U I F R P I E R J U 1 R S S U N T J n F 1 b 3 Q 7 L C Z x d W 9 0 O 0 F k a i A t I D U t M T c g c G 9 w J n F 1 b 3 Q 7 L C Z x d W 9 0 O 0 F k a i B U b 3 R h b C B m b 3 J t d W x h I G N v d W 5 0 J n F 1 b 3 Q 7 L C Z x d W 9 0 O 0 F k a i B w b 3 Z l c n R 5 I H B l c m N l b n R h Z 2 U m c X V v d D t d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D b 3 V u d C I g V m F s d W U 9 I m w z M T Y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9 y I F l l Y X I g T m V 0 I H R v I G R p c 3 R y a W N 0 L 0 N o Y W 5 n Z W Q g V H l w Z T E u e 0 x F Q U l E L D B 9 J n F 1 b 3 Q 7 L C Z x d W 9 0 O 1 N l Y 3 R p b 2 4 x L 1 B y a W 9 y I F l l Y X I g T m V 0 I H R v I G R p c 3 R y a W N 0 L 0 N o Y W 5 n Z W Q g V H l w Z S 5 7 T E V B T k F N R S w x f S Z x d W 9 0 O y w m c X V v d D t T Z W N 0 a W 9 u M S 9 Q c m l v c i B Z Z W F y I E 5 l d C B 0 b y B k a X N 0 c m l j d C 9 D a G F u Z 2 V k I F R 5 c G U u e 0 N 1 c n J l b n Q g W W V h c i B C Y X N p Y y B C Z W Z v c m U g U 3 R h d G U g U m V z Z X J 2 Y X R p b 2 5 z L D R 9 J n F 1 b 3 Q 7 L C Z x d W 9 0 O 1 N l Y 3 R p b 2 4 x L 1 B y a W 9 y I F l l Y X I g T m V 0 I H R v I G R p c 3 R y a W N 0 L 0 N o Y W 5 n Z W Q g V H l w Z S 5 7 Q 3 V y c m V u d C B Z Z W F y I E N v b m N l b n R y Y X R p b 2 4 g Q m V m b 3 J l I F N 0 Y X R l I F J l c 2 V y d m F 0 a W 9 u c y w 1 f S Z x d W 9 0 O y w m c X V v d D t T Z W N 0 a W 9 u M S 9 Q c m l v c i B Z Z W F y I E 5 l d C B 0 b y B k a X N 0 c m l j d C 9 D a G F u Z 2 V k I F R 5 c G U u e 0 N 1 c n J l b n Q g W W V h c i B U Y X J n Z X R l Z C B C Z W Z v c m U g U 3 R h d G U g U m V z Z X J 2 Y X R p b 2 5 z L D Z 9 J n F 1 b 3 Q 7 L C Z x d W 9 0 O 1 N l Y 3 R p b 2 4 x L 1 B y a W 9 y I F l l Y X I g T m V 0 I H R v I G R p c 3 R y a W N 0 L 0 N o Y W 5 n Z W Q g V H l w Z S 5 7 Q 3 V y c m V u d C B Z Z W F y I E V G S U c g Q m V m b 3 J l I F N 0 Y X R l I F J l c 2 V y d m F 0 a W 9 u c y w 3 f S Z x d W 9 0 O y w m c X V v d D t T Z W N 0 a W 9 u M S 9 Q c m l v c i B Z Z W F y I E 5 l d C B 0 b y B k a X N 0 c m l j d C 9 D a G F u Z 2 V k I F R 5 c G U u e 0 N 1 c n J l b n Q g W W V h c i B U b 3 R h b C B C Z W Z v c m U g U 3 R h d G U g U m V z Z X J 2 Y X R p b 2 5 z L D h 9 J n F 1 b 3 Q 7 L C Z x d W 9 0 O 1 N l Y 3 R p b 2 4 x L 1 B y a W 9 y I F l l Y X I g T m V 0 I H R v I G R p c 3 R y a W N 0 L 0 N o Y W 5 n Z W Q g V H l w Z S 5 7 Q W x s b 2 N h d G l v b l 8 x M C w y M 3 0 m c X V v d D s s J n F 1 b 3 Q 7 U 2 V j d G l v b j E v U H J p b 3 I g W W V h c i B O Z X Q g d G 8 g Z G l z d H J p Y 3 Q v Q 2 h h b m d l Z C B U e X B l L n t O Z X Q g U 2 N o b 2 9 s I E l t c H J v d m V t Z W 5 0 I H R h a 2 V u I G 9 1 d C w y N H 0 m c X V v d D s s J n F 1 b 3 Q 7 U 2 V j d G l v b j E v U H J p b 3 I g W W V h c i B O Z X Q g d G 8 g Z G l z d H J p Y 3 Q v Q 2 h h b m d l Z C B U e X B l L n t T d G F 0 Z S B B Z G 1 p b i w y N X 0 m c X V v d D s s J n F 1 b 3 Q 7 U 2 V j d G l v b j E v U H J p b 3 I g W W V h c i B O Z X Q g d G 8 g Z G l z d H J p Y 3 Q v Q 2 h h b m d l Z C B U e X B l L n t N T 0 U g U m V k d W N 0 a W 9 u L D M w f S Z x d W 9 0 O y w m c X V v d D t T Z W N 0 a W 9 u M S 9 Q c m l v c i B Z Z W F y I E 5 l d C B 0 b y B k a X N 0 c m l j d C 9 D a G F u Z 2 V k I F R 5 c G U u e 0 5 F V C B U T y B E S V N U U k l D U y w z M X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Q W R q I H B v d m V y d H k g c G V y Y 2 V u d G F n Z S w x M X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B y a W 9 y I F l l Y X I g T m V 0 I H R v I G R p c 3 R y a W N 0 L 0 N o Y W 5 n Z W Q g V H l w Z T E u e 0 x F Q U l E L D B 9 J n F 1 b 3 Q 7 L C Z x d W 9 0 O 1 N l Y 3 R p b 2 4 x L 1 B y a W 9 y I F l l Y X I g T m V 0 I H R v I G R p c 3 R y a W N 0 L 0 N o Y W 5 n Z W Q g V H l w Z S 5 7 T E V B T k F N R S w x f S Z x d W 9 0 O y w m c X V v d D t T Z W N 0 a W 9 u M S 9 Q c m l v c i B Z Z W F y I E 5 l d C B 0 b y B k a X N 0 c m l j d C 9 D a G F u Z 2 V k I F R 5 c G U u e 0 N 1 c n J l b n Q g W W V h c i B C Y X N p Y y B C Z W Z v c m U g U 3 R h d G U g U m V z Z X J 2 Y X R p b 2 5 z L D R 9 J n F 1 b 3 Q 7 L C Z x d W 9 0 O 1 N l Y 3 R p b 2 4 x L 1 B y a W 9 y I F l l Y X I g T m V 0 I H R v I G R p c 3 R y a W N 0 L 0 N o Y W 5 n Z W Q g V H l w Z S 5 7 Q 3 V y c m V u d C B Z Z W F y I E N v b m N l b n R y Y X R p b 2 4 g Q m V m b 3 J l I F N 0 Y X R l I F J l c 2 V y d m F 0 a W 9 u c y w 1 f S Z x d W 9 0 O y w m c X V v d D t T Z W N 0 a W 9 u M S 9 Q c m l v c i B Z Z W F y I E 5 l d C B 0 b y B k a X N 0 c m l j d C 9 D a G F u Z 2 V k I F R 5 c G U u e 0 N 1 c n J l b n Q g W W V h c i B U Y X J n Z X R l Z C B C Z W Z v c m U g U 3 R h d G U g U m V z Z X J 2 Y X R p b 2 5 z L D Z 9 J n F 1 b 3 Q 7 L C Z x d W 9 0 O 1 N l Y 3 R p b 2 4 x L 1 B y a W 9 y I F l l Y X I g T m V 0 I H R v I G R p c 3 R y a W N 0 L 0 N o Y W 5 n Z W Q g V H l w Z S 5 7 Q 3 V y c m V u d C B Z Z W F y I E V G S U c g Q m V m b 3 J l I F N 0 Y X R l I F J l c 2 V y d m F 0 a W 9 u c y w 3 f S Z x d W 9 0 O y w m c X V v d D t T Z W N 0 a W 9 u M S 9 Q c m l v c i B Z Z W F y I E 5 l d C B 0 b y B k a X N 0 c m l j d C 9 D a G F u Z 2 V k I F R 5 c G U u e 0 N 1 c n J l b n Q g W W V h c i B U b 3 R h b C B C Z W Z v c m U g U 3 R h d G U g U m V z Z X J 2 Y X R p b 2 5 z L D h 9 J n F 1 b 3 Q 7 L C Z x d W 9 0 O 1 N l Y 3 R p b 2 4 x L 1 B y a W 9 y I F l l Y X I g T m V 0 I H R v I G R p c 3 R y a W N 0 L 0 N o Y W 5 n Z W Q g V H l w Z S 5 7 Q W x s b 2 N h d G l v b l 8 x M C w y M 3 0 m c X V v d D s s J n F 1 b 3 Q 7 U 2 V j d G l v b j E v U H J p b 3 I g W W V h c i B O Z X Q g d G 8 g Z G l z d H J p Y 3 Q v Q 2 h h b m d l Z C B U e X B l L n t O Z X Q g U 2 N o b 2 9 s I E l t c H J v d m V t Z W 5 0 I H R h a 2 V u I G 9 1 d C w y N H 0 m c X V v d D s s J n F 1 b 3 Q 7 U 2 V j d G l v b j E v U H J p b 3 I g W W V h c i B O Z X Q g d G 8 g Z G l z d H J p Y 3 Q v Q 2 h h b m d l Z C B U e X B l L n t T d G F 0 Z S B B Z G 1 p b i w y N X 0 m c X V v d D s s J n F 1 b 3 Q 7 U 2 V j d G l v b j E v U H J p b 3 I g W W V h c i B O Z X Q g d G 8 g Z G l z d H J p Y 3 Q v Q 2 h h b m d l Z C B U e X B l L n t N T 0 U g U m V k d W N 0 a W 9 u L D M w f S Z x d W 9 0 O y w m c X V v d D t T Z W N 0 a W 9 u M S 9 Q c m l v c i B Z Z W F y I E 5 l d C B 0 b y B k a X N 0 c m l j d C 9 D a G F u Z 2 V k I F R 5 c G U u e 0 5 F V C B U T y B E S V N U U k l D U y w z M X 0 m c X V v d D s s J n F 1 b 3 Q 7 U 2 V j d G l v b j E v U H J p b 3 I g W W V h c i B B Z G p 1 c 3 R l Z C B G b 3 J t d W x h I G N v d W 5 0 c y 9 D a G F u Z 2 V k I F R 5 c G U u e 0 F k a i A t I D U t M T c g c G 9 w L D d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Q W R q I H B v d m V y d H k g c G V y Y 2 V u d G F n Z S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Y m V l Y j M x Z D A t Y z Q z N i 0 0 N 2 I 5 L T g 0 M G Y t Y z h i O W Y w Z j Q w M T U 4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U t M D U t M j J U M T g 6 M T I 6 N T k u O D I 4 M j k x M F o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l d i B G a W 4 g I F Q t S S B T d G F 0 Z S B B Z G 0 g I D E w M D Q o Y i k v Q 2 h h b m d l Z C B U e X B l M S 5 7 Q 2 9 s d W 1 u M S w w f S Z x d W 9 0 O y w m c X V v d D t T Z W N 0 a W 9 u M S 9 S Z X Y g R m l u I C B U L U k g U 3 R h d G U g Q W R t I C A x M D A 0 K G I p L 0 N o Y W 5 n Z W Q g V H l w Z T E u e 1 R J V E x F I E k s I F B B U l Q g Q S B U T 1 R B T C B M R U E g R 1 J B T l R T L D F 9 J n F 1 b 3 Q 7 L C Z x d W 9 0 O 1 N l Y 3 R p b 2 4 x L 1 J l d i B G a W 4 g I F Q t S S B T d G F 0 Z S B B Z G 0 g I D E w M D Q o Y i k v Q 2 h h b m d l Z C B U e X B l M S 5 7 V E l U T E U g S S w g U E F S V C B D I E 1 J R 1 J B T l Q g R U R V Q 0 F U S U 9 O I C w y f S Z x d W 9 0 O y w m c X V v d D t T Z W N 0 a W 9 u M S 9 S Z X Y g R m l u I C B U L U k g U 3 R h d G U g Q W R t I C A x M D A 0 K G I p L 0 N o Y W 5 n Z W Q g V H l w Z T E u e 1 R J V E x F I E k s I F B B U l Q g R C w g U 1 V C U E F S V C A x I F N U Q V R F I E 5 F R 0 x F Q 1 R F R C B c d T A w M j Y g R E V M S U 5 R V U V O V C B Q U k 9 H U k F N I C w z f S Z x d W 9 0 O y w m c X V v d D t T Z W N 0 a W 9 u M S 9 S Z X Y g R m l u I C B U L U k g U 3 R h d G U g Q W R t I C A x M D A 0 K G I p L 0 N o Y W 5 n Z W Q g V H l w Z T E u e 1 R P V E F M I F R J V E x F I E k s I F B B U l R T I E E s I E M s I F x 1 M D A y N i B E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J l d i B G a W 4 g I F Q t S S B T d G F 0 Z S B B Z G 0 g I D E w M D Q o Y i k v Q 2 h h b m d l Z C B U e X B l M S 5 7 Q 2 9 s d W 1 u M S w w f S Z x d W 9 0 O y w m c X V v d D t T Z W N 0 a W 9 u M S 9 S Z X Y g R m l u I C B U L U k g U 3 R h d G U g Q W R t I C A x M D A 0 K G I p L 0 N o Y W 5 n Z W Q g V H l w Z T E u e 1 R J V E x F I E k s I F B B U l Q g Q S B U T 1 R B T C B M R U E g R 1 J B T l R T L D F 9 J n F 1 b 3 Q 7 L C Z x d W 9 0 O 1 N l Y 3 R p b 2 4 x L 1 J l d i B G a W 4 g I F Q t S S B T d G F 0 Z S B B Z G 0 g I D E w M D Q o Y i k v Q 2 h h b m d l Z C B U e X B l M S 5 7 V E l U T E U g S S w g U E F S V C B D I E 1 J R 1 J B T l Q g R U R V Q 0 F U S U 9 O I C w y f S Z x d W 9 0 O y w m c X V v d D t T Z W N 0 a W 9 u M S 9 S Z X Y g R m l u I C B U L U k g U 3 R h d G U g Q W R t I C A x M D A 0 K G I p L 0 N o Y W 5 n Z W Q g V H l w Z T E u e 1 R J V E x F I E k s I F B B U l Q g R C w g U 1 V C U E F S V C A x I F N U Q V R F I E 5 F R 0 x F Q 1 R F R C B c d T A w M j Y g R E V M S U 5 R V U V O V C B Q U k 9 H U k F N I C w z f S Z x d W 9 0 O y w m c X V v d D t T Z W N 0 a W 9 u M S 9 S Z X Y g R m l u I C B U L U k g U 3 R h d G U g Q W R t I C A x M D A 0 K G I p L 0 N o Y W 5 n Z W Q g V H l w Z T E u e 1 R P V E F M I F R J V E x F I E k s I F B B U l R T I E E s I E M s I F x 1 M D A y N i B E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R X h w Y W 5 k Z W Q l M j B S Z X Y l M j B G a W 4 l M j A l M j B U L U k l M j B T d G F 0 Z S U y M E F k b S U y M C U y M D E w M D Q o Y i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d y b 3 V w S U Q i I F Z h b H V l P S J z Y z M 5 Z m I x O G Y t Y T U 3 N y 0 0 M D g 3 L W J m Y z c t Y T E 1 Z m F h O D Q 5 M T I 0 I i A v P j x F b n R y e S B U e X B l P S J S Z W N v d m V y e V R h c m d l d F J v d y I g V m F s d W U 9 I m w x I i A v P j x F b n R y e S B U e X B l P S J S Z W N v d m V y e V R h c m d l d E N v b H V t b i I g V m F s d W U 9 I m w y I i A v P j x F b n R y e S B U e X B l P S J S Z W N v d m V y e V R h c m d l d F N o Z W V 0 I i B W Y W x 1 Z T 0 i c 0 F z c 3 V t c H R p b 2 5 z I C I g L z 4 8 R W 5 0 c n k g V H l w Z T 0 i T G 9 h Z G V k V G 9 B b m F s e X N p c 1 N l c n Z p Y 2 V z I i B W Y W x 1 Z T 0 i b D A i I C 8 + P E V u d H J 5 I F R 5 c G U 9 I k Z p b G x U Y X J n Z X Q i I F Z h b H V l P S J z V G l 0 b G U i I C 8 + P E V u d H J 5 I F R 5 c G U 9 I l F 1 Z X J 5 S U Q i I F Z h b H V l P S J z M z k 5 Z T Y 2 N W Y t O T Q 4 Z S 0 0 Z G U x L T g 0 Y 2 E t O D U x N T c 0 Y j Z l Y T R h I i A v P j x F b n R y e S B U e X B l P S J G a W x s T G F z d F V w Z G F 0 Z W Q i I F Z h b H V l P S J k M j A y N S 0 w N S 0 y M l Q x O D o x M j o 1 O C 4 0 N T Y 1 M j U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c 9 P S I g L z 4 8 R W 5 0 c n k g V H l w Z T 0 i R m l s b E N v d W 5 0 I i B W Y W x 1 Z T 0 i b D E i I C 8 + P E V u d H J 5 I F R 5 c G U 9 I k Z p b G x D b 2 x 1 b W 5 O Y W 1 l c y I g V m F s d W U 9 I n N b J n F 1 b 3 Q 7 Q 2 9 s d W 1 u M S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0 b G U v Q 2 h h b m d l Z C B U e X B l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p d G x l L 0 N o Y W 5 n Z W Q g V H l w Z S 5 7 Q 2 9 s d W 1 u M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l 0 b G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x v b 2 t i Y W N r P C 9 J d G V t U G F 0 a D 4 8 L 0 l 0 Z W 1 M b 2 N h d G l v b j 4 8 U 3 R h Y m x l R W 5 0 c m l l c z 4 8 R W 5 0 c n k g V H l w Z T 0 i S X N Q c m l 2 Y X R l I i B W Y W x 1 Z T 0 i b D A i I C 8 + P E V u d H J 5 I F R 5 c G U 9 I l F 1 Z X J 5 R 3 J v d X B J R C I g V m F s d W U 9 I n N j M z l m Y j E 4 Z i 1 h N T c 3 L T Q w O D c t Y m Z j N y 1 h M T V m Y W E 4 N D k x M j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Y j A x N D l i Z j I t M D U x M C 0 0 N j A 5 L W F j N z I t Y 2 Y y N T I 4 M W Q 4 N j I 0 I i A v P j x F b n R y e S B U e X B l P S J G a W x s T G F z d F V w Z G F 0 Z W Q i I F Z h b H V l P S J k M j A y N S 0 w N S 0 y M l Q x O D o x M j o 1 O C 4 0 N j E 1 M D k 1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Z R i I g L z 4 8 R W 5 0 c n k g V H l w Z T 0 i R m l s b E N v d W 5 0 I i B W Y W x 1 Z T 0 i b D M x N y I g L z 4 8 R W 5 0 c n k g V H l w Z T 0 i R m l s b E N v b H V t b k 5 h b W V z I i B W Y W x 1 Z T 0 i c 1 s m c X V v d D t M R U F J R C Z x d W 9 0 O y w m c X V v d D t N b 3 N 0 I H J l Y 2 V u d C B l b G l n a W J p b G l 0 e S B 5 Z W F y J n F 1 b 3 Q 7 L C Z x d W 9 0 O 0 N v b m M g Y W x s b 2 N h d G l v b i Z x d W 9 0 O 1 0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Q 2 9 u Y y B s b 2 9 r Y m F j a y 9 D a G F u Z 2 V k I F R 5 c G U u e 0 x F Q U l E L D B 9 J n F 1 b 3 Q 7 L C Z x d W 9 0 O 1 N l Y 3 R p b 2 4 x L 0 N v b m M g b G 9 v a 2 J h Y 2 s v Q 2 h h b m d l Z C B U e X B l L n t N b 3 N 0 I H J l Y 2 V u d C B l b G l n a W J p b G l 0 e S B 5 Z W F y L D F 9 J n F 1 b 3 Q 7 L C Z x d W 9 0 O 1 N l Y 3 R p b 2 4 x L 0 N v b m M g b G 9 v a 2 J h Y 2 s v Q 2 h h b m d l Z C B U e X B l L n t D b 2 5 j I G F s b G 9 j Y X R p b 2 4 s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m M l M j B s b 2 9 r Y m F j a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G a W x s R W 5 h Y m x l Z C I g V m F s d W U 9 I m w x I i A v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x N j I 2 M T F k O C 1 m M j c 0 L T Q 1 N T Q t O W N j N y 0 y Z T k 4 N m I 5 Z m I 3 Y j I i I C 8 + P E V u d H J 5 I F R 5 c G U 9 I k Z p b G x U b 0 R h d G F N b 2 R l b E V u Y W J s Z W Q i I F Z h b H V l P S J s M S I g L z 4 8 R W 5 0 c n k g V H l w Z T 0 i R m l s b F R h c m d l d C I g V m F s d W U 9 I n N J b m l 0 a W F s X 2 F k a n V z d G V k X 2 Z v c m 1 1 b G F f Y 2 9 1 b n Q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U i I C 8 + P E V u d H J 5 I F R 5 c G U 9 I k F k Z G V k V G 9 E Y X R h T W 9 k Z W w i I F Z h b H V l P S J s M S I g L z 4 8 R W 5 0 c n k g V H l w Z T 0 i R m l s b E x h c 3 R V c G R h d G V k I i B W Y W x 1 Z T 0 i Z D I w M j U t M D U t M j J U M T g 6 M T I 6 N T g u N D Y 3 N D g 5 M 1 o i I C 8 + P E V u d H J 5 I F R 5 c G U 9 I k Z p b G x D b 2 x 1 b W 5 U e X B l c y I g V m F s d W U 9 I n N B Q U F H Q l F V R k J R V U Z C U V V F Q U F B Q U F B P T 0 i I C 8 + P E V u d H J 5 I F R 5 c G U 9 I k Z p b G x D b 2 x 1 b W 5 O Y W 1 l c y I g V m F s d W U 9 I n N b J n F 1 b 3 Q 7 T E V B S U Q m c X V v d D s s J n F 1 b 3 Q 7 T E V B T k F N R S Z x d W 9 0 O y w m c X V v d D t T Z W 5 k a W 5 n T E V B a W Q m c X V v d D s s J n F 1 b 3 Q 7 T k V H L i B h Z G o m c X V v d D s s J n F 1 b 3 Q 7 Q W R q I E R F T C 4 m c X V v d D s s J n F 1 b 3 Q 7 Q W R q I E Z v c 3 R l c i Z x d W 9 0 O y w m c X V v d D t B Z G o g V E F O R i Z x d W 9 0 O y w m c X V v d D t B Z G o g L S A 1 L T E 3 I H B v c C Z x d W 9 0 O y w m c X V v d D t B Z G o g c G 9 2 Z X J 0 e S Z x d W 9 0 O y w m c X V v d D t B Z G o g V G 9 0 Y W w g Z m 9 y b X V s Y S B j b 3 V u d C Z x d W 9 0 O y w m c X V v d D t U b 3 R h b C B G b 3 J t d W x h I E N v d W 5 0 I E R P R S A m c X V v d D s s J n F 1 b 3 Q 7 Q W R q I H B v d m V y d H k g c G V y Y 2 V u d G F n Z S Z x d W 9 0 O y w m c X V v d D t C Q V N J Q y B l b G l n a W J p b G l 0 e S Z x d W 9 0 O y w m c X V v d D t D b 2 5 j L i B F b G l n a W d p Y m l s a X R 5 J n F 1 b 3 Q 7 L C Z x d W 9 0 O 1 R h c m d l d G V k I E V s a W d p Y m l s a X R 5 J n F 1 b 3 Q 7 L C Z x d W 9 0 O 0 V G S U c g Z W x p Z 2 l i a W x p d H k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Q 2 9 s d W 1 u Q 2 9 1 b n Q m c X V v d D s 6 M T Y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2 h h b m d l Z C B U e X B l M S 5 7 T k V H L i B h Z G o s M 3 0 m c X V v d D s s J n F 1 b 3 Q 7 U 2 V j d G l v b j E v S W 5 p d G l h b C B h Z G p 1 c 3 R l Z C B m b 3 J t d W x h I G N v d W 5 0 L 0 N o Y W 5 n Z W Q g V H l w Z T E u e 0 F k a i B E R U w u L D R 9 J n F 1 b 3 Q 7 L C Z x d W 9 0 O 1 N l Y 3 R p b 2 4 x L 0 l u a X R p Y W w g Y W R q d X N 0 Z W Q g Z m 9 y b X V s Y S B j b 3 V u d C 9 D a G F u Z 2 V k I F R 5 c G U x L n t B Z G o g R m 9 z d G V y L D V 9 J n F 1 b 3 Q 7 L C Z x d W 9 0 O 1 N l Y 3 R p b 2 4 x L 0 l u a X R p Y W w g Y W R q d X N 0 Z W Q g Z m 9 y b X V s Y S B j b 3 V u d C 9 D a G F u Z 2 V k I F R 5 c G U x L n t B Z G o g V E F O R i w 2 f S Z x d W 9 0 O y w m c X V v d D t T Z W N 0 a W 9 u M S 9 J b m l 0 a W F s I G F k a n V z d G V k I G Z v c m 1 1 b G E g Y 2 9 1 b n Q v Q 2 h h b m d l Z C B U e X B l M S 5 7 Q W R q I C 0 g N S 0 x N y B w b 3 A s N 3 0 m c X V v d D s s J n F 1 b 3 Q 7 U 2 V j d G l v b j E v S W 5 p d G l h b C B h Z G p 1 c 3 R l Z C B m b 3 J t d W x h I G N v d W 5 0 L 0 N o Y W 5 n Z W Q g V H l w Z T E u e 0 F k a i B w b 3 Z l c n R 5 L D h 9 J n F 1 b 3 Q 7 L C Z x d W 9 0 O 1 N l Y 3 R p b 2 4 x L 0 l u a X R p Y W w g Y W R q d X N 0 Z W Q g Z m 9 y b X V s Y S B j b 3 V u d C 9 D a G F u Z 2 V k I F R 5 c G U x L n t B Z G o g V G 9 0 Y W w g Z m 9 y b X V s Y S B j b 3 V u d C w 5 f S Z x d W 9 0 O y w m c X V v d D t T Z W N 0 a W 9 u M S 9 J b m l 0 a W F s I G F k a n V z d G V k I G Z v c m 1 1 b G E g Y 2 9 1 b n Q v Q 2 h h b m d l Z C B U e X B l M S 5 7 V G 9 0 Y W w g R m 9 y b X V s Y S B D b 3 V u d C B E T 0 U g L D E w f S Z x d W 9 0 O y w m c X V v d D t T Z W N 0 a W 9 u M S 9 J b m l 0 a W F s I G F k a n V z d G V k I G Z v c m 1 1 b G E g Y 2 9 1 b n Q v Q 2 h h b m d l Z C B U e X B l L n t B Z G o g c G 9 2 Z X J 0 e S B w Z X J j Z W 5 0 Y W d l L D I 4 f S Z x d W 9 0 O y w m c X V v d D t T Z W N 0 a W 9 u M S 9 J b m l 0 a W F s I G F k a n V z d G V k I G Z v c m 1 1 b G E g Y 2 9 1 b n Q v Q m F z a W M g Z W x p Z 2 l i a W x p d H k u e 0 J B U 0 l D I G V s a W d p Y m l s a X R 5 L D I 5 f S Z x d W 9 0 O y w m c X V v d D t T Z W N 0 a W 9 u M S 9 J b m l 0 a W F s I G F k a n V z d G V k I G Z v c m 1 1 b G E g Y 2 9 1 b n Q v Q 2 9 u Y y 4 g R W x p Z 2 l i a W x p d H k u e 0 N v b m M u I E V s a W d p Z 2 l i a W x p d H k s M z B 9 J n F 1 b 3 Q 7 L C Z x d W 9 0 O 1 N l Y 3 R p b 2 4 x L 0 l u a X R p Y W w g Y W R q d X N 0 Z W Q g Z m 9 y b X V s Y S B j b 3 V u d C 9 U Y X J n Z X R l Z C B l b G l n a W J p b G l 0 e S 5 7 V G F y Z 2 V 0 Z W Q g R W x p Z 2 l i a W x p d H k s M z F 9 J n F 1 b 3 Q 7 L C Z x d W 9 0 O 1 N l Y 3 R p b 2 4 x L 0 l u a X R p Y W w g Y W R q d X N 0 Z W Q g Z m 9 y b X V s Y S B j b 3 V u d C 9 F R k l H I G V s a W d p Y m l s a X R 5 L n t F R k l H I G V s a W d p Y m l s a X R 5 L D M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V 4 c G F u Z G V k J T I w Q X B w Z W 5 k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A 1 L T E 3 J T I w c G 9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H B v d m V y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V G 9 0 Y W w l M j B m b 3 J t d W x h J T I w Y 2 9 1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c G 9 2 Z X J 0 e S U y M H B l Y 2 V u d G F n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C Y X N p Y y U y M G V s a W d p Y m l s a X R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v b m M u J T I w R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V G F y Z 2 V 0 Z W Q l M j B l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F R k l H J T I w Z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D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I 4 Z j I z Y T Y y L T B i Y j I t N D k w Z C 1 h O T R k L T M 4 Z G E 5 N D c z N m V m O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A x I i A v P j x F b n R y e S B U e X B l P S J B Z G R l Z F R v R G F 0 Y U 1 v Z G V s I i B W Y W x 1 Z T 0 i b D E i I C 8 + P E V u d H J 5 I F R 5 c G U 9 I k Z p b G x M Y X N 0 V X B k Y X R l Z C I g V m F s d W U 9 I m Q y M D I 1 L T A 1 L T I y V D E 4 O j E y O j U 4 L j Q 3 M j Q 3 M j h a I i A v P j x F b n R y e S B U e X B l P S J G a W x s Q 2 9 s d W 1 u V H l w Z X M i I F Z h b H V l P S J z Q m d Z Q U F B Q U E i I C 8 + P E V u d H J 5 I F R 5 c G U 9 I k Z p b G x D b 2 x 1 b W 5 O Y W 1 l c y I g V m F s d W U 9 I n N b J n F 1 b 3 Q 7 T E V B a W Q m c X V v d D s s J n F 1 b 3 Q 7 T E V B T m F t Z S Z x d W 9 0 O y w m c X V v d D t C Y X N p Y y B B b W 9 1 b n Q g c G V y I G Z v c m 1 1 b G E g c 3 R 1 Z G V u d C Z x d W 9 0 O y w m c X V v d D t D b 2 5 j L i B B b W 9 1 b n Q g c G V y I E Z v c m 1 1 b G E g U 3 R 1 Z G V u d C Z x d W 9 0 O y w m c X V v d D t U Y X J n Z X R l Z C B B b W 9 1 b n Q g c G V y I E Z v c m 1 1 b G E g U 3 R 1 Z G V u d C Z x d W 9 0 O y w m c X V v d D t F R k l H I E F t b 3 V u d C B w Z X I g R m 9 y b X V s Y S B T d H V k Z W 5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E 9 F I E F s b G 9 j Y X R p b 2 4 v Q 2 h h b m d l Z C B U e X B l L n t M R U F p Z C w w f S Z x d W 9 0 O y w m c X V v d D t T Z W N 0 a W 9 u M S 9 E T 0 U g Q W x s b 2 N h d G l v b i 9 D a G F u Z 2 V k I F R 5 c G U u e 0 x F Q U 5 h b W U s M X 0 m c X V v d D s s J n F 1 b 3 Q 7 U 2 V j d G l v b j E v Q W 1 v d W 5 0 I H B l c i B G b 3 J t d W x h I H N 0 d W R l b n Q v Q m F z a W M g Q W 1 v d W 5 0 I H B l c i B G b 3 J t d W x h I F N 0 d W R l b n Q u e 0 J h c 2 l j I E F t b 3 V u d C B w Z X I g Z m 9 y b X V s Y S B z d H V k Z W 5 0 L D E 1 f S Z x d W 9 0 O y w m c X V v d D t T Z W N 0 a W 9 u M S 9 B b W 9 1 b n Q g c G V y I E Z v c m 1 1 b G E g c 3 R 1 Z G V u d C 9 D b 2 5 j L i B B b W 9 1 b n Q g c G V y I E Z v c m 1 1 b G E g U 3 R 1 Z G V u d C 5 7 Q 2 9 u Y y 4 g Q W 1 v d W 5 0 I H B l c i B G b 3 J t d W x h I F N 0 d W R l b n Q s M T Z 9 J n F 1 b 3 Q 7 L C Z x d W 9 0 O 1 N l Y 3 R p b 2 4 x L 0 F t b 3 V u d C B w Z X I g R m 9 y b X V s Y S B z d H V k Z W 5 0 L 1 R h c m d l d G V k I E F t b 3 V u d C B w Z X I g R m 9 y b X V s Y S B T d H V k Z W 5 0 L n t U Y X J n Z X R l Z C B B b W 9 1 b n Q g c G V y I E Z v c m 1 1 b G E g U 3 R 1 Z G V u d C w x N 3 0 m c X V v d D s s J n F 1 b 3 Q 7 U 2 V j d G l v b j E v Q W 1 v d W 5 0 I H B l c i B G b 3 J t d W x h I H N 0 d W R l b n Q v R U Z J R y B B b W 9 1 b n Q g c G V y I E Z v c m 1 1 b G E g U 3 R 1 Z G V u d C 5 7 R U Z J R y B B b W 9 1 b n Q g c G V y I E Z v c m 1 1 b G E g U 3 R 1 Z G V u d C w x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F e H B h b m R l Z C U y M E R P R S U y M E Z v c m 1 1 b G E l M j B j b 3 V u d H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F k Z G V k J T I w Q 3 V z d G 9 t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X V l c n l J R C I g V m F s d W U 9 I n M 4 N m Z m N 2 U 1 Z C 1 i N 2 I 5 L T Q 4 N D g t Y T M x N i 0 3 O D c x N 2 I z Y T U w N W Y i I C 8 + P E V u d H J 5 I F R 5 c G U 9 I l J l Y 2 9 2 Z X J 5 V G F y Z 2 V 0 U 2 h l Z X Q i I F Z h b H V l P S J z R G l z d H J p Y 3 R z I E 1 1 b H R p c G x p Z X I i I C 8 + P E V u d H J 5 I F R 5 c G U 9 I l F 1 Z X J 5 R 3 J v d X B J R C I g V m F s d W U 9 I n M x M T F j Y T g w O C 0 w N W V k L T Q 1 O T c t Y j U y M i 1 m M W Q 2 O T B k Z W U 1 O T A i I C 8 + P E V u d H J 5 I F R 5 c G U 9 I k Z p b G x U b 0 R h d G F N b 2 R l b E V u Y W J s Z W Q i I F Z h b H V l P S J s M S I g L z 4 8 R W 5 0 c n k g V H l w Z T 0 i R m l s b E 9 i a m V j d F R 5 c G U i I F Z h b H V l P S J z V G F i b G U i I C 8 + P E V u d H J 5 I F R 5 c G U 9 I k Z p b G x U Y X J n Z X Q i I F Z h b H V l P S J z T X V s d G l w b G l l c n M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5 I i A v P j x F b n R y e S B U e X B l P S J B Z G R l Z F R v R G F 0 Y U 1 v Z G V s I i B W Y W x 1 Z T 0 i b D E i I C 8 + P E V u d H J 5 I F R 5 c G U 9 I k Z p b G x M Y X N 0 V X B k Y X R l Z C I g V m F s d W U 9 I m Q y M D I 1 L T A 1 L T I y V D E 4 O j E y O j U 4 L j Q w O D Y 4 N z B a I i A v P j x F b n R y e S B U e X B l P S J G a W x s Q 2 9 s d W 1 u V H l w Z X M i I F Z h b H V l P S J z Q m d Z R 0 F B W U F B Q V F F I i A v P j x F b n R y e S B U e X B l P S J G a W x s Q 2 9 s d W 1 u T m F t Z X M i I F Z h b H V l P S J z W y Z x d W 9 0 O 0 N D R E R E J n F 1 b 3 Q 7 L C Z x d W 9 0 O 0 R p c 3 R y a W N 0 T m F t Z S Z x d W 9 0 O y w m c X V v d D t T Z W 5 k a W 5 n T E V B a W Q m c X V v d D s s J n F 1 b 3 Q 7 R G l z d H J p Y 3 R U e X B l J n F 1 b 3 Q 7 L C Z x d W 9 0 O 0 x F Q W l k J n F 1 b 3 Q 7 L C Z x d W 9 0 O 0 l z T m V 3 J n F 1 b 3 Q 7 L C Z x d W 9 0 O 0 l z R X h w Y W 5 k Z W Q m c X V v d D s s J n F 1 b 3 Q 7 c G 9 2 Z X J 0 e S B N d W x 0 a X B s a W V y J n F 1 b 3 Q 7 L C Z x d W 9 0 O 0 V u c m 9 s b G 1 l b n Q g b X V s d G l w b G l l c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y Z x d W 9 0 O 0 N D R E R E J n F 1 b 3 Q 7 X S w m c X V v d D t x d W V y e V J l b G F 0 a W 9 u c 2 h p c H M m c X V v d D s 6 W 1 0 s J n F 1 b 3 Q 7 Y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T b 3 V y Y 2 U u e 0 R p c 3 R y a W N 0 V H l w Z S w z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1 1 b H R p c G x p Z X J z L 0 N o Y W 5 n Z W Q g V H l w Z T E u e 3 B v d m V y d H k g T X V s d G l w b G l l c i w x M X 0 m c X V v d D s s J n F 1 b 3 Q 7 U 2 V j d G l v b j E v T X V s d G l w b G l l c n M v Q 2 h h b m d l Z C B U e X B l M S 5 7 R W 5 y b 2 x s b W V u d C B t d W x 0 a X B s a W V y L D E y f S Z x d W 9 0 O 1 0 s J n F 1 b 3 Q 7 Q 2 9 s d W 1 u Q 2 9 1 b n Q m c X V v d D s 6 O S w m c X V v d D t L Z X l D b 2 x 1 b W 5 O Y W 1 l c y Z x d W 9 0 O z p b J n F 1 b 3 Q 7 Q 0 N E R E Q m c X V v d D t d L C Z x d W 9 0 O 0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U 2 9 1 c m N l L n t E a X N 0 c m l j d F R 5 c G U s M 3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N d W x 0 a X B s a W V y c y 9 D a G F u Z 2 V k I F R 5 c G U x L n t w b 3 Z l c n R 5 I E 1 1 b H R p c G x p Z X I s M T F 9 J n F 1 b 3 Q 7 L C Z x d W 9 0 O 1 N l Y 3 R p b 2 4 x L 0 1 1 b H R p c G x p Z X J z L 0 N o Y W 5 n Z W Q g V H l w Z T E u e 0 V u c m 9 s b G 1 l b n Q g b X V s d G l w b G l l c i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1 1 b H R p c G x p Z X J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F e H B h b m R l Z C U y M F N w b G l 0 J T I w Q 2 F s Y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R X h w Y W 5 k Z W Q l M j B T c G x p d C U y M E N h b G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S Z W 1 v d m V k J T I w R H V w b G l j Y X R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D b 2 5 z b 2 x p Z G F 0 Z S U y M E x F Q U l E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v b n N v b G l k Y X R l J T I w T E V B T k F N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F b n J v b G x t Z W 5 0 J T I w b X V s d G l w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U G 9 2 Z X J 0 e S U y M E 1 1 b H R p c G x p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C Y X N p Y y U y M E F t b 3 V u d C U y M H B l c i U y M E Z v c m 1 1 b G E l M j B T d H V k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Q 2 9 u Y y 4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1 R h c m d l d G V k J T I w Q W 1 v d W 5 0 J T I w c G V y J T I w R m 9 y b X V s Y S U y M F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F R k l H J T I w Q W 1 v d W 5 0 J T I w c G V y J T I w R m 9 y b X V s Y S U y M F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U b 3 R h b C U y M E Z v c m 1 1 b G E l M j B D b 3 V u d C U y M E R P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l F 1 Z X J 5 S U Q i I F Z h b H V l P S J z Y T A 3 Y T M 1 Z j U t M j c 5 N S 0 0 N z A y L T l k N j k t Y 2 F m M D k 3 M 2 V i Y z A x I i A v P j x F b n R y e S B U e X B l P S J G a W x s V G F y Z 2 V 0 I i B W Y W x 1 Z T 0 i c 0 l u a X R p Y W x f Y W R q d X N 0 Z W R f Y W x s b 2 N h d G l v b n M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x N S I g L z 4 8 R W 5 0 c n k g V H l w Z T 0 i Q W R k Z W R U b 0 R h d G F N b 2 R l b C I g V m F s d W U 9 I m w x I i A v P j x F b n R y e S B U e X B l P S J G a W x s T G F z d F V w Z G F 0 Z W Q i I F Z h b H V l P S J k M j A y N S 0 w N S 0 y M l Q x O D o x M j o 1 O C 4 1 N T c x O D k 0 W i I g L z 4 8 R W 5 0 c n k g V H l w Z T 0 i R m l s b E N v b H V t b l R 5 c G V z I i B W Y W x 1 Z T 0 i c 0 F B Q U Z C U V V G Q l F V R k J R V U Y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G J h c 2 U g K F B y a W 9 y I H l l Y X I g Y W R q d X N 0 Z W Q g Y W x s b 2 M p J n F 1 b 3 Q 7 L C Z x d W 9 0 O 0 N v b m M g S G 9 s Z C B I Y X J t b G V z c y B C Y X N l I C g g N C B 5 Z W F y I G x v b 2 t i Y W N r K S Z x d W 9 0 O y w m c X V v d D t U Q V J H R V R F R C B I b 2 x k I E h h c m 1 s Z X N z I E J h c 2 U g K F B y a W 9 y I F l l Y X I g Y W R q d X N 0 Z W Q g Y W x s b 2 M p J n F 1 b 3 Q 7 L C Z x d W 9 0 O 0 V G S U c g S G 9 s Z C B I Y X J t b G V z c y B i Y X N l I C h Q c m l v c i B Z Z W F y I G F k a n V z d G V k I G F s b G 9 j K S Z x d W 9 0 O y w m c X V v d D t U b 3 R h b C B I b 2 x k I E h h c m 1 s Z X N z I G J h c 2 U m c X V v d D s s J n F 1 b 3 Q 7 Q W R q I E J h c 2 l j I E F s b G 9 j Y X R p b 2 4 g J n F 1 b 3 Q 7 L C Z x d W 9 0 O 0 F k a i B D b 2 5 j L i B B b G x v Y 2 F 0 a W 9 u I C Z x d W 9 0 O y w m c X V v d D t B Z G o g V G F y Z 2 V 0 Z W Q g Y W x s b 2 N h d G l v b i Z x d W 9 0 O y w m c X V v d D t B Z G o g R U Z J R y B B b G x v Y 2 F 0 a W 9 u J n F 1 b 3 Q 7 L C Z x d W 9 0 O 0 F k a i B U b 3 R h b C B U a X R s Z S B J I E F s b G 9 j Y X R p b 2 4 g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u a X R p Y W w g Y W R q d X N 0 Z W Q g Z m 9 y b X V s Y S B j b 3 V u d C 9 D b 2 5 z b 2 x p Z G F 0 Z S B M R U F J R C 5 7 Y W R q I E x F Q U l E L D M z f S Z x d W 9 0 O y w m c X V v d D t T Z W N 0 a W 9 u M S 9 J b m l 0 a W F s I G F k a n V z d G V k I G Z v c m 1 1 b G E g Y 2 9 1 b n Q v Q 2 9 u c 2 9 s a W R h d G U g T E V B T k F N R S 5 7 T E V B T k F N R S w z N H 0 m c X V v d D s s J n F 1 b 3 Q 7 U 2 V j d G l v b j E v S W 5 p d G l h b C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S W 5 p d G l h b C B h Z G p 1 c 3 R l Z C B h b G x v Y 2 F 0 a W 9 u c y 9 D a G F u Z 2 V k I F R 5 c G U u e 0 N v b m M g S G 9 s Z C B I Y X J t b G V z c y B C Y X N l I C g g N C B 5 Z W F y I G x v b 2 t i Y W N r K S w z f S Z x d W 9 0 O y w m c X V v d D t T Z W N 0 a W 9 u M S 9 J b m l 0 a W F s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J b m l 0 a W F s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0 l u a X R p Y W w g Y W R q d X N 0 Z W Q g Y W x s b 2 N h d G l v b n M v Q 2 h h b m d l Z C B U e X B l L n t U b 3 R h b C B I b 2 x k I E h h c m 1 s Z X N z I G J h c 2 U s N n 0 m c X V v d D s s J n F 1 b 3 Q 7 U 2 V j d G l v b j E v S W 5 p d G l h b C B h Z G p 1 c 3 R l Z C B h b G x v Y 2 F 0 a W 9 u c y 9 D a G F u Z 2 V k I F R 5 c G U u e 0 F k a i B C Y X N p Y y B B b G x v Y 2 F 0 a W 9 u I C w 3 f S Z x d W 9 0 O y w m c X V v d D t T Z W N 0 a W 9 u M S 9 J b m l 0 a W F s I G F k a n V z d G V k I G F s b G 9 j Y X R p b 2 5 z L 0 N o Y W 5 n Z W Q g V H l w Z S 5 7 Q W R q I E N v b m M u I E F s b G 9 j Y X R p b 2 4 g L D h 9 J n F 1 b 3 Q 7 L C Z x d W 9 0 O 1 N l Y 3 R p b 2 4 x L 0 l u a X R p Y W w g Y W R q d X N 0 Z W Q g Y W x s b 2 N h d G l v b n M v Q 2 h h b m d l Z C B U e X B l L n t B Z G o g V G F y Z 2 V 0 Z W Q g Y W x s b 2 N h d G l v b i w 5 f S Z x d W 9 0 O y w m c X V v d D t T Z W N 0 a W 9 u M S 9 J b m l 0 a W F s I G F k a n V z d G V k I G F s b G 9 j Y X R p b 2 5 z L 0 N o Y W 5 n Z W Q g V H l w Z S 5 7 Q W R q I E V G S U c g Q W x s b 2 N h d G l v b i w x M H 0 m c X V v d D s s J n F 1 b 3 Q 7 U 2 V j d G l v b j E v S W 5 p d G l h b C B h Z G p 1 c 3 R l Z C B h b G x v Y 2 F 0 a W 9 u c y 9 D a G F u Z 2 V k I F R 5 c G U u e 0 F k a i B U b 3 R h b C B U a X R s Z S B J I E F s b G 9 j Y X R p b 2 4 g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J b m l 0 a W F s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J b m l 0 a W F s I G F k a n V z d G V k I G F s b G 9 j Y X R p b 2 5 z L 0 N o Y W 5 n Z W Q g V H l w Z S 5 7 Q 2 9 u Y y B I b 2 x k I E h h c m 1 s Z X N z I E J h c 2 U g K C A 0 I H l l Y X I g b G 9 v a 2 J h Y 2 s p L D N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S W 5 p d G l h b C B h Z G p 1 c 3 R l Z C B h b G x v Y 2 F 0 a W 9 u c y 9 D a G F u Z 2 V k I F R 5 c G U u e 1 R v d G F s I E h v b G Q g S G F y b W x l c 3 M g Y m F z Z S w 2 f S Z x d W 9 0 O y w m c X V v d D t T Z W N 0 a W 9 u M S 9 J b m l 0 a W F s I G F k a n V z d G V k I G F s b G 9 j Y X R p b 2 5 z L 0 N o Y W 5 n Z W Q g V H l w Z S 5 7 Q W R q I E J h c 2 l j I E F s b G 9 j Y X R p b 2 4 g L D d 9 J n F 1 b 3 Q 7 L C Z x d W 9 0 O 1 N l Y 3 R p b 2 4 x L 0 l u a X R p Y W w g Y W R q d X N 0 Z W Q g Y W x s b 2 N h d G l v b n M v Q 2 h h b m d l Z C B U e X B l L n t B Z G o g Q 2 9 u Y y 4 g Q W x s b 2 N h d G l v b i A s O H 0 m c X V v d D s s J n F 1 b 3 Q 7 U 2 V j d G l v b j E v S W 5 p d G l h b C B h Z G p 1 c 3 R l Z C B h b G x v Y 2 F 0 a W 9 u c y 9 D a G F u Z 2 V k I F R 5 c G U u e 0 F k a i B U Y X J n Z X R l Z C B h b G x v Y 2 F 0 a W 9 u L D l 9 J n F 1 b 3 Q 7 L C Z x d W 9 0 O 1 N l Y 3 R p b 2 4 x L 0 l u a X R p Y W w g Y W R q d X N 0 Z W Q g Y W x s b 2 N h d G l v b n M v Q 2 h h b m d l Z C B U e X B l L n t B Z G o g R U Z J R y B B b G x v Y 2 F 0 a W 9 u L D E w f S Z x d W 9 0 O y w m c X V v d D t T Z W N 0 a W 9 u M S 9 J b m l 0 a W F s I G F k a n V z d G V k I G F s b G 9 j Y X R p b 2 5 z L 0 N o Y W 5 n Z W Q g V H l w Z S 5 7 Q W R q I F R v d G F s I F R p d G x l I E k g Q W x s b 2 N h d G l v b i A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G b 3 J t d W x h J T I w c 3 R 1 Z G V u d H M l M j B h Z G p 1 c 3 R t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M R W F p Z C U y M G Z v c i U y M G p v a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R X h w Y W 5 k Z W Q l M j B E T 0 U l M j B B b G x v Y 2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F t b 3 V u d C U y M H B l c i U y M E Z v c m 1 1 b G E l M j B z d H V k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Y W R q J T I w Q m F z a W M l M j B B b G x v Y 2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O R U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R E V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E Z v c 3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U Q U 5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Q W R q J T I w Q 2 9 u Y y 4 l M j B B b G x v Y 2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Q W R q J T I w R U Z J R y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U b 3 R h b C U y M F R p d G x l J T I w S S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V 4 c G F u Z G V k J T I w U H J p b 3 I l M j B Z Z W F y J T I w Y W R q d X N 0 Z W Q l M j B h b G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V G 9 0 Y W w l M j B I b 2 x k J T I w S G F y b W x l c 3 M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G a W x s Z W R D b 2 1 w b G V 0 Z V J l c 3 V s d F R v V 2 9 y a 3 N o Z W V 0 I i B W Y W x 1 Z T 0 i b D E i I C 8 + P E V u d H J 5 I F R 5 c G U 9 I l F 1 Z X J 5 S U Q i I F Z h b H V l P S J z O W R k M z U w Y m Y t Z j A y M i 0 0 M 2 I 2 L W I y M j I t Z j k 3 Z m M y O W Q y Y j V i I i A v P j x F b n R y e S B U e X B l P S J G a W x s V G F y Z 2 V 0 I i B W Y W x 1 Z T 0 i c 1 R h Y m x l X 0 N v b m N f Z W x p Z 2 l i a W x p d H l f e W V h c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2 I i A v P j x F b n R y e S B U e X B l P S J B Z G R l Z F R v R G F 0 Y U 1 v Z G V s I i B W Y W x 1 Z T 0 i b D E i I C 8 + P E V u d H J 5 I F R 5 c G U 9 I k Z p b G x M Y X N 0 V X B k Y X R l Z C I g V m F s d W U 9 I m Q y M D I 1 L T A 1 L T I y V D E 4 O j E y O j U 4 L j U 2 M z E 2 O T R a I i A v P j x F b n R y e S B U e X B l P S J G a W x s Q 2 9 s d W 1 u V H l w Z X M i I F Z h b H V l P S J z Q U F B Q U F B Q T 0 i I C 8 + P E V u d H J 5 I F R 5 c G U 9 I k Z p b G x D b 2 x 1 b W 5 O Y W 1 l c y I g V m F s d W U 9 I n N b J n F 1 b 3 Q 7 T E V B S U Q m c X V v d D s s J n F 1 b 3 Q 7 T E V B T k F N R S Z x d W 9 0 O y w m c X V v d D t D b 2 5 j L i B F b G l n a W d p Y m l s a X R 5 J n F 1 b 3 Q 7 L C Z x d W 9 0 O 0 V s a W d p Y m l s a X R 5 I F l l Y X I m c X V v d D s s J n F 1 b 3 Q 7 Q 2 9 u Y y B h b G x v Y 2 F 0 a W 9 u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Y y B l b G l n a W J p b G l 0 e S B 5 Z W F y L 0 Z p b G x l Z C B V c C 5 7 T E V B S U Q s M H 0 m c X V v d D s s J n F 1 b 3 Q 7 U 2 V j d G l v b j E v Q 2 9 u Y y B l b G l n a W J p b G l 0 e S B 5 Z W F y L 0 Z p b G x l Z C B V c C 5 7 T E V B T k F N R S w x f S Z x d W 9 0 O y w m c X V v d D t T Z W N 0 a W 9 u M S 9 D b 2 5 j I G V s a W d p Y m l s a X R 5 I H l l Y X I v R m l s b G V k I F V w L n t D b 2 5 j L i B F b G l n a W d p Y m l s a X R 5 L D J 9 J n F 1 b 3 Q 7 L C Z x d W 9 0 O 1 N l Y 3 R p b 2 4 x L 0 N v b m M g Z W x p Z 2 l i a W x p d H k g e W V h c i 9 B Z G R l Z C B D d X N 0 b 2 0 u e 0 V s a W d p Y m l s a X R 5 I F l l Y X I s N H 0 m c X V v d D s s J n F 1 b 3 Q 7 U 2 V j d G l v b j E v Q 2 9 u Y y B l b G l n a W J p b G l 0 e S B 5 Z W F y L 0 N v b m M g R W x p Z 2 l i a W x p d H k g Q W 1 v d W 5 0 L n t D b 2 5 j I G F s b G 9 j Y X R p b 2 4 s N X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Q 2 9 u Y y B l b G l n a W J p b G l 0 e S B 5 Z W F y L 0 Z p b G x l Z C B V c C 5 7 T E V B S U Q s M H 0 m c X V v d D s s J n F 1 b 3 Q 7 U 2 V j d G l v b j E v Q 2 9 u Y y B l b G l n a W J p b G l 0 e S B 5 Z W F y L 0 Z p b G x l Z C B V c C 5 7 T E V B T k F N R S w x f S Z x d W 9 0 O y w m c X V v d D t T Z W N 0 a W 9 u M S 9 D b 2 5 j I G V s a W d p Y m l s a X R 5 I H l l Y X I v R m l s b G V k I F V w L n t D b 2 5 j L i B F b G l n a W d p Y m l s a X R 5 L D J 9 J n F 1 b 3 Q 7 L C Z x d W 9 0 O 1 N l Y 3 R p b 2 4 x L 0 N v b m M g Z W x p Z 2 l i a W x p d H k g e W V h c i 9 B Z G R l Z C B D d X N 0 b 2 0 u e 0 V s a W d p Y m l s a X R 5 I F l l Y X I s N H 0 m c X V v d D s s J n F 1 b 3 Q 7 U 2 V j d G l v b j E v Q 2 9 u Y y B l b G l n a W J p b G l 0 e S B 5 Z W F y L 0 N v b m M g R W x p Z 2 l i a W x p d H k g Q W 1 v d W 5 0 L n t D b 2 5 j I G F s b G 9 j Y X R p b 2 4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m M l M j B l b G l n a W J p b G l 0 e S U y M H l l Y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Q X B w Z W 5 k Z W Q l M j B R d W V y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R m l s b G V k J T I w V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z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E 4 M G Q x Z j k 0 L W V j Z m M t N G Q 5 Y i 1 h Z j l m L T N i N m R l M D Q x M D g y M C I g L z 4 8 R W 5 0 c n k g V H l w Z T 0 i R m l s b F R h c m d l d C I g V m F s d W U 9 I n N O Z X d f b 3 J f R X h w Y W 5 k Z W R f S E h f Y 2 h l Y 2 s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5 I i A v P j x F b n R y e S B U e X B l P S J B Z G R l Z F R v R G F 0 Y U 1 v Z G V s I i B W Y W x 1 Z T 0 i b D E i I C 8 + P E V u d H J 5 I F R 5 c G U 9 I k Z p b G x M Y X N 0 V X B k Y X R l Z C I g V m F s d W U 9 I m Q y M D I 1 L T A 1 L T I y V D E 4 O j E y O j U 4 L j U 2 O T E 0 O T N a I i A v P j x F b n R y e S B U e X B l P S J G a W x s Q 2 9 s d W 1 u V H l w Z X M i I F Z h b H V l P S J z Q m d Z R 0 J n Q U F C U V F E Q U F V R k J R V U Z C U V V G Q l F V R k J R V U Z C U T 0 9 I i A v P j x F b n R y e S B U e X B l P S J G a W x s Q 2 9 s d W 1 u T m F t Z X M i I F Z h b H V l P S J z W y Z x d W 9 0 O 0 N D R E R E J n F 1 b 3 Q 7 L C Z x d W 9 0 O 0 R p c 3 R y a W N 0 T m F t Z S Z x d W 9 0 O y w m c X V v d D t T Z W 5 k a W 5 n T E V B a W Q m c X V v d D s s J n F 1 b 3 Q 7 T E V B a W Q m c X V v d D s s J n F 1 b 3 Q 7 S X N O Z X c m c X V v d D s s J n F 1 b 3 Q 7 S X N F e H B h b m R l Z C Z x d W 9 0 O y w m c X V v d D t J b m l 0 a W F s I G F k a n V z d G V k I G Z v c m 1 1 b G E g Y 2 9 1 b n Q u Q W R q I F R v d G F s I G Z v c m 1 1 b G E g Y 2 9 1 b n Q m c X V v d D s s J n F 1 b 3 Q 7 S W 5 p d G l h b C B h Z G p 1 c 3 R l Z C B m b 3 J t d W x h I G N v d W 5 0 L k F k a i B w b 3 Z l c n R 5 I H B l c m N l b n R h Z 2 U m c X V v d D s s J n F 1 b 3 Q 7 U H J p b 3 I g W W V h c i B B Z G p 1 c 3 R l Z C B G b 3 J t d W x h I G N v d W 5 0 c y 5 B Z G o g V G 9 0 Y W w g Z m 9 y b X V s Y S B j b 3 V u d C Z x d W 9 0 O y w m c X V v d D t U b 3 R h b C B G b 3 J t d W x h I E N v d W 5 0 I G l u Y 3 J l Y X N l J n F 1 b 3 Q 7 L C Z x d W 9 0 O 0 l u a X R p Y W w g Y W R q d X N 0 Z W Q g Y W x s b 2 N h d G l v b n M u Q k F T S U M g S G 9 s Z C B I Y X J t b G V z c y B i Y X N l I C h Q c m l v c i B 5 Z W F y I G F k a n V z d G V k I G F s b G 9 j J n F 1 b 3 Q 7 L C Z x d W 9 0 O 0 l u a X R p Y W w g Y W R q d X N 0 Z W Q g Y W x s b 2 N h d G l v b n M u V E F S R 0 V U R U Q g S G 9 s Z C B I Y X J t b G V z c y B C Y X N l I C h Q c m l v c i B Z Z W F y I G F k a n V z d G V k I G F s J n F 1 b 3 Q 7 L C Z x d W 9 0 O 0 l u a X R p Y W w g Y W R q d X N 0 Z W Q g Y W x s b 2 N h d G l v b n M u Q 2 9 u Y y B I b 2 x k I E h h c m 1 s Z X N z I E J h c 2 U g K C A 0 I H l l Y X I g b G 9 v a 2 J h Y 2 s p J n F 1 b 3 Q 7 L C Z x d W 9 0 O 0 l u a X R p Y W w g Y W R q d X N 0 Z W Q g Y W x s b 2 N h d G l v b n M u R U Z J R y B I b 2 x k I E h h c m 1 s Z X N z I G J h c 2 U g K F B y a W 9 y I F l l Y X I g Y W R q d X N 0 Z W Q g Y W x s b 2 M p J n F 1 b 3 Q 7 L C Z x d W 9 0 O 0 l u a X R p Y W w g Y W R q d X N 0 Z W Q g Y W x s b 2 N h d G l v b n M u V G 9 0 Y W w g S G 9 s Z C B I Y X J t b G V z c y B i Y X N l J n F 1 b 3 Q 7 L C Z x d W 9 0 O 0 l u a X R p Y W w g Y W R q d X N 0 Z W Q g Y W x s b 2 N h d G l v b n M u Q W R q I E J h c 2 l j I E F s b G 9 j Y X R p b 2 4 g J n F 1 b 3 Q 7 L C Z x d W 9 0 O 0 l u a X R p Y W w g Y W R q d X N 0 Z W Q g Y W x s b 2 N h d G l v b n M u Q W R q I E N v b m M u I E F s b G 9 j Y X R p b 2 4 g J n F 1 b 3 Q 7 L C Z x d W 9 0 O 0 l u a X R p Y W w g Y W R q d X N 0 Z W Q g Y W x s b 2 N h d G l v b n M u Q W R q I F R h c m d l d G V k I G F s b G 9 j Y X R p b 2 4 m c X V v d D s s J n F 1 b 3 Q 7 S W 5 p d G l h b C B h Z G p 1 c 3 R l Z C B h b G x v Y 2 F 0 a W 9 u c y 5 B Z G o g R U Z J R y B B b G x v Y 2 F 0 a W 9 u J n F 1 b 3 Q 7 L C Z x d W 9 0 O 0 l u a X R p Y W w g Y W R q d X N 0 Z W Q g Y W x s b 2 N h d G l v b n M u Q W R q I F R v d G F s I F R p d G x l I E k g Q W x s b 2 N h d G l v b i A m c X V v d D s s J n F 1 b 3 Q 7 T m V 3 L 0 V 4 c G F u Z G V k I E J h c 2 l j I E h I I G J h c 2 U m c X V v d D s s J n F 1 b 3 Q 7 T m V 3 L 0 V 4 c G F u Z G l u Z y B D b 2 5 j I E h I I G J h c 2 U m c X V v d D s s J n F 1 b 3 Q 7 T m V 3 L 0 V 4 c G F u Z G l u Z y B U Y X J n Z X R l Z C B I S C B C Y X N l J n F 1 b 3 Q 7 L C Z x d W 9 0 O 0 5 l d y B F e H B h b m R p b m c g R U Z J R y B I S C B C Y X N l J n F 1 b 3 Q 7 L C Z x d W 9 0 O 0 5 l d y B F e H B h b m R l Z C B 0 b 3 R h b C B I S C B i Y X N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J b m l 0 a W F s I G F k a n V z d G V k I G Z v c m 1 1 b G E g Y 2 9 1 b n Q v Q 2 h h b m d l Z C B U e X B l M S 5 7 Q W R q I F R v d G F s I G Z v c m 1 1 b G E g Y 2 9 1 b n Q s O X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0 5 l d y B v c i B F e H B h b m R l Z C B I S C B j a G V j a y 9 U b 3 R h b C B G b 3 J t d W x h I E N v d W 5 0 I E l u Y 3 J l Y X N l L n t U b 3 R h b C B G b 3 J t d W x h I E N v d W 5 0 I G l u Y 3 J l Y X N l L D l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s s J n F 1 b 3 Q 7 U 2 V j d G l v b j E v T m V 3 I G 9 y I E V 4 c G F u Z G V k I E h I I G N o Z W N r L 0 N o Y W 5 n Z W Q g V H l w Z S 5 7 T m V 3 L 0 V 4 c G F u Z G V k I E J h c 2 l j I E h I I G J h c 2 U s M j B 9 J n F 1 b 3 Q 7 L C Z x d W 9 0 O 1 N l Y 3 R p b 2 4 x L 0 5 l d y B v c i B F e H B h b m R l Z C B I S C B j a G V j a y 9 D a G F u Z 2 V k I F R 5 c G U u e 0 5 l d y 9 F e H B h b m R p b m c g Q 2 9 u Y y B I S C B i Y X N l L D I x f S Z x d W 9 0 O y w m c X V v d D t T Z W N 0 a W 9 u M S 9 O Z X c g b 3 I g R X h w Y W 5 k Z W Q g S E g g Y 2 h l Y 2 s v Q 2 h h b m d l Z C B U e X B l L n t O Z X c v R X h w Y W 5 k a W 5 n I F R h c m d l d G V k I E h I I E J h c 2 U s M j J 9 J n F 1 b 3 Q 7 L C Z x d W 9 0 O 1 N l Y 3 R p b 2 4 x L 0 5 l d y B v c i B F e H B h b m R l Z C B I S C B j a G V j a y 9 D a G F u Z 2 V k I F R 5 c G U u e 0 5 l d y B F e H B h b m R p b m c g R U Z J R y B I S C B C Y X N l L D I z f S Z x d W 9 0 O y w m c X V v d D t T Z W N 0 a W 9 u M S 9 O Z X c g b 3 I g R X h w Y W 5 k Z W Q g S E g g Y 2 h l Y 2 s v Q 2 h h b m d l Z C B U e X B l L n t O Z X c g R X h w Y W 5 k Z W Q g d G 9 0 Y W w g S E g g Y m F z Z S w y N H 0 m c X V v d D t d L C Z x d W 9 0 O 0 N v b H V t b k N v d W 5 0 J n F 1 b 3 Q 7 O j I 1 L C Z x d W 9 0 O 0 t l e U N v b H V t b k 5 h b W V z J n F 1 b 3 Q 7 O l t d L C Z x d W 9 0 O 0 N v b H V t b k l k Z W 5 0 a X R p Z X M m c X V v d D s 6 W y Z x d W 9 0 O 1 N l Y 3 R p b 2 4 x L 0 1 1 b H R p c G x p Z X J z L 0 N o Y W 5 n Z W Q g V H l w Z S 5 7 Q 0 N E R E Q s M H 0 m c X V v d D s s J n F 1 b 3 Q 7 U 2 V j d G l v b j E v T X V s d G l w b G l l c n M v U 2 9 1 c m N l L n t E a X N 0 c m l j d E 5 h b W U s M X 0 m c X V v d D s s J n F 1 b 3 Q 7 U 2 V j d G l v b j E v T X V s d G l w b G l l c n M v U 2 9 1 c m N l L n t T Z W 5 k a W 5 n T E V B a W Q s M n 0 m c X V v d D s s J n F 1 b 3 Q 7 U 2 V j d G l v b j E v T X V s d G l w b G l l c n M v Q 2 h h b m d l Z C B U e X B l L n t M R U F p Z C w 0 f S Z x d W 9 0 O y w m c X V v d D t T Z W N 0 a W 9 u M S 9 N d W x 0 a X B s a W V y c y 9 T b 3 V y Y 2 U u e 0 l z T m V 3 L D V 9 J n F 1 b 3 Q 7 L C Z x d W 9 0 O 1 N l Y 3 R p b 2 4 x L 0 1 1 b H R p c G x p Z X J z L 1 N v d X J j Z S 5 7 S X N F e H B h b m R l Z C w 2 f S Z x d W 9 0 O y w m c X V v d D t T Z W N 0 a W 9 u M S 9 J b m l 0 a W F s I G F k a n V z d G V k I G Z v c m 1 1 b G E g Y 2 9 1 b n Q v Q 2 h h b m d l Z C B U e X B l M S 5 7 Q W R q I F R v d G F s I G Z v c m 1 1 b G E g Y 2 9 1 b n Q s O X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0 5 l d y B v c i B F e H B h b m R l Z C B I S C B j a G V j a y 9 U b 3 R h b C B G b 3 J t d W x h I E N v d W 5 0 I E l u Y 3 J l Y X N l L n t U b 3 R h b C B G b 3 J t d W x h I E N v d W 5 0 I G l u Y 3 J l Y X N l L D l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s s J n F 1 b 3 Q 7 U 2 V j d G l v b j E v T m V 3 I G 9 y I E V 4 c G F u Z G V k I E h I I G N o Z W N r L 0 N o Y W 5 n Z W Q g V H l w Z S 5 7 T m V 3 L 0 V 4 c G F u Z G V k I E J h c 2 l j I E h I I G J h c 2 U s M j B 9 J n F 1 b 3 Q 7 L C Z x d W 9 0 O 1 N l Y 3 R p b 2 4 x L 0 5 l d y B v c i B F e H B h b m R l Z C B I S C B j a G V j a y 9 D a G F u Z 2 V k I F R 5 c G U u e 0 5 l d y 9 F e H B h b m R p b m c g Q 2 9 u Y y B I S C B i Y X N l L D I x f S Z x d W 9 0 O y w m c X V v d D t T Z W N 0 a W 9 u M S 9 O Z X c g b 3 I g R X h w Y W 5 k Z W Q g S E g g Y 2 h l Y 2 s v Q 2 h h b m d l Z C B U e X B l L n t O Z X c v R X h w Y W 5 k a W 5 n I F R h c m d l d G V k I E h I I E J h c 2 U s M j J 9 J n F 1 b 3 Q 7 L C Z x d W 9 0 O 1 N l Y 3 R p b 2 4 x L 0 5 l d y B v c i B F e H B h b m R l Z C B I S C B j a G V j a y 9 D a G F u Z 2 V k I F R 5 c G U u e 0 5 l d y B F e H B h b m R p b m c g R U Z J R y B I S C B C Y X N l L D I z f S Z x d W 9 0 O y w m c X V v d D t T Z W N 0 a W 9 u M S 9 O Z X c g b 3 I g R X h w Y W 5 k Z W Q g S E g g Y 2 h l Y 2 s v Q 2 h h b m d l Z C B U e X B l L n t O Z X c g R X h w Y W 5 k Z W Q g d G 9 0 Y W w g S E g g Y m F z Z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S W 5 p d G l h b C U y M G F k a n V z d G V k J T I w Z m 9 y b X V s Y S U y M G N v d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F e H B h b m R l Z C U y M F B y a W 9 y J T I w W W V h c i U y M E F k a n V z d G V k J T I w R m 9 y b X V s Y S U y M G N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R v d G F s J T I w R m 9 y b X V s Y S U y M E N v d W 5 0 J T I w S W 5 j c m V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R k V 4 c G F u Z G l u Z y U y M E J h c 2 l j J T I w S E g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Y 2 9 u Y y U y M E h I J T I w Y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M E V 4 c G F u Z G l u Z y U y M F R h d G d l d G V k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R U Z J R y U y M E h I J T I w Q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M E V 4 c G F u Z G l u Z y U y M H R v d G F s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z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g 5 N m F h Z W Z m L T E y O G U t N G I 4 Z i 1 i O T g x L T F l Z j F i N m I w N W R m N y I g L z 4 8 R W 5 0 c n k g V H l w Z T 0 i R m l s b F R h c m d l d C I g V m F s d W U 9 I n N N b 2 R l b F 9 h b G x v Y 2 F 0 a W 9 u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1 I i A v P j x F b n R y e S B U e X B l P S J B Z G R l Z F R v R G F 0 Y U 1 v Z G V s I i B W Y W x 1 Z T 0 i b D E i I C 8 + P E V u d H J 5 I F R 5 c G U 9 I k Z p b G x M Y X N 0 V X B k Y X R l Z C I g V m F s d W U 9 I m Q y M D I 1 L T A 1 L T I y V D E 4 O j E y O j U 4 L j U 3 N T E y O T R a I i A v P j x F b n R y e S B U e X B l P S J G a W x s Q 2 9 s d W 1 u V H l w Z X M i I F Z h b H V l P S J z Q U F B R k J R V U Z C U V V G Q l F V R i I g L z 4 8 R W 5 0 c n k g V H l w Z T 0 i R m l s b E N v b H V t b k 5 h b W V z I i B W Y W x 1 Z T 0 i c 1 s m c X V v d D t M R U F J R C Z x d W 9 0 O y w m c X V v d D t M R U F O Q U 1 F J n F 1 b 3 Q 7 L C Z x d W 9 0 O 0 J B U 0 l D I E h v b G Q g S G F y b W x l c 3 M g Q m F z Z S Z x d W 9 0 O y w m c X V v d D t D b 2 5 j I E h v b G Q g S G F y b W x l c 3 M g Q m F z Z S Z x d W 9 0 O y w m c X V v d D t U Y X J n Z X R l Z C B I b 2 x k I E h h c m 1 s Z X N z I E J h c 2 U m c X V v d D s s J n F 1 b 3 Q 7 R U Z J R y B I b 2 x k I E h h c m 1 s Z X N z I E J h c 2 U m c X V v d D s s J n F 1 b 3 Q 7 V G 9 0 Y W w g S G 9 s Z C B I Y X J t b G V z c y B C Y X N l J n F 1 b 3 Q 7 L C Z x d W 9 0 O 0 J h c 2 l j I E F s b G 9 j Y X R p b 2 4 m c X V v d D s s J n F 1 b 3 Q 7 Q 2 9 u Y y 4 g Q W x s b 2 N h d G l v b i Z x d W 9 0 O y w m c X V v d D t U Y X J n Z X R l Z C B B b G x v Y 2 F 0 a W 9 u J n F 1 b 3 Q 7 L C Z x d W 9 0 O 0 V G S U c g Q W x s b 2 N h d G l v b i Z x d W 9 0 O y w m c X V v d D t U b 3 R h b C B U a X R s Z S B J I E F s b G 9 j Y X R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9 k Z W w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V 4 c G F u Z G V k J T I w T m V 3 J T I w b 3 I l M j B F e H B h b m R l Z C U y M E h I J T I w Y 2 h l Y 2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N v b m M l M j B I b 2 x k J T I w S G F y b W x l c 3 M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U Y X J n Z X R l Z C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V G S U c l M j B I b 2 x k J T I w S G F y b W x l c 3 M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C Y X N p Y y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V 4 c G F u Z G V k J T I w T W 9 k Z W w l M j B h b G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N v b m M l M j B F b G l n a W J p b G l 0 e S U y M E F t b 3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N v b m M l M j B s b 2 9 r Y m F j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S W 5 p d G l h b C U y M G F k a n V z d G V k J T I w Y W x s b 2 N h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S W 5 p d G l h b C U y M G F k a n V z d G V k J T I w Y W x s b 2 N h d G l v b n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h Z G p 1 c 3 R l Z C U y M G F s b G 9 j Y X R p b 2 5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v S W 5 p d G l h b F 9 h Z G p 1 c 3 R l Z F 9 m b 3 J t d W x h X 2 N v d W 5 0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Q W R q d X N 0 Z W Q l M j B G b 3 J t d W x h J T I w Y 2 9 1 b n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s b 2 9 r Y m F j a y 9 U Y W J s Z V 8 0 X 3 l l Y X J f b G 9 v a 2 J h Y 2 t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b G 9 v a 2 J h Y 2 s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D b 2 5 j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T d G F 0 Z S U y M F J l c 2 V y d m F 0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Q W R q J T I w V G F y Z 2 V 0 Z W Q l M j B B b G x v Y 2 F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0 N E R E Q l M k Z M R U F p Z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0 V 4 c G F u Z G V k J T I w U H J p b 3 I l M j B Z Z W F y J T I w Q W R q d X N 0 Z W Q l M j B G b 3 J t d W x h J T I w Y 2 9 1 b n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U E w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J Q T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J Q T C 9 N Z X J n Z T F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1 N 0 Y X R l J T I w V G F i b G U l M j B G W S U y M D I 1 J T I w U H J l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L 1 N 0 Y X R l J T I w V G F i b G U l M j B G W S U y M D I 1 J T I w U H J l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Q c m V s L i U y M F Q t S S U y M F N 0 Y X R l J T I w Q W R t J T I w M T A w N C h i K S F f e G x u b S 5 Q c m l u d F 9 B c m V h X 0 R l Z m l u Z W R O Y W 1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k G 4 3 S w 6 R Z T Z X + J + n Q b p p N A A A A A A I A A A A A A A N m A A D A A A A A E A A A A D o u x Z J J x 1 q f w l C f H d 4 m C z c A A A A A B I A A A K A A A A A Q A A A A e R p Z N y H s + G b 4 S i d y D + b j Z V A A A A B K G S 9 S x M K / W T u t y Y P Y X i e r R Y z O v 4 p a j + y a M f W n h a t a K M B E R X A k r + 2 d X L 6 T e a E V 2 h R p y J 1 8 R O f F I y h + D J 6 b 1 k R 3 1 P D j 2 5 4 t 8 M r x E A 6 E y D R N G x Q A A A A b b 4 I e p W f m g V z J W 6 L 7 v O 8 s E R Z / Z g = = < / D a t a M a s h u p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 F R P L 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 F R P L 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 s u m i f 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 s u m i f 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s u m i f _ c 9 c 1 6 b e 1 - 9 4 6 9 - 4 6 2 3 - 9 b 4 e - b c b 3 2 3 c c e 1 4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 S e n d i n g   D i s t r i c t   C C D D D < / s t r i n g > < / k e y > < v a l u e > < i n t > 1 7 9 < / i n t > < / v a l u e > < / i t e m > < i t e m > < k e y > < s t r i n g > S u m T o t a l S t u d e n t s   i n   p o v e r t y < / s t r i n g > < / k e y > < v a l u e > < i n t > 2 1 4 < / i n t > < / v a l u e > < / i t e m > < / C o l u m n W i d t h s > < C o l u m n D i s p l a y I n d e x > < i t e m > < k e y > < s t r i n g > S e n d i n g   D i s t r i c t   C C D D D < / s t r i n g > < / k e y > < v a l u e > < i n t > 0 < / i n t > < / v a l u e > < / i t e m > < i t e m > < k e y > < s t r i n g > S u m T o t a l S t u d e n t s   i n   p o v e r t y 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BFB5D4B2-EE2B-4D5B-B284-E010D95DC454}">
  <ds:schemaRefs/>
</ds:datastoreItem>
</file>

<file path=customXml/itemProps10.xml><?xml version="1.0" encoding="utf-8"?>
<ds:datastoreItem xmlns:ds="http://schemas.openxmlformats.org/officeDocument/2006/customXml" ds:itemID="{D6AD569A-BACD-49BC-9E08-481DAD7734B7}">
  <ds:schemaRefs/>
</ds:datastoreItem>
</file>

<file path=customXml/itemProps11.xml><?xml version="1.0" encoding="utf-8"?>
<ds:datastoreItem xmlns:ds="http://schemas.openxmlformats.org/officeDocument/2006/customXml" ds:itemID="{AA84F6FF-B3DA-4CE3-9D95-51C5FF1E7D1E}">
  <ds:schemaRefs/>
</ds:datastoreItem>
</file>

<file path=customXml/itemProps12.xml><?xml version="1.0" encoding="utf-8"?>
<ds:datastoreItem xmlns:ds="http://schemas.openxmlformats.org/officeDocument/2006/customXml" ds:itemID="{D8920CEB-1354-47AC-BCEF-2E0FAABFA802}">
  <ds:schemaRefs/>
</ds:datastoreItem>
</file>

<file path=customXml/itemProps13.xml><?xml version="1.0" encoding="utf-8"?>
<ds:datastoreItem xmlns:ds="http://schemas.openxmlformats.org/officeDocument/2006/customXml" ds:itemID="{8957A5DB-7417-415B-B1A1-47C4546CB9F3}">
  <ds:schemaRefs/>
</ds:datastoreItem>
</file>

<file path=customXml/itemProps14.xml><?xml version="1.0" encoding="utf-8"?>
<ds:datastoreItem xmlns:ds="http://schemas.openxmlformats.org/officeDocument/2006/customXml" ds:itemID="{A5F61F43-2B1B-4E03-991C-25823BACC69A}">
  <ds:schemaRefs/>
</ds:datastoreItem>
</file>

<file path=customXml/itemProps15.xml><?xml version="1.0" encoding="utf-8"?>
<ds:datastoreItem xmlns:ds="http://schemas.openxmlformats.org/officeDocument/2006/customXml" ds:itemID="{656B9EA6-AE52-4FCC-B10D-9012246E37FC}">
  <ds:schemaRefs/>
</ds:datastoreItem>
</file>

<file path=customXml/itemProps16.xml><?xml version="1.0" encoding="utf-8"?>
<ds:datastoreItem xmlns:ds="http://schemas.openxmlformats.org/officeDocument/2006/customXml" ds:itemID="{CFC62887-F348-4B5E-A54B-A06474FEF0C9}">
  <ds:schemaRefs/>
</ds:datastoreItem>
</file>

<file path=customXml/itemProps17.xml><?xml version="1.0" encoding="utf-8"?>
<ds:datastoreItem xmlns:ds="http://schemas.openxmlformats.org/officeDocument/2006/customXml" ds:itemID="{AE81D1FB-7859-4A17-9925-956C4F45F006}">
  <ds:schemaRefs/>
</ds:datastoreItem>
</file>

<file path=customXml/itemProps18.xml><?xml version="1.0" encoding="utf-8"?>
<ds:datastoreItem xmlns:ds="http://schemas.openxmlformats.org/officeDocument/2006/customXml" ds:itemID="{65E85F9D-28AC-4885-B140-75127D764CB7}">
  <ds:schemaRefs/>
</ds:datastoreItem>
</file>

<file path=customXml/itemProps2.xml><?xml version="1.0" encoding="utf-8"?>
<ds:datastoreItem xmlns:ds="http://schemas.openxmlformats.org/officeDocument/2006/customXml" ds:itemID="{C557732F-3E27-4B73-890A-6B7F37F9A3AD}">
  <ds:schemaRefs/>
</ds:datastoreItem>
</file>

<file path=customXml/itemProps3.xml><?xml version="1.0" encoding="utf-8"?>
<ds:datastoreItem xmlns:ds="http://schemas.openxmlformats.org/officeDocument/2006/customXml" ds:itemID="{0C45F400-3380-4BBF-9C9A-A434BD245E81}">
  <ds:schemaRefs/>
</ds:datastoreItem>
</file>

<file path=customXml/itemProps4.xml><?xml version="1.0" encoding="utf-8"?>
<ds:datastoreItem xmlns:ds="http://schemas.openxmlformats.org/officeDocument/2006/customXml" ds:itemID="{377BC769-17B2-419D-8521-A8DA9171A817}">
  <ds:schemaRefs/>
</ds:datastoreItem>
</file>

<file path=customXml/itemProps5.xml><?xml version="1.0" encoding="utf-8"?>
<ds:datastoreItem xmlns:ds="http://schemas.openxmlformats.org/officeDocument/2006/customXml" ds:itemID="{A236602B-1867-4F0C-907E-370B7BB50726}">
  <ds:schemaRefs/>
</ds:datastoreItem>
</file>

<file path=customXml/itemProps6.xml><?xml version="1.0" encoding="utf-8"?>
<ds:datastoreItem xmlns:ds="http://schemas.openxmlformats.org/officeDocument/2006/customXml" ds:itemID="{80AD095B-9596-4ABB-909D-4433931B1D7B}">
  <ds:schemaRefs/>
</ds:datastoreItem>
</file>

<file path=customXml/itemProps7.xml><?xml version="1.0" encoding="utf-8"?>
<ds:datastoreItem xmlns:ds="http://schemas.openxmlformats.org/officeDocument/2006/customXml" ds:itemID="{89384747-53B4-4C40-A5DA-2CDB93F62D84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9A96D58D-B731-4143-AA84-8A4559BB47C0}">
  <ds:schemaRefs/>
</ds:datastoreItem>
</file>

<file path=customXml/itemProps9.xml><?xml version="1.0" encoding="utf-8"?>
<ds:datastoreItem xmlns:ds="http://schemas.openxmlformats.org/officeDocument/2006/customXml" ds:itemID="{2BEB6B10-8085-405D-8D4E-D444EE1E375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District</vt:lpstr>
      <vt:lpstr>Assumptions </vt:lpstr>
      <vt:lpstr>State Reservations</vt:lpstr>
      <vt:lpstr>Basic HH</vt:lpstr>
      <vt:lpstr>Conc. HH</vt:lpstr>
      <vt:lpstr>Targeted HH</vt:lpstr>
      <vt:lpstr>EFIG HH</vt:lpstr>
      <vt:lpstr>Model allocations</vt:lpstr>
      <vt:lpstr>Initial adjusted allocations</vt:lpstr>
      <vt:lpstr>Initial adjusted formula count</vt:lpstr>
      <vt:lpstr>New or Expanded HH check</vt:lpstr>
      <vt:lpstr>Multipliers</vt:lpstr>
      <vt:lpstr>LEA Split Calc</vt:lpstr>
      <vt:lpstr>Prior Year data</vt:lpstr>
      <vt:lpstr>Conc eligibility 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Gideon Belmaker</dc:creator>
  <cp:lastModifiedBy>Carrie Hert</cp:lastModifiedBy>
  <dcterms:created xsi:type="dcterms:W3CDTF">2022-11-08T17:36:19Z</dcterms:created>
  <dcterms:modified xsi:type="dcterms:W3CDTF">2025-06-11T14:41:18Z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145f431-4c8c-42c6-a5a5-ba6d3bdea585_Enabled">
    <vt:lpwstr>true</vt:lpwstr>
  </property>
  <property fmtid="{D5CDD505-2E9C-101B-9397-08002B2CF9AE}" pid="3" name="MSIP_Label_9145f431-4c8c-42c6-a5a5-ba6d3bdea585_SetDate">
    <vt:lpwstr>2024-05-21T18:19:41Z</vt:lpwstr>
  </property>
  <property fmtid="{D5CDD505-2E9C-101B-9397-08002B2CF9AE}" pid="4" name="MSIP_Label_9145f431-4c8c-42c6-a5a5-ba6d3bdea585_Method">
    <vt:lpwstr>Standard</vt:lpwstr>
  </property>
  <property fmtid="{D5CDD505-2E9C-101B-9397-08002B2CF9AE}" pid="5" name="MSIP_Label_9145f431-4c8c-42c6-a5a5-ba6d3bdea585_Name">
    <vt:lpwstr>defa4170-0d19-0005-0004-bc88714345d2</vt:lpwstr>
  </property>
  <property fmtid="{D5CDD505-2E9C-101B-9397-08002B2CF9AE}" pid="6" name="MSIP_Label_9145f431-4c8c-42c6-a5a5-ba6d3bdea585_SiteId">
    <vt:lpwstr>b2fe5ccf-10a5-46fe-ae45-a0267412af7a</vt:lpwstr>
  </property>
  <property fmtid="{D5CDD505-2E9C-101B-9397-08002B2CF9AE}" pid="7" name="MSIP_Label_9145f431-4c8c-42c6-a5a5-ba6d3bdea585_ActionId">
    <vt:lpwstr>0f66f389-e1e7-4d67-948c-aa526a305fae</vt:lpwstr>
  </property>
  <property fmtid="{D5CDD505-2E9C-101B-9397-08002B2CF9AE}" pid="8" name="MSIP_Label_9145f431-4c8c-42c6-a5a5-ba6d3bdea585_ContentBits">
    <vt:lpwstr>0</vt:lpwstr>
  </property>
</Properties>
</file>